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dicators - Industrial_2020\"/>
    </mc:Choice>
  </mc:AlternateContent>
  <xr:revisionPtr revIDLastSave="0" documentId="13_ncr:1_{8A6473E1-ACD7-4946-A3A9-B95945507994}" xr6:coauthVersionLast="45" xr6:coauthVersionMax="45" xr10:uidLastSave="{00000000-0000-0000-0000-000000000000}"/>
  <bookViews>
    <workbookView xWindow="4350" yWindow="780" windowWidth="17100" windowHeight="14055" firstSheet="2" activeTab="2" xr2:uid="{00000000-000D-0000-FFFF-FFFF00000000}"/>
  </bookViews>
  <sheets>
    <sheet name="A few notes" sheetId="14" r:id="rId1"/>
    <sheet name="Sheet1" sheetId="1" r:id="rId2"/>
    <sheet name="MECS_data" sheetId="2" r:id="rId3"/>
    <sheet name="MECS_data_SIC" sheetId="9" r:id="rId4"/>
    <sheet name="MECS_Total_Fuel" sheetId="13" r:id="rId5"/>
    <sheet name="MECS_EnergyPrices" sheetId="6" r:id="rId6"/>
    <sheet name="MECS vs CM" sheetId="4" r:id="rId7"/>
    <sheet name="MECS vs CM_Elec" sheetId="8" r:id="rId8"/>
    <sheet name="Energy vs Fuel Expen" sheetId="5" r:id="rId9"/>
    <sheet name="Quantity Shares_1998 forward" sheetId="3" r:id="rId10"/>
    <sheet name="Plot Prices_1998forward" sheetId="7" r:id="rId11"/>
    <sheet name="Quantity Shares_1985-1998" sheetId="10" r:id="rId12"/>
    <sheet name="Plot Prices_1985forward" sheetId="1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j">#REF!</definedName>
    <definedName name="_1982">[1]RECS_2!#REF!</definedName>
    <definedName name="AllData">#REF!</definedName>
    <definedName name="base_row">[2]General_inputs!$O$6</definedName>
    <definedName name="base_row2">[2]General_inputs!$O$7</definedName>
    <definedName name="Base_year">[2]General_inputs!$F$6</definedName>
    <definedName name="Base_year2">[2]General_inputs!$F$7</definedName>
    <definedName name="Begin_year_chart1">[2]General_inputs!$F$20</definedName>
    <definedName name="End_year_chart1">[2]General_inputs!$F$21</definedName>
    <definedName name="HTML_CodePage" hidden="1">1252</definedName>
    <definedName name="HTML_Control" hidden="1">{"'Sheet1'!$A$1:$K$41"}</definedName>
    <definedName name="HTML_Description" hidden="1">""</definedName>
    <definedName name="HTML_Email" hidden="1">""</definedName>
    <definedName name="HTML_Header" hidden="1">""</definedName>
    <definedName name="HTML_LastUpdate" hidden="1">"7/26/00"</definedName>
    <definedName name="HTML_LineAfter" hidden="1">FALSE</definedName>
    <definedName name="HTML_LineBefore" hidden="1">FALSE</definedName>
    <definedName name="HTML_Name" hidden="1">"Stephanie Battles"</definedName>
    <definedName name="HTML_OBDlg2" hidden="1">TRUE</definedName>
    <definedName name="HTML_OBDlg4" hidden="1">TRUE</definedName>
    <definedName name="HTML_OS" hidden="1">0</definedName>
    <definedName name="HTML_PathFile" hidden="1">"C:\WEBSHARE\WWWROOT\efficiency\spreadsheets\MyHTML.htm"</definedName>
    <definedName name="HTML_Title" hidden="1">"Total Square Feet in U.S. Housing Units"</definedName>
    <definedName name="index_label">[2]General_inputs!$L$6</definedName>
    <definedName name="index_label2">[2]General_inputs!$L$7</definedName>
    <definedName name="Print_Area_MI">[3]Price!#REF!</definedName>
    <definedName name="QtrData">'[4]Authnot Prelim'!#REF!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9" i="2" l="1"/>
  <c r="AL346" i="3" s="1"/>
  <c r="S120" i="2"/>
  <c r="AK347" i="3" s="1"/>
  <c r="T123" i="2"/>
  <c r="AL350" i="3" s="1"/>
  <c r="T124" i="2"/>
  <c r="AL351" i="3" s="1"/>
  <c r="AL353" i="3"/>
  <c r="T128" i="2"/>
  <c r="AL355" i="3" s="1"/>
  <c r="T130" i="2"/>
  <c r="AL357" i="3" s="1"/>
  <c r="S134" i="2"/>
  <c r="AK361" i="3" s="1"/>
  <c r="S135" i="2"/>
  <c r="AK362" i="3" s="1"/>
  <c r="T136" i="2"/>
  <c r="AL363" i="3" s="1"/>
  <c r="S138" i="2"/>
  <c r="AK365" i="3" s="1"/>
  <c r="T139" i="2"/>
  <c r="T138" i="2"/>
  <c r="AL365" i="3" s="1"/>
  <c r="T134" i="2"/>
  <c r="AL361" i="3" s="1"/>
  <c r="T133" i="2"/>
  <c r="AL360" i="3" s="1"/>
  <c r="T131" i="2"/>
  <c r="AL358" i="3" s="1"/>
  <c r="T125" i="2"/>
  <c r="T127" i="2"/>
  <c r="AL354" i="3" s="1"/>
  <c r="S128" i="2"/>
  <c r="AK355" i="3" s="1"/>
  <c r="S129" i="2"/>
  <c r="AK356" i="3" s="1"/>
  <c r="S130" i="2"/>
  <c r="AK357" i="3" s="1"/>
  <c r="S131" i="2"/>
  <c r="AK358" i="3" s="1"/>
  <c r="S132" i="2"/>
  <c r="S133" i="2"/>
  <c r="S136" i="2"/>
  <c r="AK363" i="3" s="1"/>
  <c r="S137" i="2"/>
  <c r="AK364" i="3" s="1"/>
  <c r="S139" i="2"/>
  <c r="S127" i="2"/>
  <c r="AK354" i="3" s="1"/>
  <c r="S122" i="2"/>
  <c r="S123" i="2"/>
  <c r="AK350" i="3" s="1"/>
  <c r="S124" i="2"/>
  <c r="S125" i="2"/>
  <c r="AK352" i="3" s="1"/>
  <c r="S119" i="2"/>
  <c r="T120" i="2"/>
  <c r="AL347" i="3" s="1"/>
  <c r="S121" i="2"/>
  <c r="T121" i="2"/>
  <c r="T118" i="2"/>
  <c r="S118" i="2"/>
  <c r="AK345" i="3" s="1"/>
  <c r="AL345" i="3"/>
  <c r="AQ345" i="3"/>
  <c r="AK346" i="3"/>
  <c r="AQ346" i="3"/>
  <c r="AQ347" i="3"/>
  <c r="AK348" i="3"/>
  <c r="AL348" i="3"/>
  <c r="AQ348" i="3"/>
  <c r="AK349" i="3"/>
  <c r="AL349" i="3"/>
  <c r="AO349" i="3"/>
  <c r="AQ349" i="3"/>
  <c r="AO350" i="3"/>
  <c r="AQ350" i="3"/>
  <c r="AQ351" i="3"/>
  <c r="AL352" i="3"/>
  <c r="AQ352" i="3"/>
  <c r="AO353" i="3"/>
  <c r="AQ353" i="3"/>
  <c r="AP354" i="3"/>
  <c r="AQ354" i="3"/>
  <c r="AQ355" i="3"/>
  <c r="AL356" i="3"/>
  <c r="AQ356" i="3"/>
  <c r="AQ357" i="3"/>
  <c r="AQ358" i="3"/>
  <c r="AK359" i="3"/>
  <c r="AL359" i="3"/>
  <c r="AQ359" i="3"/>
  <c r="AK360" i="3"/>
  <c r="AQ360" i="3"/>
  <c r="AO361" i="3"/>
  <c r="AQ361" i="3"/>
  <c r="AL362" i="3"/>
  <c r="AO362" i="3"/>
  <c r="AQ362" i="3"/>
  <c r="AQ363" i="3"/>
  <c r="AL364" i="3"/>
  <c r="AQ364" i="3"/>
  <c r="AO365" i="3"/>
  <c r="AQ365" i="3"/>
  <c r="AK366" i="3"/>
  <c r="AL366" i="3"/>
  <c r="AQ366" i="3"/>
  <c r="AK351" i="3" l="1"/>
  <c r="D118" i="2" l="1"/>
  <c r="E118" i="2"/>
  <c r="F118" i="2"/>
  <c r="G118" i="2"/>
  <c r="H118" i="2"/>
  <c r="I118" i="2"/>
  <c r="J118" i="2"/>
  <c r="K118" i="2"/>
  <c r="L118" i="2"/>
  <c r="D119" i="2"/>
  <c r="E119" i="2"/>
  <c r="F119" i="2"/>
  <c r="G119" i="2"/>
  <c r="H119" i="2"/>
  <c r="I119" i="2"/>
  <c r="J119" i="2"/>
  <c r="K119" i="2"/>
  <c r="L119" i="2"/>
  <c r="D120" i="2"/>
  <c r="E120" i="2"/>
  <c r="F120" i="2"/>
  <c r="G120" i="2"/>
  <c r="H120" i="2"/>
  <c r="I120" i="2"/>
  <c r="J120" i="2"/>
  <c r="K120" i="2"/>
  <c r="L120" i="2"/>
  <c r="D121" i="2"/>
  <c r="E121" i="2"/>
  <c r="F121" i="2"/>
  <c r="G121" i="2"/>
  <c r="H121" i="2"/>
  <c r="I121" i="2"/>
  <c r="J121" i="2"/>
  <c r="K121" i="2"/>
  <c r="L121" i="2"/>
  <c r="D122" i="2"/>
  <c r="E122" i="2"/>
  <c r="F122" i="2"/>
  <c r="G122" i="2"/>
  <c r="H122" i="2"/>
  <c r="I122" i="2"/>
  <c r="J122" i="2"/>
  <c r="K122" i="2"/>
  <c r="L122" i="2"/>
  <c r="D123" i="2"/>
  <c r="E123" i="2"/>
  <c r="F123" i="2"/>
  <c r="G123" i="2"/>
  <c r="H123" i="2"/>
  <c r="I123" i="2"/>
  <c r="J123" i="2"/>
  <c r="K123" i="2"/>
  <c r="L123" i="2"/>
  <c r="D124" i="2"/>
  <c r="E124" i="2"/>
  <c r="F124" i="2"/>
  <c r="G124" i="2"/>
  <c r="H124" i="2"/>
  <c r="I124" i="2"/>
  <c r="J124" i="2"/>
  <c r="K124" i="2"/>
  <c r="L124" i="2"/>
  <c r="D125" i="2"/>
  <c r="E125" i="2"/>
  <c r="F125" i="2"/>
  <c r="G125" i="2"/>
  <c r="H125" i="2"/>
  <c r="I125" i="2"/>
  <c r="J125" i="2"/>
  <c r="K125" i="2"/>
  <c r="L125" i="2"/>
  <c r="D126" i="2"/>
  <c r="E126" i="2"/>
  <c r="F126" i="2"/>
  <c r="G126" i="2"/>
  <c r="H126" i="2"/>
  <c r="I126" i="2"/>
  <c r="J126" i="2"/>
  <c r="K126" i="2"/>
  <c r="L126" i="2"/>
  <c r="D127" i="2"/>
  <c r="E127" i="2"/>
  <c r="F127" i="2"/>
  <c r="G127" i="2"/>
  <c r="H127" i="2"/>
  <c r="I127" i="2"/>
  <c r="J127" i="2"/>
  <c r="K127" i="2"/>
  <c r="L127" i="2"/>
  <c r="D128" i="2"/>
  <c r="E128" i="2"/>
  <c r="F128" i="2"/>
  <c r="G128" i="2"/>
  <c r="H128" i="2"/>
  <c r="I128" i="2"/>
  <c r="J128" i="2"/>
  <c r="K128" i="2"/>
  <c r="L128" i="2"/>
  <c r="D129" i="2"/>
  <c r="E129" i="2"/>
  <c r="F129" i="2"/>
  <c r="G129" i="2"/>
  <c r="H129" i="2"/>
  <c r="I129" i="2"/>
  <c r="J129" i="2"/>
  <c r="K129" i="2"/>
  <c r="L129" i="2"/>
  <c r="D130" i="2"/>
  <c r="E130" i="2"/>
  <c r="F130" i="2"/>
  <c r="G130" i="2"/>
  <c r="H130" i="2"/>
  <c r="I130" i="2"/>
  <c r="J130" i="2"/>
  <c r="K130" i="2"/>
  <c r="L130" i="2"/>
  <c r="D131" i="2"/>
  <c r="E131" i="2"/>
  <c r="F131" i="2"/>
  <c r="G131" i="2"/>
  <c r="H131" i="2"/>
  <c r="I131" i="2"/>
  <c r="J131" i="2"/>
  <c r="K131" i="2"/>
  <c r="L131" i="2"/>
  <c r="D132" i="2"/>
  <c r="E132" i="2"/>
  <c r="F132" i="2"/>
  <c r="G132" i="2"/>
  <c r="H132" i="2"/>
  <c r="I132" i="2"/>
  <c r="J132" i="2"/>
  <c r="K132" i="2"/>
  <c r="L132" i="2"/>
  <c r="D133" i="2"/>
  <c r="E133" i="2"/>
  <c r="F133" i="2"/>
  <c r="G133" i="2"/>
  <c r="H133" i="2"/>
  <c r="I133" i="2"/>
  <c r="J133" i="2"/>
  <c r="K133" i="2"/>
  <c r="L133" i="2"/>
  <c r="D134" i="2"/>
  <c r="E134" i="2"/>
  <c r="F134" i="2"/>
  <c r="G134" i="2"/>
  <c r="H134" i="2"/>
  <c r="J134" i="2"/>
  <c r="K134" i="2"/>
  <c r="L134" i="2"/>
  <c r="D135" i="2"/>
  <c r="E135" i="2"/>
  <c r="F135" i="2"/>
  <c r="G135" i="2"/>
  <c r="H135" i="2"/>
  <c r="I135" i="2"/>
  <c r="J135" i="2"/>
  <c r="K135" i="2"/>
  <c r="L135" i="2"/>
  <c r="D136" i="2"/>
  <c r="E136" i="2"/>
  <c r="F136" i="2"/>
  <c r="G136" i="2"/>
  <c r="H136" i="2"/>
  <c r="I136" i="2"/>
  <c r="J136" i="2"/>
  <c r="K136" i="2"/>
  <c r="L136" i="2"/>
  <c r="D137" i="2"/>
  <c r="E137" i="2"/>
  <c r="F137" i="2"/>
  <c r="G137" i="2"/>
  <c r="H137" i="2"/>
  <c r="I137" i="2"/>
  <c r="J137" i="2"/>
  <c r="K137" i="2"/>
  <c r="L137" i="2"/>
  <c r="D138" i="2"/>
  <c r="E138" i="2"/>
  <c r="F138" i="2"/>
  <c r="G138" i="2"/>
  <c r="H138" i="2"/>
  <c r="I138" i="2"/>
  <c r="J138" i="2"/>
  <c r="K138" i="2"/>
  <c r="L138" i="2"/>
  <c r="D139" i="2"/>
  <c r="E139" i="2"/>
  <c r="F139" i="2"/>
  <c r="G139" i="2"/>
  <c r="H139" i="2"/>
  <c r="I139" i="2"/>
  <c r="J139" i="2"/>
  <c r="K139" i="2"/>
  <c r="L139" i="2"/>
  <c r="D140" i="2"/>
  <c r="E140" i="2"/>
  <c r="F140" i="2"/>
  <c r="G140" i="2"/>
  <c r="H140" i="2"/>
  <c r="I140" i="2"/>
  <c r="J140" i="2"/>
  <c r="K140" i="2"/>
  <c r="L140" i="2"/>
  <c r="AP90" i="2" l="1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J118" i="2"/>
  <c r="AK118" i="2"/>
  <c r="AJ119" i="2"/>
  <c r="AK119" i="2"/>
  <c r="AJ120" i="2"/>
  <c r="AK120" i="2"/>
  <c r="AJ121" i="2"/>
  <c r="AK121" i="2"/>
  <c r="AJ122" i="2"/>
  <c r="AK122" i="2"/>
  <c r="AJ123" i="2"/>
  <c r="AK123" i="2"/>
  <c r="AJ124" i="2"/>
  <c r="AK124" i="2"/>
  <c r="AJ125" i="2"/>
  <c r="AK125" i="2"/>
  <c r="AJ126" i="2"/>
  <c r="AK126" i="2"/>
  <c r="AJ127" i="2"/>
  <c r="AK127" i="2"/>
  <c r="AJ128" i="2"/>
  <c r="AK128" i="2"/>
  <c r="AJ129" i="2"/>
  <c r="AK129" i="2"/>
  <c r="AJ130" i="2"/>
  <c r="AK130" i="2"/>
  <c r="AJ131" i="2"/>
  <c r="AK131" i="2"/>
  <c r="AJ132" i="2"/>
  <c r="AK132" i="2"/>
  <c r="AJ133" i="2"/>
  <c r="AK133" i="2"/>
  <c r="AJ134" i="2"/>
  <c r="AK134" i="2"/>
  <c r="AJ135" i="2"/>
  <c r="AK135" i="2"/>
  <c r="AJ136" i="2"/>
  <c r="AK136" i="2"/>
  <c r="AJ137" i="2"/>
  <c r="AM137" i="2" s="1"/>
  <c r="AK137" i="2"/>
  <c r="AJ138" i="2"/>
  <c r="AK138" i="2"/>
  <c r="AM127" i="2" l="1"/>
  <c r="AM136" i="2"/>
  <c r="AM130" i="2"/>
  <c r="AM124" i="2"/>
  <c r="AM118" i="2"/>
  <c r="AM125" i="2"/>
  <c r="AM134" i="2"/>
  <c r="AM122" i="2"/>
  <c r="AM128" i="2"/>
  <c r="AM121" i="2"/>
  <c r="AM133" i="2"/>
  <c r="AM132" i="2"/>
  <c r="AM126" i="2"/>
  <c r="AM120" i="2"/>
  <c r="AM138" i="2"/>
  <c r="AM131" i="2"/>
  <c r="AM119" i="2"/>
  <c r="AM135" i="2"/>
  <c r="AM129" i="2"/>
  <c r="AM123" i="2"/>
  <c r="AI138" i="2"/>
  <c r="AH138" i="2"/>
  <c r="AI137" i="2"/>
  <c r="AH137" i="2"/>
  <c r="AI136" i="2"/>
  <c r="AH136" i="2"/>
  <c r="AI135" i="2"/>
  <c r="AH135" i="2"/>
  <c r="AI134" i="2"/>
  <c r="AH134" i="2"/>
  <c r="AI133" i="2"/>
  <c r="AH133" i="2"/>
  <c r="AI132" i="2"/>
  <c r="AH132" i="2"/>
  <c r="AI131" i="2"/>
  <c r="AH131" i="2"/>
  <c r="AI130" i="2"/>
  <c r="AH130" i="2"/>
  <c r="AI129" i="2"/>
  <c r="AH129" i="2"/>
  <c r="AI128" i="2"/>
  <c r="AH128" i="2"/>
  <c r="AI127" i="2"/>
  <c r="AH127" i="2"/>
  <c r="AI126" i="2"/>
  <c r="AH126" i="2"/>
  <c r="AI125" i="2"/>
  <c r="AH125" i="2"/>
  <c r="AI124" i="2"/>
  <c r="AH124" i="2"/>
  <c r="AI123" i="2"/>
  <c r="AH123" i="2"/>
  <c r="AI122" i="2"/>
  <c r="AH122" i="2"/>
  <c r="AI121" i="2"/>
  <c r="AH121" i="2"/>
  <c r="AI120" i="2"/>
  <c r="AH120" i="2"/>
  <c r="AI119" i="2"/>
  <c r="AH119" i="2"/>
  <c r="AI118" i="2"/>
  <c r="AH118" i="2"/>
  <c r="AD9" i="3" l="1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I9" i="3" l="1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E9" i="3" l="1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32" i="3" l="1"/>
  <c r="AF431" i="3"/>
  <c r="AF445" i="3"/>
  <c r="AF430" i="3"/>
  <c r="AF440" i="3"/>
  <c r="AF442" i="3"/>
  <c r="AF438" i="3"/>
  <c r="AF443" i="3"/>
  <c r="AF439" i="3"/>
  <c r="AF437" i="3"/>
  <c r="AF446" i="3"/>
  <c r="AF433" i="3"/>
  <c r="AF444" i="3"/>
  <c r="AF449" i="3"/>
  <c r="AF448" i="3"/>
  <c r="AF441" i="3"/>
  <c r="AF429" i="3"/>
  <c r="AF434" i="3"/>
  <c r="AF436" i="3"/>
  <c r="AF435" i="3"/>
  <c r="AF447" i="3"/>
  <c r="AC9" i="3" l="1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B12" i="3" l="1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9" i="3"/>
  <c r="AB10" i="3"/>
  <c r="AB11" i="3"/>
  <c r="AA13" i="3" l="1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12" i="3"/>
  <c r="AA9" i="3"/>
  <c r="AA10" i="3"/>
  <c r="AA11" i="3"/>
  <c r="Z9" i="3" l="1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K212" i="6" l="1"/>
  <c r="Y118" i="2"/>
  <c r="K191" i="6" s="1"/>
  <c r="Y119" i="2"/>
  <c r="K192" i="6" s="1"/>
  <c r="Y120" i="2"/>
  <c r="K193" i="6" s="1"/>
  <c r="Y121" i="2"/>
  <c r="K194" i="6" s="1"/>
  <c r="Y122" i="2"/>
  <c r="Y123" i="2"/>
  <c r="Y124" i="2"/>
  <c r="K197" i="6" s="1"/>
  <c r="Y125" i="2"/>
  <c r="K198" i="6" s="1"/>
  <c r="Y126" i="2"/>
  <c r="K199" i="6" s="1"/>
  <c r="Y127" i="2"/>
  <c r="K200" i="6" s="1"/>
  <c r="Y128" i="2"/>
  <c r="K201" i="6" s="1"/>
  <c r="Y129" i="2"/>
  <c r="Y130" i="2"/>
  <c r="K203" i="6" s="1"/>
  <c r="Y131" i="2"/>
  <c r="K204" i="6" s="1"/>
  <c r="Y132" i="2"/>
  <c r="Y133" i="2"/>
  <c r="Y134" i="2"/>
  <c r="Y135" i="2"/>
  <c r="K208" i="6" s="1"/>
  <c r="Y136" i="2"/>
  <c r="K209" i="6" s="1"/>
  <c r="Y137" i="2"/>
  <c r="K210" i="6" s="1"/>
  <c r="Y138" i="2"/>
  <c r="K211" i="6" s="1"/>
  <c r="AB90" i="2" l="1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90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78" i="2" l="1"/>
  <c r="Y79" i="2"/>
  <c r="Y80" i="2"/>
  <c r="Y81" i="2"/>
  <c r="Y82" i="2"/>
  <c r="Y83" i="2"/>
  <c r="Y84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K104" i="6" l="1"/>
  <c r="K111" i="6"/>
  <c r="K114" i="6"/>
  <c r="K117" i="6"/>
  <c r="K119" i="6"/>
  <c r="W139" i="2" l="1"/>
  <c r="AO366" i="3" s="1"/>
  <c r="R139" i="2"/>
  <c r="U139" i="2"/>
  <c r="AM366" i="3" s="1"/>
  <c r="V139" i="2"/>
  <c r="AN366" i="3" s="1"/>
  <c r="X139" i="2"/>
  <c r="AP366" i="3" s="1"/>
  <c r="K32" i="6"/>
  <c r="K169" i="6" l="1"/>
  <c r="K133" i="6"/>
  <c r="K134" i="6"/>
  <c r="K137" i="6"/>
  <c r="K145" i="6"/>
  <c r="K146" i="6"/>
  <c r="K149" i="6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18" i="2"/>
  <c r="R118" i="2"/>
  <c r="K69" i="6"/>
  <c r="K100" i="6"/>
  <c r="U118" i="2"/>
  <c r="V118" i="2"/>
  <c r="W118" i="2"/>
  <c r="X118" i="2"/>
  <c r="R119" i="2"/>
  <c r="K70" i="6"/>
  <c r="K101" i="6"/>
  <c r="U119" i="2"/>
  <c r="V119" i="2"/>
  <c r="W119" i="2"/>
  <c r="X119" i="2"/>
  <c r="R120" i="2"/>
  <c r="K71" i="6"/>
  <c r="K102" i="6"/>
  <c r="U120" i="2"/>
  <c r="V120" i="2"/>
  <c r="W120" i="2"/>
  <c r="X120" i="2"/>
  <c r="R121" i="2"/>
  <c r="K72" i="6"/>
  <c r="K103" i="6"/>
  <c r="U121" i="2"/>
  <c r="V121" i="2"/>
  <c r="W121" i="2"/>
  <c r="X121" i="2"/>
  <c r="R122" i="2"/>
  <c r="K73" i="6"/>
  <c r="U122" i="2"/>
  <c r="V122" i="2"/>
  <c r="X122" i="2"/>
  <c r="R123" i="2"/>
  <c r="K74" i="6"/>
  <c r="K105" i="6"/>
  <c r="U123" i="2"/>
  <c r="V123" i="2"/>
  <c r="X123" i="2"/>
  <c r="R124" i="2"/>
  <c r="K75" i="6"/>
  <c r="K106" i="6"/>
  <c r="U124" i="2"/>
  <c r="V124" i="2"/>
  <c r="W124" i="2"/>
  <c r="X124" i="2"/>
  <c r="R125" i="2"/>
  <c r="K76" i="6"/>
  <c r="K107" i="6"/>
  <c r="U125" i="2"/>
  <c r="V125" i="2"/>
  <c r="W125" i="2"/>
  <c r="X125" i="2"/>
  <c r="R126" i="2"/>
  <c r="K108" i="6"/>
  <c r="U126" i="2"/>
  <c r="V126" i="2"/>
  <c r="X126" i="2"/>
  <c r="R127" i="2"/>
  <c r="K78" i="6"/>
  <c r="K109" i="6"/>
  <c r="U127" i="2"/>
  <c r="V127" i="2"/>
  <c r="W127" i="2"/>
  <c r="R128" i="2"/>
  <c r="K79" i="6"/>
  <c r="K110" i="6"/>
  <c r="U128" i="2"/>
  <c r="V128" i="2"/>
  <c r="W128" i="2"/>
  <c r="X128" i="2"/>
  <c r="R129" i="2"/>
  <c r="K80" i="6"/>
  <c r="U129" i="2"/>
  <c r="V129" i="2"/>
  <c r="W129" i="2"/>
  <c r="X129" i="2"/>
  <c r="R130" i="2"/>
  <c r="K81" i="6"/>
  <c r="K112" i="6"/>
  <c r="U130" i="2"/>
  <c r="V130" i="2"/>
  <c r="W130" i="2"/>
  <c r="X130" i="2"/>
  <c r="R131" i="2"/>
  <c r="K82" i="6"/>
  <c r="K113" i="6"/>
  <c r="U131" i="2"/>
  <c r="V131" i="2"/>
  <c r="W131" i="2"/>
  <c r="X131" i="2"/>
  <c r="R132" i="2"/>
  <c r="K83" i="6"/>
  <c r="U132" i="2"/>
  <c r="V132" i="2"/>
  <c r="W132" i="2"/>
  <c r="X132" i="2"/>
  <c r="R133" i="2"/>
  <c r="K84" i="6"/>
  <c r="K115" i="6"/>
  <c r="U133" i="2"/>
  <c r="V133" i="2"/>
  <c r="W133" i="2"/>
  <c r="X133" i="2"/>
  <c r="R134" i="2"/>
  <c r="K85" i="6"/>
  <c r="K116" i="6"/>
  <c r="U134" i="2"/>
  <c r="V134" i="2"/>
  <c r="X134" i="2"/>
  <c r="R135" i="2"/>
  <c r="K86" i="6"/>
  <c r="U135" i="2"/>
  <c r="V135" i="2"/>
  <c r="X135" i="2"/>
  <c r="R136" i="2"/>
  <c r="K87" i="6"/>
  <c r="K118" i="6"/>
  <c r="U136" i="2"/>
  <c r="V136" i="2"/>
  <c r="W136" i="2"/>
  <c r="X136" i="2"/>
  <c r="R137" i="2"/>
  <c r="K88" i="6"/>
  <c r="U137" i="2"/>
  <c r="V137" i="2"/>
  <c r="W137" i="2"/>
  <c r="X137" i="2"/>
  <c r="R138" i="2"/>
  <c r="K89" i="6"/>
  <c r="K120" i="6"/>
  <c r="U138" i="2"/>
  <c r="V138" i="2"/>
  <c r="X138" i="2"/>
  <c r="K173" i="6" l="1"/>
  <c r="AP358" i="3"/>
  <c r="K57" i="6"/>
  <c r="AN362" i="3"/>
  <c r="K28" i="6"/>
  <c r="AM362" i="3"/>
  <c r="K167" i="6"/>
  <c r="AP352" i="3"/>
  <c r="K40" i="6"/>
  <c r="AN345" i="3"/>
  <c r="K148" i="6"/>
  <c r="AO364" i="3"/>
  <c r="K140" i="6"/>
  <c r="AO356" i="3"/>
  <c r="K11" i="6"/>
  <c r="AM345" i="3"/>
  <c r="K160" i="6"/>
  <c r="AP345" i="3"/>
  <c r="K171" i="6"/>
  <c r="AP356" i="3"/>
  <c r="K132" i="6"/>
  <c r="AO348" i="3"/>
  <c r="K59" i="6"/>
  <c r="AN364" i="3"/>
  <c r="K129" i="6"/>
  <c r="AO345" i="3"/>
  <c r="K53" i="6"/>
  <c r="AN358" i="3"/>
  <c r="K24" i="6"/>
  <c r="AM358" i="3"/>
  <c r="K136" i="6"/>
  <c r="AO352" i="3"/>
  <c r="K165" i="6"/>
  <c r="AP350" i="3"/>
  <c r="K178" i="6"/>
  <c r="AP363" i="3"/>
  <c r="K176" i="6"/>
  <c r="AP361" i="3"/>
  <c r="K22" i="6"/>
  <c r="AM356" i="3"/>
  <c r="K20" i="6"/>
  <c r="AM354" i="3"/>
  <c r="K18" i="6"/>
  <c r="AM352" i="3"/>
  <c r="K45" i="6"/>
  <c r="AN350" i="3"/>
  <c r="K43" i="6"/>
  <c r="AN348" i="3"/>
  <c r="K161" i="6"/>
  <c r="AP346" i="3"/>
  <c r="K144" i="6"/>
  <c r="AO360" i="3"/>
  <c r="K42" i="6"/>
  <c r="AN347" i="3"/>
  <c r="K142" i="6"/>
  <c r="AO358" i="3"/>
  <c r="K13" i="6"/>
  <c r="AM347" i="3"/>
  <c r="K163" i="6"/>
  <c r="AP348" i="3"/>
  <c r="K60" i="6"/>
  <c r="AN365" i="3"/>
  <c r="K174" i="6"/>
  <c r="AP359" i="3"/>
  <c r="K16" i="6"/>
  <c r="AM350" i="3"/>
  <c r="K14" i="6"/>
  <c r="AM348" i="3"/>
  <c r="K130" i="6"/>
  <c r="AO346" i="3"/>
  <c r="K31" i="6"/>
  <c r="AM365" i="3"/>
  <c r="K58" i="6"/>
  <c r="AN363" i="3"/>
  <c r="K27" i="6"/>
  <c r="AM361" i="3"/>
  <c r="K143" i="6"/>
  <c r="AO359" i="3"/>
  <c r="K172" i="6"/>
  <c r="AP357" i="3"/>
  <c r="K41" i="6"/>
  <c r="AN346" i="3"/>
  <c r="K77" i="6"/>
  <c r="AK353" i="3"/>
  <c r="K26" i="6"/>
  <c r="AM360" i="3"/>
  <c r="K138" i="6"/>
  <c r="AO354" i="3"/>
  <c r="K49" i="6"/>
  <c r="AN354" i="3"/>
  <c r="K147" i="6"/>
  <c r="AO363" i="3"/>
  <c r="K29" i="6"/>
  <c r="AM363" i="3"/>
  <c r="K54" i="6"/>
  <c r="AN359" i="3"/>
  <c r="K141" i="6"/>
  <c r="AO357" i="3"/>
  <c r="K170" i="6"/>
  <c r="AP355" i="3"/>
  <c r="K12" i="6"/>
  <c r="AM346" i="3"/>
  <c r="K177" i="6"/>
  <c r="AP362" i="3"/>
  <c r="K15" i="6"/>
  <c r="AM349" i="3"/>
  <c r="K51" i="6"/>
  <c r="AN356" i="3"/>
  <c r="K180" i="6"/>
  <c r="AP365" i="3"/>
  <c r="K52" i="6"/>
  <c r="AN357" i="3"/>
  <c r="K168" i="6"/>
  <c r="AP353" i="3"/>
  <c r="K166" i="6"/>
  <c r="AP351" i="3"/>
  <c r="K23" i="6"/>
  <c r="AM357" i="3"/>
  <c r="K50" i="6"/>
  <c r="AN355" i="3"/>
  <c r="K48" i="6"/>
  <c r="AN353" i="3"/>
  <c r="K135" i="6"/>
  <c r="AO351" i="3"/>
  <c r="K164" i="6"/>
  <c r="AP349" i="3"/>
  <c r="K162" i="6"/>
  <c r="AP347" i="3"/>
  <c r="K17" i="6"/>
  <c r="AM351" i="3"/>
  <c r="BA124" i="2"/>
  <c r="K55" i="6"/>
  <c r="AN360" i="3"/>
  <c r="K30" i="6"/>
  <c r="AM364" i="3"/>
  <c r="K47" i="6"/>
  <c r="AN352" i="3"/>
  <c r="K56" i="6"/>
  <c r="AN361" i="3"/>
  <c r="K25" i="6"/>
  <c r="AM359" i="3"/>
  <c r="K139" i="6"/>
  <c r="AO355" i="3"/>
  <c r="K179" i="6"/>
  <c r="AP364" i="3"/>
  <c r="K175" i="6"/>
  <c r="AP360" i="3"/>
  <c r="K21" i="6"/>
  <c r="AM355" i="3"/>
  <c r="K19" i="6"/>
  <c r="AM353" i="3"/>
  <c r="K46" i="6"/>
  <c r="AN351" i="3"/>
  <c r="K44" i="6"/>
  <c r="AN349" i="3"/>
  <c r="K131" i="6"/>
  <c r="AO347" i="3"/>
  <c r="M346" i="13"/>
  <c r="M322" i="13"/>
  <c r="M297" i="13"/>
  <c r="M272" i="13"/>
  <c r="I226" i="13"/>
  <c r="Q223" i="13" s="1"/>
  <c r="M252" i="13" s="1"/>
  <c r="M273" i="13" s="1"/>
  <c r="H219" i="13"/>
  <c r="H220" i="13"/>
  <c r="H221" i="13"/>
  <c r="H222" i="13"/>
  <c r="H223" i="13"/>
  <c r="H224" i="13"/>
  <c r="H225" i="13"/>
  <c r="P222" i="13" s="1"/>
  <c r="H226" i="13"/>
  <c r="P223" i="13" s="1"/>
  <c r="H227" i="13"/>
  <c r="P224" i="13" s="1"/>
  <c r="H228" i="13"/>
  <c r="P225" i="13" s="1"/>
  <c r="H229" i="13"/>
  <c r="P226" i="13" s="1"/>
  <c r="H230" i="13"/>
  <c r="P227" i="13" s="1"/>
  <c r="H231" i="13"/>
  <c r="P228" i="13" s="1"/>
  <c r="H232" i="13"/>
  <c r="P229" i="13" s="1"/>
  <c r="H233" i="13"/>
  <c r="P230" i="13" s="1"/>
  <c r="H234" i="13"/>
  <c r="P231" i="13" s="1"/>
  <c r="H235" i="13"/>
  <c r="P232" i="13" s="1"/>
  <c r="H236" i="13"/>
  <c r="P233" i="13" s="1"/>
  <c r="H237" i="13"/>
  <c r="P234" i="13" s="1"/>
  <c r="H238" i="13"/>
  <c r="P235" i="13" s="1"/>
  <c r="H239" i="13"/>
  <c r="P236" i="13" s="1"/>
  <c r="H240" i="13"/>
  <c r="H241" i="13"/>
  <c r="F240" i="13"/>
  <c r="F219" i="13"/>
  <c r="I219" i="13" s="1"/>
  <c r="F220" i="13"/>
  <c r="I220" i="13" s="1"/>
  <c r="F221" i="13"/>
  <c r="F222" i="13"/>
  <c r="F223" i="13"/>
  <c r="I223" i="13" s="1"/>
  <c r="F224" i="13"/>
  <c r="F225" i="13"/>
  <c r="I225" i="13" s="1"/>
  <c r="Q222" i="13" s="1"/>
  <c r="M251" i="13" s="1"/>
  <c r="F226" i="13"/>
  <c r="F227" i="13"/>
  <c r="I227" i="13" s="1"/>
  <c r="Q224" i="13" s="1"/>
  <c r="M253" i="13" s="1"/>
  <c r="M274" i="13" s="1"/>
  <c r="F228" i="13"/>
  <c r="I228" i="13" s="1"/>
  <c r="Q225" i="13" s="1"/>
  <c r="M254" i="13" s="1"/>
  <c r="M275" i="13" s="1"/>
  <c r="F229" i="13"/>
  <c r="I229" i="13" s="1"/>
  <c r="Q226" i="13" s="1"/>
  <c r="M255" i="13" s="1"/>
  <c r="M276" i="13" s="1"/>
  <c r="F230" i="13"/>
  <c r="I230" i="13" s="1"/>
  <c r="Q227" i="13" s="1"/>
  <c r="M256" i="13" s="1"/>
  <c r="M298" i="13" s="1"/>
  <c r="F231" i="13"/>
  <c r="F232" i="13"/>
  <c r="I232" i="13" s="1"/>
  <c r="Q229" i="13" s="1"/>
  <c r="M258" i="13" s="1"/>
  <c r="M300" i="13" s="1"/>
  <c r="F233" i="13"/>
  <c r="I233" i="13" s="1"/>
  <c r="Q230" i="13" s="1"/>
  <c r="M259" i="13" s="1"/>
  <c r="M301" i="13" s="1"/>
  <c r="F234" i="13"/>
  <c r="I234" i="13" s="1"/>
  <c r="Q231" i="13" s="1"/>
  <c r="M260" i="13" s="1"/>
  <c r="M323" i="13" s="1"/>
  <c r="F235" i="13"/>
  <c r="F236" i="13"/>
  <c r="I236" i="13" s="1"/>
  <c r="Q233" i="13" s="1"/>
  <c r="M262" i="13" s="1"/>
  <c r="M325" i="13" s="1"/>
  <c r="F237" i="13"/>
  <c r="F238" i="13"/>
  <c r="I238" i="13" s="1"/>
  <c r="Q235" i="13" s="1"/>
  <c r="M264" i="13" s="1"/>
  <c r="M347" i="13" s="1"/>
  <c r="F239" i="13"/>
  <c r="I239" i="13" s="1"/>
  <c r="Q236" i="13" s="1"/>
  <c r="M265" i="13" s="1"/>
  <c r="M348" i="13" s="1"/>
  <c r="I235" i="13" l="1"/>
  <c r="Q232" i="13" s="1"/>
  <c r="M261" i="13" s="1"/>
  <c r="M324" i="13" s="1"/>
  <c r="I237" i="13"/>
  <c r="Q234" i="13" s="1"/>
  <c r="M263" i="13" s="1"/>
  <c r="M326" i="13" s="1"/>
  <c r="I222" i="13"/>
  <c r="I224" i="13"/>
  <c r="I221" i="13"/>
  <c r="I231" i="13"/>
  <c r="Q228" i="13" s="1"/>
  <c r="M257" i="13" s="1"/>
  <c r="M299" i="13" s="1"/>
  <c r="P219" i="13"/>
  <c r="Q219" i="13"/>
  <c r="M248" i="13" s="1"/>
  <c r="Q221" i="13"/>
  <c r="M250" i="13" s="1"/>
  <c r="P221" i="13"/>
  <c r="P220" i="13"/>
  <c r="Q220" i="13"/>
  <c r="M249" i="13" s="1"/>
  <c r="P237" i="13" l="1"/>
  <c r="Q237" i="13"/>
  <c r="M266" i="13" s="1"/>
  <c r="D225" i="13"/>
  <c r="I240" i="13" l="1"/>
  <c r="M140" i="2" l="1"/>
  <c r="N140" i="2"/>
  <c r="AL118" i="2"/>
  <c r="N119" i="2"/>
  <c r="AL119" i="2"/>
  <c r="AL120" i="2"/>
  <c r="AN120" i="2"/>
  <c r="AL121" i="2"/>
  <c r="AL122" i="2"/>
  <c r="N123" i="2"/>
  <c r="AL123" i="2"/>
  <c r="AL124" i="2"/>
  <c r="AN124" i="2"/>
  <c r="AL125" i="2"/>
  <c r="AL126" i="2"/>
  <c r="N127" i="2"/>
  <c r="AL127" i="2"/>
  <c r="AL128" i="2"/>
  <c r="AN128" i="2"/>
  <c r="AL129" i="2"/>
  <c r="AL130" i="2"/>
  <c r="N131" i="2"/>
  <c r="AL131" i="2"/>
  <c r="AL132" i="2"/>
  <c r="AN132" i="2"/>
  <c r="AL133" i="2"/>
  <c r="AL134" i="2"/>
  <c r="N135" i="2"/>
  <c r="AL135" i="2"/>
  <c r="AL136" i="2"/>
  <c r="AL137" i="2"/>
  <c r="AL138" i="2"/>
  <c r="AN136" i="2" l="1"/>
  <c r="AN129" i="2"/>
  <c r="AN125" i="2"/>
  <c r="AN121" i="2"/>
  <c r="AN137" i="2"/>
  <c r="AN126" i="2"/>
  <c r="AN122" i="2"/>
  <c r="AN118" i="2"/>
  <c r="AN130" i="2"/>
  <c r="AN138" i="2"/>
  <c r="AN134" i="2"/>
  <c r="N134" i="2"/>
  <c r="N130" i="2"/>
  <c r="AN131" i="2"/>
  <c r="AN127" i="2"/>
  <c r="AN123" i="2"/>
  <c r="AN119" i="2"/>
  <c r="AN133" i="2"/>
  <c r="AN135" i="2"/>
  <c r="N136" i="2"/>
  <c r="N138" i="2"/>
  <c r="N132" i="2"/>
  <c r="N128" i="2"/>
  <c r="N124" i="2"/>
  <c r="N120" i="2"/>
  <c r="M133" i="2"/>
  <c r="N133" i="2"/>
  <c r="N129" i="2"/>
  <c r="N125" i="2"/>
  <c r="N121" i="2"/>
  <c r="M125" i="2"/>
  <c r="M121" i="2"/>
  <c r="N137" i="2"/>
  <c r="M134" i="2"/>
  <c r="M130" i="2"/>
  <c r="AR130" i="2" s="1"/>
  <c r="M126" i="2"/>
  <c r="M122" i="2"/>
  <c r="AS122" i="2" s="1"/>
  <c r="R349" i="3" s="1"/>
  <c r="R433" i="3" s="1"/>
  <c r="M118" i="2"/>
  <c r="M138" i="2"/>
  <c r="M129" i="2"/>
  <c r="M137" i="2"/>
  <c r="N126" i="2"/>
  <c r="N122" i="2"/>
  <c r="N118" i="2"/>
  <c r="M136" i="2"/>
  <c r="M127" i="2"/>
  <c r="M135" i="2"/>
  <c r="AT135" i="2" s="1"/>
  <c r="S362" i="3" s="1"/>
  <c r="S446" i="3" s="1"/>
  <c r="AW133" i="2"/>
  <c r="V360" i="3" s="1"/>
  <c r="V444" i="3" s="1"/>
  <c r="M119" i="2"/>
  <c r="M131" i="2"/>
  <c r="M123" i="2"/>
  <c r="AR123" i="2" s="1"/>
  <c r="M132" i="2"/>
  <c r="M128" i="2"/>
  <c r="AO128" i="2" s="1"/>
  <c r="M124" i="2"/>
  <c r="AO124" i="2" s="1"/>
  <c r="AP124" i="2" s="1"/>
  <c r="M120" i="2"/>
  <c r="BI138" i="9"/>
  <c r="BH138" i="9"/>
  <c r="BI137" i="9"/>
  <c r="BH137" i="9"/>
  <c r="BI136" i="9"/>
  <c r="BH136" i="9"/>
  <c r="BI135" i="9"/>
  <c r="BH135" i="9"/>
  <c r="BI134" i="9"/>
  <c r="BH134" i="9"/>
  <c r="BI133" i="9"/>
  <c r="BH133" i="9"/>
  <c r="BI132" i="9"/>
  <c r="BH132" i="9"/>
  <c r="BI131" i="9"/>
  <c r="BH131" i="9"/>
  <c r="BI130" i="9"/>
  <c r="BH130" i="9"/>
  <c r="BI129" i="9"/>
  <c r="BH129" i="9"/>
  <c r="BI128" i="9"/>
  <c r="BH128" i="9"/>
  <c r="BI127" i="9"/>
  <c r="BH127" i="9"/>
  <c r="BI126" i="9"/>
  <c r="BH126" i="9"/>
  <c r="BI125" i="9"/>
  <c r="BH125" i="9"/>
  <c r="BI124" i="9"/>
  <c r="BH124" i="9"/>
  <c r="BI123" i="9"/>
  <c r="BH123" i="9"/>
  <c r="BI122" i="9"/>
  <c r="BH122" i="9"/>
  <c r="BI121" i="9"/>
  <c r="BH121" i="9"/>
  <c r="BI120" i="9"/>
  <c r="BH120" i="9"/>
  <c r="BI119" i="9"/>
  <c r="BH119" i="9"/>
  <c r="BI118" i="9"/>
  <c r="BH118" i="9"/>
  <c r="BI82" i="9"/>
  <c r="BH82" i="9"/>
  <c r="BI81" i="9"/>
  <c r="BH81" i="9"/>
  <c r="BI80" i="9"/>
  <c r="BH80" i="9"/>
  <c r="BI79" i="9"/>
  <c r="BH79" i="9"/>
  <c r="BI78" i="9"/>
  <c r="BH78" i="9"/>
  <c r="BI77" i="9"/>
  <c r="BH77" i="9"/>
  <c r="BI76" i="9"/>
  <c r="BH76" i="9"/>
  <c r="BI75" i="9"/>
  <c r="BH75" i="9"/>
  <c r="BI74" i="9"/>
  <c r="BH74" i="9"/>
  <c r="BI73" i="9"/>
  <c r="BH73" i="9"/>
  <c r="BI72" i="9"/>
  <c r="BH72" i="9"/>
  <c r="BI71" i="9"/>
  <c r="BH71" i="9"/>
  <c r="BI70" i="9"/>
  <c r="BH70" i="9"/>
  <c r="BI69" i="9"/>
  <c r="BH69" i="9"/>
  <c r="BI68" i="9"/>
  <c r="BH68" i="9"/>
  <c r="BI67" i="9"/>
  <c r="BH67" i="9"/>
  <c r="BI66" i="9"/>
  <c r="BH66" i="9"/>
  <c r="BI65" i="9"/>
  <c r="BH65" i="9"/>
  <c r="BI64" i="9"/>
  <c r="BH64" i="9"/>
  <c r="BI63" i="9"/>
  <c r="BH63" i="9"/>
  <c r="BI62" i="9"/>
  <c r="BH62" i="9"/>
  <c r="BI52" i="9"/>
  <c r="BH52" i="9"/>
  <c r="BI51" i="9"/>
  <c r="BH51" i="9"/>
  <c r="BI50" i="9"/>
  <c r="BH50" i="9"/>
  <c r="BI49" i="9"/>
  <c r="BH49" i="9"/>
  <c r="BI48" i="9"/>
  <c r="BH48" i="9"/>
  <c r="BI47" i="9"/>
  <c r="BH47" i="9"/>
  <c r="BI46" i="9"/>
  <c r="BH46" i="9"/>
  <c r="BI45" i="9"/>
  <c r="BH45" i="9"/>
  <c r="BI44" i="9"/>
  <c r="BH44" i="9"/>
  <c r="BI43" i="9"/>
  <c r="BH43" i="9"/>
  <c r="BI42" i="9"/>
  <c r="BH42" i="9"/>
  <c r="BI41" i="9"/>
  <c r="BH41" i="9"/>
  <c r="BI40" i="9"/>
  <c r="BH40" i="9"/>
  <c r="BI39" i="9"/>
  <c r="BH39" i="9"/>
  <c r="BI38" i="9"/>
  <c r="BH38" i="9"/>
  <c r="BI37" i="9"/>
  <c r="BH37" i="9"/>
  <c r="BI36" i="9"/>
  <c r="BH36" i="9"/>
  <c r="BI35" i="9"/>
  <c r="BH35" i="9"/>
  <c r="BI34" i="9"/>
  <c r="BH34" i="9"/>
  <c r="BI33" i="9"/>
  <c r="BH33" i="9"/>
  <c r="BI32" i="9"/>
  <c r="BH32" i="9"/>
  <c r="BI25" i="9"/>
  <c r="BH25" i="9"/>
  <c r="BI24" i="9"/>
  <c r="BH24" i="9"/>
  <c r="BI23" i="9"/>
  <c r="BH23" i="9"/>
  <c r="BI22" i="9"/>
  <c r="BH22" i="9"/>
  <c r="BI21" i="9"/>
  <c r="BH21" i="9"/>
  <c r="BI20" i="9"/>
  <c r="BH20" i="9"/>
  <c r="BI19" i="9"/>
  <c r="BH19" i="9"/>
  <c r="BI18" i="9"/>
  <c r="BH18" i="9"/>
  <c r="BI17" i="9"/>
  <c r="BH17" i="9"/>
  <c r="BI16" i="9"/>
  <c r="BH16" i="9"/>
  <c r="BI15" i="9"/>
  <c r="BH15" i="9"/>
  <c r="BI14" i="9"/>
  <c r="BH14" i="9"/>
  <c r="BI13" i="9"/>
  <c r="BH13" i="9"/>
  <c r="BI12" i="9"/>
  <c r="BH12" i="9"/>
  <c r="BI11" i="9"/>
  <c r="BH11" i="9"/>
  <c r="BI10" i="9"/>
  <c r="BH10" i="9"/>
  <c r="BI9" i="9"/>
  <c r="BH9" i="9"/>
  <c r="BI8" i="9"/>
  <c r="BH8" i="9"/>
  <c r="BI7" i="9"/>
  <c r="BH7" i="9"/>
  <c r="BI6" i="9"/>
  <c r="BH6" i="9"/>
  <c r="BI5" i="9"/>
  <c r="BH5" i="9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K82" i="2"/>
  <c r="AJ82" i="2"/>
  <c r="AK81" i="2"/>
  <c r="AJ81" i="2"/>
  <c r="AK80" i="2"/>
  <c r="AJ80" i="2"/>
  <c r="AK79" i="2"/>
  <c r="AJ79" i="2"/>
  <c r="AK78" i="2"/>
  <c r="AJ78" i="2"/>
  <c r="AK77" i="2"/>
  <c r="AJ77" i="2"/>
  <c r="AK76" i="2"/>
  <c r="AJ76" i="2"/>
  <c r="AK75" i="2"/>
  <c r="AJ75" i="2"/>
  <c r="AK74" i="2"/>
  <c r="AJ74" i="2"/>
  <c r="AK73" i="2"/>
  <c r="AJ73" i="2"/>
  <c r="AK72" i="2"/>
  <c r="AJ72" i="2"/>
  <c r="AK71" i="2"/>
  <c r="AJ71" i="2"/>
  <c r="AK70" i="2"/>
  <c r="AJ70" i="2"/>
  <c r="AK69" i="2"/>
  <c r="AJ69" i="2"/>
  <c r="AK68" i="2"/>
  <c r="AJ68" i="2"/>
  <c r="AK67" i="2"/>
  <c r="AJ67" i="2"/>
  <c r="AK66" i="2"/>
  <c r="AJ66" i="2"/>
  <c r="AK65" i="2"/>
  <c r="AJ65" i="2"/>
  <c r="AK64" i="2"/>
  <c r="AJ64" i="2"/>
  <c r="AK63" i="2"/>
  <c r="AJ63" i="2"/>
  <c r="AK62" i="2"/>
  <c r="AJ62" i="2"/>
  <c r="AK52" i="2"/>
  <c r="AJ52" i="2"/>
  <c r="AK51" i="2"/>
  <c r="AJ51" i="2"/>
  <c r="AK50" i="2"/>
  <c r="AJ50" i="2"/>
  <c r="AK49" i="2"/>
  <c r="AJ49" i="2"/>
  <c r="AK48" i="2"/>
  <c r="AJ48" i="2"/>
  <c r="AK47" i="2"/>
  <c r="AJ47" i="2"/>
  <c r="AK46" i="2"/>
  <c r="AJ46" i="2"/>
  <c r="AK45" i="2"/>
  <c r="AJ45" i="2"/>
  <c r="AK44" i="2"/>
  <c r="AJ44" i="2"/>
  <c r="AK43" i="2"/>
  <c r="AJ43" i="2"/>
  <c r="AK42" i="2"/>
  <c r="AJ42" i="2"/>
  <c r="AK41" i="2"/>
  <c r="AJ41" i="2"/>
  <c r="AK40" i="2"/>
  <c r="AJ40" i="2"/>
  <c r="AK39" i="2"/>
  <c r="AJ39" i="2"/>
  <c r="AK38" i="2"/>
  <c r="AJ38" i="2"/>
  <c r="AK37" i="2"/>
  <c r="AJ37" i="2"/>
  <c r="AK36" i="2"/>
  <c r="AJ36" i="2"/>
  <c r="AK35" i="2"/>
  <c r="AJ35" i="2"/>
  <c r="AK34" i="2"/>
  <c r="AJ34" i="2"/>
  <c r="AK33" i="2"/>
  <c r="AJ33" i="2"/>
  <c r="AK32" i="2"/>
  <c r="AJ32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K10" i="2"/>
  <c r="AJ10" i="2"/>
  <c r="AK9" i="2"/>
  <c r="AJ9" i="2"/>
  <c r="AK8" i="2"/>
  <c r="AJ8" i="2"/>
  <c r="AK7" i="2"/>
  <c r="AJ7" i="2"/>
  <c r="AK6" i="2"/>
  <c r="AJ6" i="2"/>
  <c r="AK5" i="2"/>
  <c r="AJ5" i="2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Z110" i="9"/>
  <c r="AY110" i="9"/>
  <c r="AZ109" i="9"/>
  <c r="AY109" i="9"/>
  <c r="AZ108" i="9"/>
  <c r="AY108" i="9"/>
  <c r="AZ107" i="9"/>
  <c r="AY107" i="9"/>
  <c r="AZ106" i="9"/>
  <c r="AY106" i="9"/>
  <c r="AZ105" i="9"/>
  <c r="AY105" i="9"/>
  <c r="AZ104" i="9"/>
  <c r="AY104" i="9"/>
  <c r="AZ103" i="9"/>
  <c r="AY103" i="9"/>
  <c r="AZ102" i="9"/>
  <c r="AY102" i="9"/>
  <c r="AZ101" i="9"/>
  <c r="AY101" i="9"/>
  <c r="AZ100" i="9"/>
  <c r="AY100" i="9"/>
  <c r="AZ99" i="9"/>
  <c r="AY99" i="9"/>
  <c r="AZ98" i="9"/>
  <c r="AY98" i="9"/>
  <c r="AZ97" i="9"/>
  <c r="AY97" i="9"/>
  <c r="AZ96" i="9"/>
  <c r="AY96" i="9"/>
  <c r="AZ95" i="9"/>
  <c r="AY95" i="9"/>
  <c r="AZ94" i="9"/>
  <c r="AY94" i="9"/>
  <c r="AZ93" i="9"/>
  <c r="AY93" i="9"/>
  <c r="AZ92" i="9"/>
  <c r="AY92" i="9"/>
  <c r="AZ91" i="9"/>
  <c r="AY91" i="9"/>
  <c r="AZ90" i="9"/>
  <c r="AY90" i="9"/>
  <c r="AZ89" i="9"/>
  <c r="AY89" i="9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W130" i="2" l="1"/>
  <c r="V357" i="3" s="1"/>
  <c r="V441" i="3" s="1"/>
  <c r="AX130" i="2"/>
  <c r="W357" i="3" s="1"/>
  <c r="W441" i="3" s="1"/>
  <c r="AO126" i="2"/>
  <c r="AT132" i="2"/>
  <c r="S359" i="3" s="1"/>
  <c r="S443" i="3" s="1"/>
  <c r="AX123" i="2"/>
  <c r="W350" i="3" s="1"/>
  <c r="W434" i="3" s="1"/>
  <c r="AO119" i="2"/>
  <c r="AO137" i="2"/>
  <c r="AT121" i="2"/>
  <c r="S348" i="3" s="1"/>
  <c r="S432" i="3" s="1"/>
  <c r="AO123" i="2"/>
  <c r="AS134" i="2"/>
  <c r="R361" i="3" s="1"/>
  <c r="R445" i="3" s="1"/>
  <c r="AW123" i="2"/>
  <c r="V350" i="3" s="1"/>
  <c r="V434" i="3" s="1"/>
  <c r="AU137" i="2"/>
  <c r="T364" i="3" s="1"/>
  <c r="T448" i="3" s="1"/>
  <c r="AU125" i="2"/>
  <c r="T352" i="3" s="1"/>
  <c r="T436" i="3" s="1"/>
  <c r="AO127" i="2"/>
  <c r="AT134" i="2"/>
  <c r="S361" i="3" s="1"/>
  <c r="S445" i="3" s="1"/>
  <c r="AW131" i="2"/>
  <c r="V358" i="3" s="1"/>
  <c r="V442" i="3" s="1"/>
  <c r="AW129" i="2"/>
  <c r="V356" i="3" s="1"/>
  <c r="V440" i="3" s="1"/>
  <c r="AV134" i="2"/>
  <c r="U361" i="3" s="1"/>
  <c r="U445" i="3" s="1"/>
  <c r="AO131" i="2"/>
  <c r="AO121" i="2"/>
  <c r="AX134" i="2"/>
  <c r="W361" i="3" s="1"/>
  <c r="W445" i="3" s="1"/>
  <c r="AO125" i="2"/>
  <c r="AU119" i="2"/>
  <c r="T346" i="3" s="1"/>
  <c r="T430" i="3" s="1"/>
  <c r="AX138" i="2"/>
  <c r="W365" i="3" s="1"/>
  <c r="W449" i="3" s="1"/>
  <c r="AT129" i="2"/>
  <c r="S356" i="3" s="1"/>
  <c r="S440" i="3" s="1"/>
  <c r="AO129" i="2"/>
  <c r="AU118" i="2"/>
  <c r="T345" i="3" s="1"/>
  <c r="T429" i="3" s="1"/>
  <c r="AO134" i="2"/>
  <c r="AO136" i="2"/>
  <c r="AT120" i="2"/>
  <c r="S347" i="3" s="1"/>
  <c r="S431" i="3" s="1"/>
  <c r="AW135" i="2"/>
  <c r="V362" i="3" s="1"/>
  <c r="V446" i="3" s="1"/>
  <c r="AR122" i="2"/>
  <c r="Q349" i="3" s="1"/>
  <c r="Q433" i="3" s="1"/>
  <c r="AO138" i="2"/>
  <c r="AU124" i="2"/>
  <c r="T351" i="3" s="1"/>
  <c r="T435" i="3" s="1"/>
  <c r="AW127" i="2"/>
  <c r="V354" i="3" s="1"/>
  <c r="V438" i="3" s="1"/>
  <c r="AX126" i="2"/>
  <c r="W353" i="3" s="1"/>
  <c r="W437" i="3" s="1"/>
  <c r="AV131" i="2"/>
  <c r="U358" i="3" s="1"/>
  <c r="U442" i="3" s="1"/>
  <c r="AO135" i="2"/>
  <c r="AO130" i="2"/>
  <c r="AX128" i="2"/>
  <c r="W355" i="3" s="1"/>
  <c r="W439" i="3" s="1"/>
  <c r="AX136" i="2"/>
  <c r="W363" i="3" s="1"/>
  <c r="W447" i="3" s="1"/>
  <c r="AO133" i="2"/>
  <c r="AO118" i="2"/>
  <c r="AO132" i="2"/>
  <c r="AU129" i="2"/>
  <c r="T356" i="3" s="1"/>
  <c r="T440" i="3" s="1"/>
  <c r="AV130" i="2"/>
  <c r="U357" i="3" s="1"/>
  <c r="U441" i="3" s="1"/>
  <c r="AU133" i="2"/>
  <c r="T360" i="3" s="1"/>
  <c r="T444" i="3" s="1"/>
  <c r="AO120" i="2"/>
  <c r="AO122" i="2"/>
  <c r="AR128" i="2"/>
  <c r="Q355" i="3" s="1"/>
  <c r="Q439" i="3" s="1"/>
  <c r="AR135" i="2"/>
  <c r="AX129" i="2"/>
  <c r="W356" i="3" s="1"/>
  <c r="W440" i="3" s="1"/>
  <c r="AV123" i="2"/>
  <c r="U350" i="3" s="1"/>
  <c r="U434" i="3" s="1"/>
  <c r="AS129" i="2"/>
  <c r="R356" i="3" s="1"/>
  <c r="R440" i="3" s="1"/>
  <c r="AX133" i="2"/>
  <c r="W360" i="3" s="1"/>
  <c r="W444" i="3" s="1"/>
  <c r="AW121" i="2"/>
  <c r="V348" i="3" s="1"/>
  <c r="V432" i="3" s="1"/>
  <c r="AR120" i="2"/>
  <c r="Q347" i="3" s="1"/>
  <c r="Q431" i="3" s="1"/>
  <c r="AS135" i="2"/>
  <c r="R362" i="3" s="1"/>
  <c r="R446" i="3" s="1"/>
  <c r="AS133" i="2"/>
  <c r="R360" i="3" s="1"/>
  <c r="R444" i="3" s="1"/>
  <c r="AU121" i="2"/>
  <c r="T348" i="3" s="1"/>
  <c r="AV129" i="2"/>
  <c r="U356" i="3" s="1"/>
  <c r="U440" i="3" s="1"/>
  <c r="AW137" i="2"/>
  <c r="V364" i="3" s="1"/>
  <c r="V448" i="3" s="1"/>
  <c r="AV124" i="2"/>
  <c r="U351" i="3" s="1"/>
  <c r="U435" i="3" s="1"/>
  <c r="AX118" i="2"/>
  <c r="W345" i="3" s="1"/>
  <c r="W429" i="3" s="1"/>
  <c r="AV137" i="2"/>
  <c r="U364" i="3" s="1"/>
  <c r="U448" i="3" s="1"/>
  <c r="AV133" i="2"/>
  <c r="U360" i="3" s="1"/>
  <c r="AS137" i="2"/>
  <c r="R364" i="3" s="1"/>
  <c r="R448" i="3" s="1"/>
  <c r="AR126" i="2"/>
  <c r="Q353" i="3" s="1"/>
  <c r="Q437" i="3" s="1"/>
  <c r="AW126" i="2"/>
  <c r="V353" i="3" s="1"/>
  <c r="V437" i="3" s="1"/>
  <c r="AT123" i="2"/>
  <c r="S350" i="3" s="1"/>
  <c r="S371" i="3" s="1"/>
  <c r="AS126" i="2"/>
  <c r="R353" i="3" s="1"/>
  <c r="R437" i="3" s="1"/>
  <c r="AW120" i="2"/>
  <c r="V347" i="3" s="1"/>
  <c r="AR131" i="2"/>
  <c r="Q358" i="3" s="1"/>
  <c r="Q442" i="3" s="1"/>
  <c r="AV120" i="2"/>
  <c r="U347" i="3" s="1"/>
  <c r="U431" i="3" s="1"/>
  <c r="AW124" i="2"/>
  <c r="V351" i="3" s="1"/>
  <c r="V435" i="3" s="1"/>
  <c r="AV126" i="2"/>
  <c r="U353" i="3" s="1"/>
  <c r="U437" i="3" s="1"/>
  <c r="AR124" i="2"/>
  <c r="AT124" i="2"/>
  <c r="S351" i="3" s="1"/>
  <c r="S435" i="3" s="1"/>
  <c r="AR138" i="2"/>
  <c r="AV135" i="2"/>
  <c r="U362" i="3" s="1"/>
  <c r="U446" i="3" s="1"/>
  <c r="AS130" i="2"/>
  <c r="R357" i="3" s="1"/>
  <c r="R441" i="3" s="1"/>
  <c r="AU126" i="2"/>
  <c r="T353" i="3" s="1"/>
  <c r="T416" i="3" s="1"/>
  <c r="AV138" i="2"/>
  <c r="U365" i="3" s="1"/>
  <c r="U407" i="3" s="1"/>
  <c r="AR118" i="2"/>
  <c r="Q345" i="3" s="1"/>
  <c r="Q429" i="3" s="1"/>
  <c r="AV121" i="2"/>
  <c r="U348" i="3" s="1"/>
  <c r="U432" i="3" s="1"/>
  <c r="AX121" i="2"/>
  <c r="W348" i="3" s="1"/>
  <c r="W432" i="3" s="1"/>
  <c r="AT133" i="2"/>
  <c r="S360" i="3" s="1"/>
  <c r="AR133" i="2"/>
  <c r="AS120" i="2"/>
  <c r="R347" i="3" s="1"/>
  <c r="R431" i="3" s="1"/>
  <c r="AU120" i="2"/>
  <c r="T347" i="3" s="1"/>
  <c r="T431" i="3" s="1"/>
  <c r="AX120" i="2"/>
  <c r="W347" i="3" s="1"/>
  <c r="W431" i="3" s="1"/>
  <c r="AR129" i="2"/>
  <c r="Q356" i="3" s="1"/>
  <c r="Q440" i="3" s="1"/>
  <c r="AX124" i="2"/>
  <c r="W351" i="3" s="1"/>
  <c r="W435" i="3" s="1"/>
  <c r="AT130" i="2"/>
  <c r="S357" i="3" s="1"/>
  <c r="S420" i="3" s="1"/>
  <c r="W405" i="3"/>
  <c r="T408" i="3"/>
  <c r="T387" i="3"/>
  <c r="AS125" i="2"/>
  <c r="R352" i="3" s="1"/>
  <c r="R436" i="3" s="1"/>
  <c r="W418" i="3"/>
  <c r="W376" i="3"/>
  <c r="AT136" i="2"/>
  <c r="S363" i="3" s="1"/>
  <c r="S447" i="3" s="1"/>
  <c r="AW125" i="2"/>
  <c r="V352" i="3" s="1"/>
  <c r="V436" i="3" s="1"/>
  <c r="W419" i="3"/>
  <c r="W398" i="3"/>
  <c r="AS127" i="2"/>
  <c r="R354" i="3" s="1"/>
  <c r="R438" i="3" s="1"/>
  <c r="U382" i="3"/>
  <c r="S403" i="3"/>
  <c r="S424" i="3"/>
  <c r="S382" i="3"/>
  <c r="V406" i="3"/>
  <c r="V427" i="3"/>
  <c r="V385" i="3"/>
  <c r="AT128" i="2"/>
  <c r="S355" i="3" s="1"/>
  <c r="S439" i="3" s="1"/>
  <c r="AV128" i="2"/>
  <c r="U355" i="3" s="1"/>
  <c r="U439" i="3" s="1"/>
  <c r="AT119" i="2"/>
  <c r="S346" i="3" s="1"/>
  <c r="S430" i="3" s="1"/>
  <c r="AX119" i="2"/>
  <c r="W346" i="3" s="1"/>
  <c r="W430" i="3" s="1"/>
  <c r="AU131" i="2"/>
  <c r="T358" i="3" s="1"/>
  <c r="T442" i="3" s="1"/>
  <c r="AX135" i="2"/>
  <c r="W362" i="3" s="1"/>
  <c r="W446" i="3" s="1"/>
  <c r="W399" i="3"/>
  <c r="W378" i="3"/>
  <c r="W420" i="3"/>
  <c r="V423" i="3"/>
  <c r="V402" i="3"/>
  <c r="V381" i="3"/>
  <c r="AU130" i="2"/>
  <c r="T357" i="3" s="1"/>
  <c r="T441" i="3" s="1"/>
  <c r="AS131" i="2"/>
  <c r="R358" i="3" s="1"/>
  <c r="R442" i="3" s="1"/>
  <c r="AX132" i="2"/>
  <c r="W359" i="3" s="1"/>
  <c r="W443" i="3" s="1"/>
  <c r="AV119" i="2"/>
  <c r="U346" i="3" s="1"/>
  <c r="U430" i="3" s="1"/>
  <c r="AU138" i="2"/>
  <c r="T365" i="3" s="1"/>
  <c r="T449" i="3" s="1"/>
  <c r="AR132" i="2"/>
  <c r="V420" i="3"/>
  <c r="AR119" i="2"/>
  <c r="AR136" i="2"/>
  <c r="AV132" i="2"/>
  <c r="U359" i="3" s="1"/>
  <c r="U443" i="3" s="1"/>
  <c r="AS118" i="2"/>
  <c r="R345" i="3" s="1"/>
  <c r="R429" i="3" s="1"/>
  <c r="M139" i="2"/>
  <c r="AR134" i="2"/>
  <c r="AU134" i="2"/>
  <c r="T361" i="3" s="1"/>
  <c r="T445" i="3" s="1"/>
  <c r="W392" i="3"/>
  <c r="W413" i="3"/>
  <c r="W387" i="3"/>
  <c r="W408" i="3"/>
  <c r="W366" i="3"/>
  <c r="S422" i="3"/>
  <c r="S380" i="3"/>
  <c r="S401" i="3"/>
  <c r="AX125" i="2"/>
  <c r="W352" i="3" s="1"/>
  <c r="W436" i="3" s="1"/>
  <c r="Q362" i="3"/>
  <c r="Q446" i="3" s="1"/>
  <c r="S425" i="3"/>
  <c r="S404" i="3"/>
  <c r="S383" i="3"/>
  <c r="V393" i="3"/>
  <c r="V372" i="3"/>
  <c r="V414" i="3"/>
  <c r="R391" i="3"/>
  <c r="R370" i="3"/>
  <c r="R412" i="3"/>
  <c r="Q360" i="3"/>
  <c r="Q444" i="3" s="1"/>
  <c r="AX131" i="2"/>
  <c r="W358" i="3" s="1"/>
  <c r="W442" i="3" s="1"/>
  <c r="AU128" i="2"/>
  <c r="T355" i="3" s="1"/>
  <c r="T439" i="3" s="1"/>
  <c r="AU136" i="2"/>
  <c r="T363" i="3" s="1"/>
  <c r="T447" i="3" s="1"/>
  <c r="N139" i="2"/>
  <c r="AW136" i="2"/>
  <c r="V363" i="3" s="1"/>
  <c r="V447" i="3" s="1"/>
  <c r="AT127" i="2"/>
  <c r="S354" i="3" s="1"/>
  <c r="S438" i="3" s="1"/>
  <c r="U392" i="3"/>
  <c r="AW122" i="2"/>
  <c r="V349" i="3" s="1"/>
  <c r="V433" i="3" s="1"/>
  <c r="AT125" i="2"/>
  <c r="S352" i="3" s="1"/>
  <c r="S436" i="3" s="1"/>
  <c r="AW134" i="2"/>
  <c r="V361" i="3" s="1"/>
  <c r="V445" i="3" s="1"/>
  <c r="R427" i="3"/>
  <c r="S410" i="3"/>
  <c r="S389" i="3"/>
  <c r="S368" i="3"/>
  <c r="AS136" i="2"/>
  <c r="R363" i="3" s="1"/>
  <c r="R447" i="3" s="1"/>
  <c r="AS124" i="2"/>
  <c r="R351" i="3" s="1"/>
  <c r="R435" i="3" s="1"/>
  <c r="AU132" i="2"/>
  <c r="T359" i="3" s="1"/>
  <c r="T443" i="3" s="1"/>
  <c r="AX137" i="2"/>
  <c r="W364" i="3" s="1"/>
  <c r="W448" i="3" s="1"/>
  <c r="AS119" i="2"/>
  <c r="R346" i="3" s="1"/>
  <c r="R430" i="3" s="1"/>
  <c r="AR137" i="2"/>
  <c r="AW128" i="2"/>
  <c r="V355" i="3" s="1"/>
  <c r="V439" i="3" s="1"/>
  <c r="AU123" i="2"/>
  <c r="T350" i="3" s="1"/>
  <c r="T434" i="3" s="1"/>
  <c r="AS138" i="2"/>
  <c r="R365" i="3" s="1"/>
  <c r="R449" i="3" s="1"/>
  <c r="AT118" i="2"/>
  <c r="S345" i="3" s="1"/>
  <c r="S429" i="3" s="1"/>
  <c r="AV118" i="2"/>
  <c r="U345" i="3" s="1"/>
  <c r="U429" i="3" s="1"/>
  <c r="AT137" i="2"/>
  <c r="S364" i="3" s="1"/>
  <c r="S448" i="3" s="1"/>
  <c r="U385" i="3"/>
  <c r="U406" i="3"/>
  <c r="AV125" i="2"/>
  <c r="U352" i="3" s="1"/>
  <c r="U436" i="3" s="1"/>
  <c r="AV136" i="2"/>
  <c r="U363" i="3" s="1"/>
  <c r="U447" i="3" s="1"/>
  <c r="T368" i="3"/>
  <c r="T410" i="3"/>
  <c r="U389" i="3"/>
  <c r="U410" i="3"/>
  <c r="U368" i="3"/>
  <c r="T427" i="3"/>
  <c r="AT131" i="2"/>
  <c r="S358" i="3" s="1"/>
  <c r="S442" i="3" s="1"/>
  <c r="AT138" i="2"/>
  <c r="S365" i="3" s="1"/>
  <c r="S449" i="3" s="1"/>
  <c r="AW119" i="2"/>
  <c r="V346" i="3" s="1"/>
  <c r="V430" i="3" s="1"/>
  <c r="AW138" i="2"/>
  <c r="V365" i="3" s="1"/>
  <c r="V449" i="3" s="1"/>
  <c r="Q357" i="3"/>
  <c r="Q441" i="3" s="1"/>
  <c r="AX122" i="2"/>
  <c r="W349" i="3" s="1"/>
  <c r="W433" i="3" s="1"/>
  <c r="Q350" i="3"/>
  <c r="Q434" i="3" s="1"/>
  <c r="AS128" i="2"/>
  <c r="R355" i="3" s="1"/>
  <c r="R439" i="3" s="1"/>
  <c r="AX127" i="2"/>
  <c r="W354" i="3" s="1"/>
  <c r="W438" i="3" s="1"/>
  <c r="W390" i="3"/>
  <c r="W369" i="3"/>
  <c r="W411" i="3"/>
  <c r="AU122" i="2"/>
  <c r="T349" i="3" s="1"/>
  <c r="T433" i="3" s="1"/>
  <c r="AW132" i="2"/>
  <c r="V359" i="3" s="1"/>
  <c r="V443" i="3" s="1"/>
  <c r="AV127" i="2"/>
  <c r="U354" i="3" s="1"/>
  <c r="U438" i="3" s="1"/>
  <c r="AT122" i="2"/>
  <c r="S349" i="3" s="1"/>
  <c r="S433" i="3" s="1"/>
  <c r="AS121" i="2"/>
  <c r="R348" i="3" s="1"/>
  <c r="R432" i="3" s="1"/>
  <c r="AW118" i="2"/>
  <c r="V345" i="3" s="1"/>
  <c r="V429" i="3" s="1"/>
  <c r="Q365" i="3"/>
  <c r="Q449" i="3" s="1"/>
  <c r="AS123" i="2"/>
  <c r="R350" i="3" s="1"/>
  <c r="R434" i="3" s="1"/>
  <c r="AU135" i="2"/>
  <c r="T362" i="3" s="1"/>
  <c r="T446" i="3" s="1"/>
  <c r="AR121" i="2"/>
  <c r="AT126" i="2"/>
  <c r="S353" i="3" s="1"/>
  <c r="S437" i="3" s="1"/>
  <c r="AV122" i="2"/>
  <c r="U349" i="3" s="1"/>
  <c r="U433" i="3" s="1"/>
  <c r="Q351" i="3"/>
  <c r="Q435" i="3" s="1"/>
  <c r="V379" i="3"/>
  <c r="V400" i="3"/>
  <c r="V421" i="3"/>
  <c r="AS132" i="2"/>
  <c r="R359" i="3" s="1"/>
  <c r="R443" i="3" s="1"/>
  <c r="AR127" i="2"/>
  <c r="U414" i="3"/>
  <c r="U393" i="3"/>
  <c r="U372" i="3"/>
  <c r="AU127" i="2"/>
  <c r="T354" i="3" s="1"/>
  <c r="T438" i="3" s="1"/>
  <c r="AR125" i="2"/>
  <c r="N27" i="9"/>
  <c r="M27" i="9"/>
  <c r="M26" i="9"/>
  <c r="L21" i="9"/>
  <c r="K21" i="9"/>
  <c r="L10" i="9"/>
  <c r="N27" i="2"/>
  <c r="M27" i="2"/>
  <c r="L27" i="2"/>
  <c r="K27" i="2"/>
  <c r="J27" i="2"/>
  <c r="I27" i="2"/>
  <c r="H27" i="2"/>
  <c r="G27" i="2"/>
  <c r="F27" i="2"/>
  <c r="E27" i="2"/>
  <c r="D27" i="2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19" i="2"/>
  <c r="M19" i="2"/>
  <c r="L19" i="2"/>
  <c r="K19" i="2"/>
  <c r="J19" i="2"/>
  <c r="I19" i="2"/>
  <c r="H19" i="2"/>
  <c r="G19" i="2"/>
  <c r="F19" i="2"/>
  <c r="E19" i="2"/>
  <c r="D19" i="2"/>
  <c r="N18" i="2"/>
  <c r="M18" i="2"/>
  <c r="L18" i="2"/>
  <c r="K18" i="2"/>
  <c r="J18" i="2"/>
  <c r="I18" i="2"/>
  <c r="H18" i="2"/>
  <c r="G18" i="2"/>
  <c r="F18" i="2"/>
  <c r="E18" i="2"/>
  <c r="D18" i="2"/>
  <c r="N17" i="2"/>
  <c r="M17" i="2"/>
  <c r="L17" i="2"/>
  <c r="K17" i="2"/>
  <c r="J17" i="2"/>
  <c r="I17" i="2"/>
  <c r="H17" i="2"/>
  <c r="G17" i="2"/>
  <c r="F17" i="2"/>
  <c r="E17" i="2"/>
  <c r="D17" i="2"/>
  <c r="N16" i="2"/>
  <c r="M16" i="2"/>
  <c r="L16" i="2"/>
  <c r="K16" i="2"/>
  <c r="J16" i="2"/>
  <c r="I16" i="2"/>
  <c r="H16" i="2"/>
  <c r="G16" i="2"/>
  <c r="F16" i="2"/>
  <c r="E16" i="2"/>
  <c r="D16" i="2"/>
  <c r="N15" i="2"/>
  <c r="M15" i="2"/>
  <c r="L15" i="2"/>
  <c r="K15" i="2"/>
  <c r="J15" i="2"/>
  <c r="I15" i="2"/>
  <c r="H15" i="2"/>
  <c r="G15" i="2"/>
  <c r="F15" i="2"/>
  <c r="E15" i="2"/>
  <c r="D15" i="2"/>
  <c r="N14" i="2"/>
  <c r="M14" i="2"/>
  <c r="L14" i="2"/>
  <c r="K14" i="2"/>
  <c r="J14" i="2"/>
  <c r="I14" i="2"/>
  <c r="H14" i="2"/>
  <c r="G14" i="2"/>
  <c r="F14" i="2"/>
  <c r="E14" i="2"/>
  <c r="D14" i="2"/>
  <c r="N13" i="2"/>
  <c r="M13" i="2"/>
  <c r="L13" i="2"/>
  <c r="K13" i="2"/>
  <c r="J13" i="2"/>
  <c r="I13" i="2"/>
  <c r="H13" i="2"/>
  <c r="G13" i="2"/>
  <c r="F13" i="2"/>
  <c r="E13" i="2"/>
  <c r="D13" i="2"/>
  <c r="N12" i="2"/>
  <c r="M12" i="2"/>
  <c r="L12" i="2"/>
  <c r="K12" i="2"/>
  <c r="J12" i="2"/>
  <c r="I12" i="2"/>
  <c r="H12" i="2"/>
  <c r="G12" i="2"/>
  <c r="F12" i="2"/>
  <c r="E12" i="2"/>
  <c r="D12" i="2"/>
  <c r="N11" i="2"/>
  <c r="M11" i="2"/>
  <c r="L11" i="2"/>
  <c r="K11" i="2"/>
  <c r="J11" i="2"/>
  <c r="I11" i="2"/>
  <c r="H11" i="2"/>
  <c r="G11" i="2"/>
  <c r="F11" i="2"/>
  <c r="E11" i="2"/>
  <c r="D11" i="2"/>
  <c r="N10" i="2"/>
  <c r="M10" i="2"/>
  <c r="L10" i="2"/>
  <c r="K10" i="2"/>
  <c r="J10" i="2"/>
  <c r="I10" i="2"/>
  <c r="H10" i="2"/>
  <c r="G10" i="2"/>
  <c r="F10" i="2"/>
  <c r="E10" i="2"/>
  <c r="D10" i="2"/>
  <c r="N9" i="2"/>
  <c r="M9" i="2"/>
  <c r="L9" i="2"/>
  <c r="K9" i="2"/>
  <c r="J9" i="2"/>
  <c r="I9" i="2"/>
  <c r="H9" i="2"/>
  <c r="G9" i="2"/>
  <c r="F9" i="2"/>
  <c r="E9" i="2"/>
  <c r="D9" i="2"/>
  <c r="N8" i="2"/>
  <c r="M8" i="2"/>
  <c r="L8" i="2"/>
  <c r="K8" i="2"/>
  <c r="J8" i="2"/>
  <c r="I8" i="2"/>
  <c r="H8" i="2"/>
  <c r="G8" i="2"/>
  <c r="F8" i="2"/>
  <c r="E8" i="2"/>
  <c r="D8" i="2"/>
  <c r="N7" i="2"/>
  <c r="M7" i="2"/>
  <c r="L7" i="2"/>
  <c r="K7" i="2"/>
  <c r="J7" i="2"/>
  <c r="I7" i="2"/>
  <c r="H7" i="2"/>
  <c r="G7" i="2"/>
  <c r="F7" i="2"/>
  <c r="E7" i="2"/>
  <c r="D7" i="2"/>
  <c r="N6" i="2"/>
  <c r="M6" i="2"/>
  <c r="L6" i="2"/>
  <c r="K6" i="2"/>
  <c r="J6" i="2"/>
  <c r="I6" i="2"/>
  <c r="H6" i="2"/>
  <c r="G6" i="2"/>
  <c r="F6" i="2"/>
  <c r="E6" i="2"/>
  <c r="D6" i="2"/>
  <c r="N5" i="2"/>
  <c r="M5" i="2"/>
  <c r="L5" i="2"/>
  <c r="K5" i="2"/>
  <c r="J5" i="2"/>
  <c r="I5" i="2"/>
  <c r="H5" i="2"/>
  <c r="G5" i="2"/>
  <c r="F5" i="2"/>
  <c r="E5" i="2"/>
  <c r="D5" i="2"/>
  <c r="U427" i="3" l="1"/>
  <c r="W426" i="3"/>
  <c r="W371" i="3"/>
  <c r="V419" i="3"/>
  <c r="V377" i="3"/>
  <c r="U369" i="3"/>
  <c r="V398" i="3"/>
  <c r="U371" i="3"/>
  <c r="U374" i="3"/>
  <c r="U413" i="3"/>
  <c r="R399" i="3"/>
  <c r="T366" i="3"/>
  <c r="W389" i="3"/>
  <c r="R377" i="3"/>
  <c r="W395" i="3"/>
  <c r="W416" i="3"/>
  <c r="T385" i="3"/>
  <c r="T406" i="3"/>
  <c r="X440" i="3"/>
  <c r="W414" i="3"/>
  <c r="S393" i="3"/>
  <c r="R378" i="3"/>
  <c r="V374" i="3"/>
  <c r="S372" i="3"/>
  <c r="R420" i="3"/>
  <c r="V395" i="3"/>
  <c r="W372" i="3"/>
  <c r="V416" i="3"/>
  <c r="S414" i="3"/>
  <c r="W374" i="3"/>
  <c r="R385" i="3"/>
  <c r="R406" i="3"/>
  <c r="U416" i="3"/>
  <c r="U411" i="3"/>
  <c r="U403" i="3"/>
  <c r="U424" i="3"/>
  <c r="R424" i="3"/>
  <c r="W393" i="3"/>
  <c r="W381" i="3"/>
  <c r="W402" i="3"/>
  <c r="W386" i="3"/>
  <c r="S369" i="3"/>
  <c r="U390" i="3"/>
  <c r="U398" i="3"/>
  <c r="V378" i="3"/>
  <c r="U419" i="3"/>
  <c r="R402" i="3"/>
  <c r="V399" i="3"/>
  <c r="S377" i="3"/>
  <c r="V390" i="3"/>
  <c r="R398" i="3"/>
  <c r="S419" i="3"/>
  <c r="U377" i="3"/>
  <c r="S398" i="3"/>
  <c r="R419" i="3"/>
  <c r="U400" i="3"/>
  <c r="T377" i="3"/>
  <c r="W424" i="3"/>
  <c r="R374" i="3"/>
  <c r="T419" i="3"/>
  <c r="W403" i="3"/>
  <c r="S411" i="3"/>
  <c r="T389" i="3"/>
  <c r="T398" i="3"/>
  <c r="S390" i="3"/>
  <c r="R381" i="3"/>
  <c r="V417" i="3"/>
  <c r="R423" i="3"/>
  <c r="R416" i="3"/>
  <c r="R382" i="3"/>
  <c r="AY133" i="2"/>
  <c r="R403" i="3"/>
  <c r="V371" i="3"/>
  <c r="T409" i="3"/>
  <c r="U399" i="3"/>
  <c r="T367" i="3"/>
  <c r="U378" i="3"/>
  <c r="V413" i="3"/>
  <c r="T388" i="3"/>
  <c r="U420" i="3"/>
  <c r="R425" i="3"/>
  <c r="T372" i="3"/>
  <c r="V375" i="3"/>
  <c r="T402" i="3"/>
  <c r="R404" i="3"/>
  <c r="T393" i="3"/>
  <c r="V392" i="3"/>
  <c r="T423" i="3"/>
  <c r="U395" i="3"/>
  <c r="W407" i="3"/>
  <c r="R383" i="3"/>
  <c r="T414" i="3"/>
  <c r="AY124" i="2"/>
  <c r="T381" i="3"/>
  <c r="W428" i="3"/>
  <c r="X439" i="3"/>
  <c r="R395" i="3"/>
  <c r="W382" i="3"/>
  <c r="V411" i="3"/>
  <c r="U421" i="3"/>
  <c r="U379" i="3"/>
  <c r="U423" i="3"/>
  <c r="U444" i="3"/>
  <c r="T394" i="3"/>
  <c r="AY138" i="2"/>
  <c r="T373" i="3"/>
  <c r="AY129" i="2"/>
  <c r="T415" i="3"/>
  <c r="W397" i="3"/>
  <c r="W384" i="3"/>
  <c r="S381" i="3"/>
  <c r="S444" i="3"/>
  <c r="X435" i="3"/>
  <c r="U383" i="3"/>
  <c r="X446" i="3"/>
  <c r="V383" i="3"/>
  <c r="X442" i="3"/>
  <c r="U425" i="3"/>
  <c r="V404" i="3"/>
  <c r="X429" i="3"/>
  <c r="V389" i="3"/>
  <c r="V431" i="3"/>
  <c r="X431" i="3" s="1"/>
  <c r="T369" i="3"/>
  <c r="T432" i="3"/>
  <c r="X433" i="3"/>
  <c r="U404" i="3"/>
  <c r="R368" i="3"/>
  <c r="V425" i="3"/>
  <c r="W377" i="3"/>
  <c r="V396" i="3"/>
  <c r="U386" i="3"/>
  <c r="U449" i="3"/>
  <c r="X449" i="3" s="1"/>
  <c r="W410" i="3"/>
  <c r="R410" i="3"/>
  <c r="S399" i="3"/>
  <c r="S441" i="3"/>
  <c r="X441" i="3" s="1"/>
  <c r="T374" i="3"/>
  <c r="T437" i="3"/>
  <c r="X437" i="3" s="1"/>
  <c r="S413" i="3"/>
  <c r="S434" i="3"/>
  <c r="X434" i="3" s="1"/>
  <c r="V369" i="3"/>
  <c r="W368" i="3"/>
  <c r="R389" i="3"/>
  <c r="W423" i="3"/>
  <c r="AY120" i="2"/>
  <c r="AY123" i="2"/>
  <c r="U428" i="3"/>
  <c r="T395" i="3"/>
  <c r="V368" i="3"/>
  <c r="V410" i="3"/>
  <c r="T390" i="3"/>
  <c r="S392" i="3"/>
  <c r="U381" i="3"/>
  <c r="T411" i="3"/>
  <c r="S378" i="3"/>
  <c r="U402" i="3"/>
  <c r="AY126" i="2"/>
  <c r="S423" i="3"/>
  <c r="S402" i="3"/>
  <c r="S428" i="3"/>
  <c r="S407" i="3"/>
  <c r="S386" i="3"/>
  <c r="S396" i="3"/>
  <c r="S375" i="3"/>
  <c r="S417" i="3"/>
  <c r="T399" i="3"/>
  <c r="T420" i="3"/>
  <c r="T378" i="3"/>
  <c r="Q398" i="3"/>
  <c r="Q377" i="3"/>
  <c r="Q419" i="3"/>
  <c r="X356" i="3"/>
  <c r="R371" i="3"/>
  <c r="R413" i="3"/>
  <c r="R392" i="3"/>
  <c r="V387" i="3"/>
  <c r="V408" i="3"/>
  <c r="V366" i="3"/>
  <c r="R397" i="3"/>
  <c r="R376" i="3"/>
  <c r="R418" i="3"/>
  <c r="R428" i="3"/>
  <c r="R407" i="3"/>
  <c r="R386" i="3"/>
  <c r="V405" i="3"/>
  <c r="V384" i="3"/>
  <c r="V426" i="3"/>
  <c r="T421" i="3"/>
  <c r="T400" i="3"/>
  <c r="T379" i="3"/>
  <c r="T396" i="3"/>
  <c r="T417" i="3"/>
  <c r="T375" i="3"/>
  <c r="W417" i="3"/>
  <c r="W375" i="3"/>
  <c r="W396" i="3"/>
  <c r="Q363" i="3"/>
  <c r="Q447" i="3" s="1"/>
  <c r="X447" i="3" s="1"/>
  <c r="AY136" i="2"/>
  <c r="Q414" i="3"/>
  <c r="Q393" i="3"/>
  <c r="Q372" i="3"/>
  <c r="X351" i="3"/>
  <c r="R411" i="3"/>
  <c r="R390" i="3"/>
  <c r="R369" i="3"/>
  <c r="U384" i="3"/>
  <c r="U426" i="3"/>
  <c r="U405" i="3"/>
  <c r="T413" i="3"/>
  <c r="T392" i="3"/>
  <c r="T371" i="3"/>
  <c r="W409" i="3"/>
  <c r="W388" i="3"/>
  <c r="W367" i="3"/>
  <c r="X365" i="3"/>
  <c r="Q407" i="3"/>
  <c r="Q386" i="3"/>
  <c r="Q428" i="3"/>
  <c r="S408" i="3"/>
  <c r="S366" i="3"/>
  <c r="S387" i="3"/>
  <c r="Q410" i="3"/>
  <c r="Q389" i="3"/>
  <c r="X347" i="3"/>
  <c r="Q368" i="3"/>
  <c r="U412" i="3"/>
  <c r="U370" i="3"/>
  <c r="U391" i="3"/>
  <c r="S412" i="3"/>
  <c r="S370" i="3"/>
  <c r="S391" i="3"/>
  <c r="Q371" i="3"/>
  <c r="Q392" i="3"/>
  <c r="Q413" i="3"/>
  <c r="X350" i="3"/>
  <c r="U373" i="3"/>
  <c r="U415" i="3"/>
  <c r="U394" i="3"/>
  <c r="V397" i="3"/>
  <c r="V418" i="3"/>
  <c r="V376" i="3"/>
  <c r="T426" i="3"/>
  <c r="T384" i="3"/>
  <c r="T405" i="3"/>
  <c r="T386" i="3"/>
  <c r="T428" i="3"/>
  <c r="T407" i="3"/>
  <c r="S409" i="3"/>
  <c r="S388" i="3"/>
  <c r="S367" i="3"/>
  <c r="Q383" i="3"/>
  <c r="Q404" i="3"/>
  <c r="Q425" i="3"/>
  <c r="X362" i="3"/>
  <c r="W415" i="3"/>
  <c r="W394" i="3"/>
  <c r="W373" i="3"/>
  <c r="S395" i="3"/>
  <c r="S416" i="3"/>
  <c r="S374" i="3"/>
  <c r="U417" i="3"/>
  <c r="U375" i="3"/>
  <c r="U396" i="3"/>
  <c r="W391" i="3"/>
  <c r="W412" i="3"/>
  <c r="W370" i="3"/>
  <c r="S421" i="3"/>
  <c r="S400" i="3"/>
  <c r="S379" i="3"/>
  <c r="Q364" i="3"/>
  <c r="Q448" i="3" s="1"/>
  <c r="X448" i="3" s="1"/>
  <c r="AY137" i="2"/>
  <c r="V424" i="3"/>
  <c r="V403" i="3"/>
  <c r="V382" i="3"/>
  <c r="T418" i="3"/>
  <c r="T397" i="3"/>
  <c r="T376" i="3"/>
  <c r="W421" i="3"/>
  <c r="W400" i="3"/>
  <c r="W379" i="3"/>
  <c r="T424" i="3"/>
  <c r="T382" i="3"/>
  <c r="T403" i="3"/>
  <c r="Q346" i="3"/>
  <c r="Q430" i="3" s="1"/>
  <c r="X430" i="3" s="1"/>
  <c r="AY119" i="2"/>
  <c r="U367" i="3"/>
  <c r="U409" i="3"/>
  <c r="U388" i="3"/>
  <c r="AY131" i="2"/>
  <c r="U418" i="3"/>
  <c r="U397" i="3"/>
  <c r="U376" i="3"/>
  <c r="Q354" i="3"/>
  <c r="Q438" i="3" s="1"/>
  <c r="X438" i="3" s="1"/>
  <c r="AY127" i="2"/>
  <c r="S394" i="3"/>
  <c r="S415" i="3"/>
  <c r="S373" i="3"/>
  <c r="X353" i="3"/>
  <c r="Q416" i="3"/>
  <c r="Q395" i="3"/>
  <c r="Q374" i="3"/>
  <c r="Q399" i="3"/>
  <c r="Q378" i="3"/>
  <c r="X357" i="3"/>
  <c r="Q420" i="3"/>
  <c r="W427" i="3"/>
  <c r="W385" i="3"/>
  <c r="W406" i="3"/>
  <c r="V412" i="3"/>
  <c r="V391" i="3"/>
  <c r="V370" i="3"/>
  <c r="Q423" i="3"/>
  <c r="X360" i="3"/>
  <c r="Q381" i="3"/>
  <c r="Q402" i="3"/>
  <c r="AY118" i="2"/>
  <c r="W383" i="3"/>
  <c r="W425" i="3"/>
  <c r="W404" i="3"/>
  <c r="U380" i="3"/>
  <c r="U401" i="3"/>
  <c r="U422" i="3"/>
  <c r="Q348" i="3"/>
  <c r="Q432" i="3" s="1"/>
  <c r="AY121" i="2"/>
  <c r="R388" i="3"/>
  <c r="R409" i="3"/>
  <c r="R367" i="3"/>
  <c r="R415" i="3"/>
  <c r="R394" i="3"/>
  <c r="R373" i="3"/>
  <c r="V401" i="3"/>
  <c r="V422" i="3"/>
  <c r="V380" i="3"/>
  <c r="V428" i="3"/>
  <c r="V407" i="3"/>
  <c r="V386" i="3"/>
  <c r="T380" i="3"/>
  <c r="T401" i="3"/>
  <c r="T422" i="3"/>
  <c r="R387" i="3"/>
  <c r="R408" i="3"/>
  <c r="R366" i="3"/>
  <c r="Q408" i="3"/>
  <c r="Q387" i="3"/>
  <c r="Q366" i="3"/>
  <c r="X345" i="3"/>
  <c r="Q412" i="3"/>
  <c r="Q370" i="3"/>
  <c r="X349" i="3"/>
  <c r="Q391" i="3"/>
  <c r="AY130" i="2"/>
  <c r="W401" i="3"/>
  <c r="W422" i="3"/>
  <c r="W380" i="3"/>
  <c r="Q421" i="3"/>
  <c r="X358" i="3"/>
  <c r="Q400" i="3"/>
  <c r="Q379" i="3"/>
  <c r="T412" i="3"/>
  <c r="T370" i="3"/>
  <c r="T391" i="3"/>
  <c r="V367" i="3"/>
  <c r="V388" i="3"/>
  <c r="V409" i="3"/>
  <c r="R393" i="3"/>
  <c r="R414" i="3"/>
  <c r="R372" i="3"/>
  <c r="Q359" i="3"/>
  <c r="Q443" i="3" s="1"/>
  <c r="X443" i="3" s="1"/>
  <c r="AY132" i="2"/>
  <c r="S376" i="3"/>
  <c r="S418" i="3"/>
  <c r="S397" i="3"/>
  <c r="R401" i="3"/>
  <c r="R422" i="3"/>
  <c r="R380" i="3"/>
  <c r="T425" i="3"/>
  <c r="T404" i="3"/>
  <c r="T383" i="3"/>
  <c r="R405" i="3"/>
  <c r="R426" i="3"/>
  <c r="R384" i="3"/>
  <c r="AY128" i="2"/>
  <c r="V394" i="3"/>
  <c r="V373" i="3"/>
  <c r="V415" i="3"/>
  <c r="U366" i="3"/>
  <c r="U387" i="3"/>
  <c r="U408" i="3"/>
  <c r="Q361" i="3"/>
  <c r="Q445" i="3" s="1"/>
  <c r="X445" i="3" s="1"/>
  <c r="AY134" i="2"/>
  <c r="R417" i="3"/>
  <c r="R396" i="3"/>
  <c r="R375" i="3"/>
  <c r="Q352" i="3"/>
  <c r="Q436" i="3" s="1"/>
  <c r="X436" i="3" s="1"/>
  <c r="AY125" i="2"/>
  <c r="S406" i="3"/>
  <c r="S427" i="3"/>
  <c r="S385" i="3"/>
  <c r="AY122" i="2"/>
  <c r="AY135" i="2"/>
  <c r="X355" i="3"/>
  <c r="Q397" i="3"/>
  <c r="Q376" i="3"/>
  <c r="Q418" i="3"/>
  <c r="S426" i="3"/>
  <c r="S384" i="3"/>
  <c r="S405" i="3"/>
  <c r="R379" i="3"/>
  <c r="R400" i="3"/>
  <c r="R421" i="3"/>
  <c r="BB150" i="9"/>
  <c r="AN134" i="9"/>
  <c r="AN130" i="9"/>
  <c r="BB121" i="9"/>
  <c r="AN78" i="9"/>
  <c r="AN74" i="9"/>
  <c r="BB65" i="9"/>
  <c r="AN48" i="9"/>
  <c r="AN44" i="9"/>
  <c r="BB35" i="9"/>
  <c r="AN21" i="9"/>
  <c r="AN18" i="9"/>
  <c r="AN17" i="9"/>
  <c r="BB8" i="9"/>
  <c r="L346" i="13"/>
  <c r="K346" i="13"/>
  <c r="J346" i="13"/>
  <c r="I346" i="13"/>
  <c r="H346" i="13"/>
  <c r="G346" i="13"/>
  <c r="F346" i="13"/>
  <c r="E346" i="13"/>
  <c r="L322" i="13"/>
  <c r="K322" i="13"/>
  <c r="J322" i="13"/>
  <c r="I322" i="13"/>
  <c r="H322" i="13"/>
  <c r="G322" i="13"/>
  <c r="F322" i="13"/>
  <c r="E322" i="13"/>
  <c r="L297" i="13"/>
  <c r="K297" i="13"/>
  <c r="J297" i="13"/>
  <c r="I297" i="13"/>
  <c r="H297" i="13"/>
  <c r="G297" i="13"/>
  <c r="F297" i="13"/>
  <c r="E297" i="13"/>
  <c r="L272" i="13"/>
  <c r="K272" i="13"/>
  <c r="J272" i="13"/>
  <c r="I272" i="13"/>
  <c r="H272" i="13"/>
  <c r="G272" i="13"/>
  <c r="F272" i="13"/>
  <c r="E272" i="13"/>
  <c r="D251" i="13"/>
  <c r="Z251" i="13" s="1"/>
  <c r="D250" i="13"/>
  <c r="Z250" i="13" s="1"/>
  <c r="D249" i="13"/>
  <c r="Z249" i="13" s="1"/>
  <c r="D248" i="13"/>
  <c r="Z248" i="13" s="1"/>
  <c r="AB247" i="13"/>
  <c r="Z247" i="13"/>
  <c r="G213" i="13"/>
  <c r="I212" i="13"/>
  <c r="Q209" i="13" s="1"/>
  <c r="L265" i="13" s="1"/>
  <c r="L348" i="13" s="1"/>
  <c r="I211" i="13"/>
  <c r="Q208" i="13" s="1"/>
  <c r="L264" i="13" s="1"/>
  <c r="L347" i="13" s="1"/>
  <c r="I210" i="13"/>
  <c r="Q207" i="13" s="1"/>
  <c r="L263" i="13" s="1"/>
  <c r="L326" i="13" s="1"/>
  <c r="P209" i="13"/>
  <c r="I209" i="13"/>
  <c r="Q206" i="13" s="1"/>
  <c r="L262" i="13" s="1"/>
  <c r="L325" i="13" s="1"/>
  <c r="P208" i="13"/>
  <c r="I208" i="13"/>
  <c r="Q205" i="13" s="1"/>
  <c r="L261" i="13" s="1"/>
  <c r="L324" i="13" s="1"/>
  <c r="P207" i="13"/>
  <c r="I207" i="13"/>
  <c r="Q204" i="13" s="1"/>
  <c r="L260" i="13" s="1"/>
  <c r="L323" i="13" s="1"/>
  <c r="P206" i="13"/>
  <c r="I206" i="13"/>
  <c r="Q203" i="13" s="1"/>
  <c r="L259" i="13" s="1"/>
  <c r="L301" i="13" s="1"/>
  <c r="P205" i="13"/>
  <c r="I205" i="13"/>
  <c r="Q202" i="13" s="1"/>
  <c r="L258" i="13" s="1"/>
  <c r="L300" i="13" s="1"/>
  <c r="P204" i="13"/>
  <c r="I204" i="13"/>
  <c r="Q201" i="13" s="1"/>
  <c r="L257" i="13" s="1"/>
  <c r="L299" i="13" s="1"/>
  <c r="P203" i="13"/>
  <c r="I203" i="13"/>
  <c r="Q200" i="13" s="1"/>
  <c r="L256" i="13" s="1"/>
  <c r="L298" i="13" s="1"/>
  <c r="P202" i="13"/>
  <c r="I202" i="13"/>
  <c r="Q199" i="13" s="1"/>
  <c r="L255" i="13" s="1"/>
  <c r="L276" i="13" s="1"/>
  <c r="P201" i="13"/>
  <c r="I201" i="13"/>
  <c r="Q198" i="13" s="1"/>
  <c r="L254" i="13" s="1"/>
  <c r="L275" i="13" s="1"/>
  <c r="P200" i="13"/>
  <c r="I200" i="13"/>
  <c r="Q197" i="13" s="1"/>
  <c r="L253" i="13" s="1"/>
  <c r="L274" i="13" s="1"/>
  <c r="P199" i="13"/>
  <c r="I199" i="13"/>
  <c r="Q196" i="13" s="1"/>
  <c r="L252" i="13" s="1"/>
  <c r="L273" i="13" s="1"/>
  <c r="P198" i="13"/>
  <c r="I198" i="13"/>
  <c r="Q195" i="13" s="1"/>
  <c r="L251" i="13" s="1"/>
  <c r="P197" i="13"/>
  <c r="I197" i="13"/>
  <c r="P196" i="13"/>
  <c r="I196" i="13"/>
  <c r="P195" i="13"/>
  <c r="I195" i="13"/>
  <c r="P194" i="13"/>
  <c r="I194" i="13"/>
  <c r="P193" i="13"/>
  <c r="I193" i="13"/>
  <c r="P192" i="13"/>
  <c r="I192" i="13"/>
  <c r="G187" i="13"/>
  <c r="F187" i="13"/>
  <c r="H186" i="13"/>
  <c r="I186" i="13" s="1"/>
  <c r="Q183" i="13" s="1"/>
  <c r="K265" i="13" s="1"/>
  <c r="H185" i="13"/>
  <c r="I185" i="13" s="1"/>
  <c r="Q182" i="13" s="1"/>
  <c r="K264" i="13" s="1"/>
  <c r="H184" i="13"/>
  <c r="I184" i="13" s="1"/>
  <c r="Q181" i="13" s="1"/>
  <c r="K263" i="13" s="1"/>
  <c r="H183" i="13"/>
  <c r="I183" i="13" s="1"/>
  <c r="Q180" i="13" s="1"/>
  <c r="K262" i="13" s="1"/>
  <c r="H182" i="13"/>
  <c r="I182" i="13" s="1"/>
  <c r="Q179" i="13" s="1"/>
  <c r="K261" i="13" s="1"/>
  <c r="H181" i="13"/>
  <c r="I181" i="13" s="1"/>
  <c r="Q178" i="13" s="1"/>
  <c r="K260" i="13" s="1"/>
  <c r="H180" i="13"/>
  <c r="I180" i="13" s="1"/>
  <c r="Q177" i="13" s="1"/>
  <c r="K259" i="13" s="1"/>
  <c r="H179" i="13"/>
  <c r="I179" i="13" s="1"/>
  <c r="Q176" i="13" s="1"/>
  <c r="K258" i="13" s="1"/>
  <c r="H178" i="13"/>
  <c r="I178" i="13" s="1"/>
  <c r="Q175" i="13" s="1"/>
  <c r="K257" i="13" s="1"/>
  <c r="H177" i="13"/>
  <c r="I177" i="13" s="1"/>
  <c r="Q174" i="13" s="1"/>
  <c r="K256" i="13" s="1"/>
  <c r="H176" i="13"/>
  <c r="I176" i="13" s="1"/>
  <c r="Q173" i="13" s="1"/>
  <c r="K255" i="13" s="1"/>
  <c r="H175" i="13"/>
  <c r="I175" i="13" s="1"/>
  <c r="Q172" i="13" s="1"/>
  <c r="K254" i="13" s="1"/>
  <c r="H174" i="13"/>
  <c r="I174" i="13" s="1"/>
  <c r="Q171" i="13" s="1"/>
  <c r="K253" i="13" s="1"/>
  <c r="H173" i="13"/>
  <c r="I173" i="13" s="1"/>
  <c r="Q170" i="13" s="1"/>
  <c r="K252" i="13" s="1"/>
  <c r="H172" i="13"/>
  <c r="I172" i="13" s="1"/>
  <c r="Q169" i="13" s="1"/>
  <c r="K251" i="13" s="1"/>
  <c r="AQ251" i="13" s="1"/>
  <c r="H171" i="13"/>
  <c r="I171" i="13" s="1"/>
  <c r="H170" i="13"/>
  <c r="I170" i="13" s="1"/>
  <c r="I169" i="13"/>
  <c r="H168" i="13"/>
  <c r="I168" i="13" s="1"/>
  <c r="H167" i="13"/>
  <c r="I167" i="13" s="1"/>
  <c r="H166" i="13"/>
  <c r="G161" i="13"/>
  <c r="F161" i="13"/>
  <c r="H160" i="13"/>
  <c r="I160" i="13" s="1"/>
  <c r="Q157" i="13" s="1"/>
  <c r="J265" i="13" s="1"/>
  <c r="H159" i="13"/>
  <c r="P156" i="13" s="1"/>
  <c r="H158" i="13"/>
  <c r="I158" i="13" s="1"/>
  <c r="Q155" i="13" s="1"/>
  <c r="J263" i="13" s="1"/>
  <c r="H157" i="13"/>
  <c r="I157" i="13" s="1"/>
  <c r="Q154" i="13" s="1"/>
  <c r="J262" i="13" s="1"/>
  <c r="H156" i="13"/>
  <c r="P153" i="13" s="1"/>
  <c r="H155" i="13"/>
  <c r="P152" i="13" s="1"/>
  <c r="H154" i="13"/>
  <c r="P151" i="13" s="1"/>
  <c r="BC153" i="13"/>
  <c r="AM153" i="13"/>
  <c r="AL153" i="13"/>
  <c r="AH153" i="13"/>
  <c r="AH156" i="13" s="1"/>
  <c r="H153" i="13"/>
  <c r="I153" i="13" s="1"/>
  <c r="Q150" i="13" s="1"/>
  <c r="J258" i="13" s="1"/>
  <c r="H152" i="13"/>
  <c r="I152" i="13" s="1"/>
  <c r="Q149" i="13" s="1"/>
  <c r="J257" i="13" s="1"/>
  <c r="AV151" i="13"/>
  <c r="BA151" i="13" s="1"/>
  <c r="AS151" i="13"/>
  <c r="AM151" i="13"/>
  <c r="AL151" i="13"/>
  <c r="AA151" i="13"/>
  <c r="AF151" i="13" s="1"/>
  <c r="H151" i="13"/>
  <c r="I151" i="13" s="1"/>
  <c r="Q148" i="13" s="1"/>
  <c r="J256" i="13" s="1"/>
  <c r="BC150" i="13"/>
  <c r="AV150" i="13"/>
  <c r="BA150" i="13" s="1"/>
  <c r="AM150" i="13"/>
  <c r="AN46" i="9" s="1"/>
  <c r="AL150" i="13"/>
  <c r="AH150" i="13"/>
  <c r="AS150" i="13" s="1"/>
  <c r="AF150" i="13"/>
  <c r="AA150" i="13"/>
  <c r="H150" i="13"/>
  <c r="I150" i="13" s="1"/>
  <c r="Q147" i="13" s="1"/>
  <c r="J255" i="13" s="1"/>
  <c r="BC149" i="13"/>
  <c r="AM149" i="13" s="1"/>
  <c r="AN45" i="9" s="1"/>
  <c r="BA149" i="13"/>
  <c r="AL149" i="13"/>
  <c r="AH149" i="13"/>
  <c r="AS149" i="13" s="1"/>
  <c r="AF149" i="13"/>
  <c r="H149" i="13"/>
  <c r="I149" i="13" s="1"/>
  <c r="Q146" i="13" s="1"/>
  <c r="J254" i="13" s="1"/>
  <c r="AL148" i="13"/>
  <c r="H148" i="13"/>
  <c r="I148" i="13" s="1"/>
  <c r="Q145" i="13" s="1"/>
  <c r="J253" i="13" s="1"/>
  <c r="BA147" i="13"/>
  <c r="AV147" i="13"/>
  <c r="AS147" i="13"/>
  <c r="AM147" i="13"/>
  <c r="AN43" i="9" s="1"/>
  <c r="AL147" i="13"/>
  <c r="AA147" i="13"/>
  <c r="AF147" i="13" s="1"/>
  <c r="H147" i="13"/>
  <c r="I147" i="13" s="1"/>
  <c r="Q144" i="13" s="1"/>
  <c r="J252" i="13" s="1"/>
  <c r="BA146" i="13"/>
  <c r="AV146" i="13"/>
  <c r="AS146" i="13"/>
  <c r="AM146" i="13"/>
  <c r="AL146" i="13"/>
  <c r="AF146" i="13"/>
  <c r="AA146" i="13"/>
  <c r="H146" i="13"/>
  <c r="I146" i="13" s="1"/>
  <c r="Q143" i="13" s="1"/>
  <c r="J251" i="13" s="1"/>
  <c r="AN251" i="13" s="1"/>
  <c r="BA145" i="13"/>
  <c r="AV145" i="13"/>
  <c r="AS145" i="13"/>
  <c r="AM145" i="13"/>
  <c r="AL145" i="13"/>
  <c r="AF145" i="13"/>
  <c r="AA145" i="13"/>
  <c r="H145" i="13"/>
  <c r="I145" i="13" s="1"/>
  <c r="BC144" i="13"/>
  <c r="AM144" i="13" s="1"/>
  <c r="AV144" i="13"/>
  <c r="BA144" i="13" s="1"/>
  <c r="AL144" i="13"/>
  <c r="AH144" i="13"/>
  <c r="AS144" i="13" s="1"/>
  <c r="AA144" i="13"/>
  <c r="AF144" i="13" s="1"/>
  <c r="H144" i="13"/>
  <c r="I144" i="13" s="1"/>
  <c r="BC143" i="13"/>
  <c r="AM143" i="13" s="1"/>
  <c r="AN39" i="9" s="1"/>
  <c r="BA143" i="13"/>
  <c r="AL143" i="13"/>
  <c r="AH143" i="13"/>
  <c r="AS143" i="13" s="1"/>
  <c r="AF143" i="13"/>
  <c r="I143" i="13"/>
  <c r="BA142" i="13"/>
  <c r="AS142" i="13"/>
  <c r="AM142" i="13"/>
  <c r="AN38" i="9" s="1"/>
  <c r="AL142" i="13"/>
  <c r="AF142" i="13"/>
  <c r="H142" i="13"/>
  <c r="I142" i="13" s="1"/>
  <c r="BC141" i="13"/>
  <c r="AM141" i="13" s="1"/>
  <c r="BA141" i="13"/>
  <c r="AL141" i="13"/>
  <c r="AH141" i="13"/>
  <c r="AS141" i="13" s="1"/>
  <c r="AF141" i="13"/>
  <c r="P141" i="13"/>
  <c r="H141" i="13"/>
  <c r="I141" i="13" s="1"/>
  <c r="AU140" i="13"/>
  <c r="AM140" i="13"/>
  <c r="AN36" i="9" s="1"/>
  <c r="AL140" i="13"/>
  <c r="AH140" i="13"/>
  <c r="AS140" i="13" s="1"/>
  <c r="H140" i="13"/>
  <c r="AQ139" i="13"/>
  <c r="AM139" i="13"/>
  <c r="AL139" i="13"/>
  <c r="AL138" i="13"/>
  <c r="W135" i="13"/>
  <c r="V135" i="13"/>
  <c r="G135" i="13"/>
  <c r="F135" i="13"/>
  <c r="X134" i="13"/>
  <c r="Y134" i="13" s="1"/>
  <c r="T134" i="13"/>
  <c r="AC131" i="13" s="1"/>
  <c r="H134" i="13"/>
  <c r="I134" i="13" s="1"/>
  <c r="AA134" i="13" s="1"/>
  <c r="D134" i="13"/>
  <c r="X133" i="13"/>
  <c r="P130" i="13" s="1"/>
  <c r="T133" i="13"/>
  <c r="AC130" i="13" s="1"/>
  <c r="H133" i="13"/>
  <c r="I133" i="13" s="1"/>
  <c r="AA133" i="13" s="1"/>
  <c r="D133" i="13"/>
  <c r="AI132" i="13"/>
  <c r="X132" i="13"/>
  <c r="P129" i="13" s="1"/>
  <c r="T132" i="13"/>
  <c r="AC129" i="13" s="1"/>
  <c r="H132" i="13"/>
  <c r="I132" i="13" s="1"/>
  <c r="AA132" i="13" s="1"/>
  <c r="D132" i="13"/>
  <c r="X131" i="13"/>
  <c r="Y131" i="13" s="1"/>
  <c r="T131" i="13"/>
  <c r="AC128" i="13" s="1"/>
  <c r="O131" i="13"/>
  <c r="H131" i="13"/>
  <c r="I131" i="13" s="1"/>
  <c r="AA131" i="13" s="1"/>
  <c r="D131" i="13"/>
  <c r="X130" i="13"/>
  <c r="Y130" i="13" s="1"/>
  <c r="T130" i="13"/>
  <c r="AC127" i="13" s="1"/>
  <c r="H130" i="13"/>
  <c r="I130" i="13" s="1"/>
  <c r="AA130" i="13" s="1"/>
  <c r="D130" i="13"/>
  <c r="X129" i="13"/>
  <c r="Y129" i="13" s="1"/>
  <c r="T129" i="13"/>
  <c r="AC126" i="13" s="1"/>
  <c r="H129" i="13"/>
  <c r="I129" i="13" s="1"/>
  <c r="AA129" i="13" s="1"/>
  <c r="D129" i="13"/>
  <c r="X128" i="13"/>
  <c r="Y128" i="13" s="1"/>
  <c r="T128" i="13"/>
  <c r="AC125" i="13" s="1"/>
  <c r="H128" i="13"/>
  <c r="I128" i="13" s="1"/>
  <c r="AA128" i="13" s="1"/>
  <c r="D128" i="13"/>
  <c r="X127" i="13"/>
  <c r="Y127" i="13" s="1"/>
  <c r="T127" i="13"/>
  <c r="AC124" i="13" s="1"/>
  <c r="H127" i="13"/>
  <c r="I127" i="13" s="1"/>
  <c r="AA127" i="13" s="1"/>
  <c r="D127" i="13"/>
  <c r="BB126" i="13"/>
  <c r="X126" i="13"/>
  <c r="P123" i="13" s="1"/>
  <c r="T126" i="13"/>
  <c r="AC123" i="13" s="1"/>
  <c r="H126" i="13"/>
  <c r="I126" i="13" s="1"/>
  <c r="AA126" i="13" s="1"/>
  <c r="D126" i="13"/>
  <c r="X125" i="13"/>
  <c r="Y125" i="13" s="1"/>
  <c r="AD122" i="13" s="1"/>
  <c r="T125" i="13"/>
  <c r="AC122" i="13" s="1"/>
  <c r="H125" i="13"/>
  <c r="I125" i="13" s="1"/>
  <c r="AA125" i="13" s="1"/>
  <c r="D125" i="13"/>
  <c r="X124" i="13"/>
  <c r="Y124" i="13" s="1"/>
  <c r="AD121" i="13" s="1"/>
  <c r="T124" i="13"/>
  <c r="AC121" i="13" s="1"/>
  <c r="H124" i="13"/>
  <c r="I124" i="13" s="1"/>
  <c r="AA124" i="13" s="1"/>
  <c r="D124" i="13"/>
  <c r="X123" i="13"/>
  <c r="P120" i="13" s="1"/>
  <c r="T123" i="13"/>
  <c r="AC120" i="13" s="1"/>
  <c r="H123" i="13"/>
  <c r="I123" i="13" s="1"/>
  <c r="AA123" i="13" s="1"/>
  <c r="D123" i="13"/>
  <c r="X122" i="13"/>
  <c r="P119" i="13" s="1"/>
  <c r="T122" i="13"/>
  <c r="AC119" i="13" s="1"/>
  <c r="H122" i="13"/>
  <c r="I122" i="13" s="1"/>
  <c r="AA122" i="13" s="1"/>
  <c r="D122" i="13"/>
  <c r="X121" i="13"/>
  <c r="P118" i="13" s="1"/>
  <c r="T121" i="13"/>
  <c r="AC118" i="13" s="1"/>
  <c r="H121" i="13"/>
  <c r="I121" i="13" s="1"/>
  <c r="AA121" i="13" s="1"/>
  <c r="D121" i="13"/>
  <c r="X120" i="13"/>
  <c r="Y120" i="13" s="1"/>
  <c r="T120" i="13"/>
  <c r="H120" i="13"/>
  <c r="I120" i="13" s="1"/>
  <c r="AA120" i="13" s="1"/>
  <c r="D120" i="13"/>
  <c r="D226" i="13" s="1"/>
  <c r="O223" i="13" s="1"/>
  <c r="X119" i="13"/>
  <c r="Y119" i="13" s="1"/>
  <c r="H119" i="13"/>
  <c r="I119" i="13" s="1"/>
  <c r="X118" i="13"/>
  <c r="Y118" i="13" s="1"/>
  <c r="H118" i="13"/>
  <c r="J118" i="13" s="1"/>
  <c r="AA117" i="13"/>
  <c r="X117" i="13"/>
  <c r="P115" i="13" s="1"/>
  <c r="Y116" i="13"/>
  <c r="X116" i="13"/>
  <c r="H116" i="13"/>
  <c r="J116" i="13" s="1"/>
  <c r="X115" i="13"/>
  <c r="Y115" i="13" s="1"/>
  <c r="J115" i="13"/>
  <c r="I115" i="13"/>
  <c r="AA115" i="13" s="1"/>
  <c r="H115" i="13"/>
  <c r="X114" i="13"/>
  <c r="J114" i="13"/>
  <c r="H114" i="13"/>
  <c r="AA113" i="13"/>
  <c r="G107" i="13"/>
  <c r="F107" i="13"/>
  <c r="H106" i="13"/>
  <c r="I106" i="13" s="1"/>
  <c r="H105" i="13"/>
  <c r="I105" i="13" s="1"/>
  <c r="Q102" i="13" s="1"/>
  <c r="H104" i="13"/>
  <c r="I104" i="13" s="1"/>
  <c r="H103" i="13"/>
  <c r="I103" i="13" s="1"/>
  <c r="H102" i="13"/>
  <c r="H101" i="13"/>
  <c r="I101" i="13" s="1"/>
  <c r="H100" i="13"/>
  <c r="I100" i="13" s="1"/>
  <c r="H99" i="13"/>
  <c r="I99" i="13" s="1"/>
  <c r="Q96" i="13" s="1"/>
  <c r="H98" i="13"/>
  <c r="I98" i="13" s="1"/>
  <c r="Q95" i="13" s="1"/>
  <c r="H97" i="13"/>
  <c r="I97" i="13" s="1"/>
  <c r="Q94" i="13" s="1"/>
  <c r="H96" i="13"/>
  <c r="I96" i="13" s="1"/>
  <c r="Q93" i="13" s="1"/>
  <c r="H95" i="13"/>
  <c r="I95" i="13" s="1"/>
  <c r="Q92" i="13" s="1"/>
  <c r="H94" i="13"/>
  <c r="I94" i="13" s="1"/>
  <c r="Q91" i="13" s="1"/>
  <c r="H93" i="13"/>
  <c r="I93" i="13" s="1"/>
  <c r="Q90" i="13" s="1"/>
  <c r="H92" i="13"/>
  <c r="I92" i="13" s="1"/>
  <c r="Q89" i="13" s="1"/>
  <c r="H91" i="13"/>
  <c r="I91" i="13" s="1"/>
  <c r="BB123" i="9" s="1"/>
  <c r="H90" i="13"/>
  <c r="J90" i="13" s="1"/>
  <c r="H88" i="13"/>
  <c r="J88" i="13" s="1"/>
  <c r="P87" i="13"/>
  <c r="J87" i="13"/>
  <c r="H87" i="13"/>
  <c r="I87" i="13" s="1"/>
  <c r="BB119" i="9" s="1"/>
  <c r="P86" i="13"/>
  <c r="J86" i="13"/>
  <c r="H86" i="13"/>
  <c r="G81" i="13"/>
  <c r="F81" i="13"/>
  <c r="H80" i="13"/>
  <c r="I80" i="13" s="1"/>
  <c r="D80" i="13"/>
  <c r="D186" i="13" s="1"/>
  <c r="O183" i="13" s="1"/>
  <c r="D265" i="13" s="1"/>
  <c r="H79" i="13"/>
  <c r="I79" i="13" s="1"/>
  <c r="Q76" i="13" s="1"/>
  <c r="D79" i="13"/>
  <c r="D185" i="13" s="1"/>
  <c r="O182" i="13" s="1"/>
  <c r="D264" i="13" s="1"/>
  <c r="H78" i="13"/>
  <c r="I78" i="13" s="1"/>
  <c r="D78" i="13"/>
  <c r="D184" i="13" s="1"/>
  <c r="O181" i="13" s="1"/>
  <c r="D263" i="13" s="1"/>
  <c r="H77" i="13"/>
  <c r="I77" i="13" s="1"/>
  <c r="D77" i="13"/>
  <c r="D183" i="13" s="1"/>
  <c r="O180" i="13" s="1"/>
  <c r="D262" i="13" s="1"/>
  <c r="H76" i="13"/>
  <c r="D76" i="13"/>
  <c r="D182" i="13" s="1"/>
  <c r="O179" i="13" s="1"/>
  <c r="D261" i="13" s="1"/>
  <c r="H75" i="13"/>
  <c r="I75" i="13" s="1"/>
  <c r="D75" i="13"/>
  <c r="D181" i="13" s="1"/>
  <c r="O178" i="13" s="1"/>
  <c r="D260" i="13" s="1"/>
  <c r="H74" i="13"/>
  <c r="I74" i="13" s="1"/>
  <c r="D74" i="13"/>
  <c r="D180" i="13" s="1"/>
  <c r="O177" i="13" s="1"/>
  <c r="D259" i="13" s="1"/>
  <c r="H73" i="13"/>
  <c r="I73" i="13" s="1"/>
  <c r="Q70" i="13" s="1"/>
  <c r="D73" i="13"/>
  <c r="D179" i="13" s="1"/>
  <c r="O176" i="13" s="1"/>
  <c r="D258" i="13" s="1"/>
  <c r="H72" i="13"/>
  <c r="I72" i="13" s="1"/>
  <c r="Q69" i="13" s="1"/>
  <c r="D72" i="13"/>
  <c r="D178" i="13" s="1"/>
  <c r="O175" i="13" s="1"/>
  <c r="D257" i="13" s="1"/>
  <c r="H71" i="13"/>
  <c r="I71" i="13" s="1"/>
  <c r="Q68" i="13" s="1"/>
  <c r="D71" i="13"/>
  <c r="D177" i="13" s="1"/>
  <c r="O174" i="13" s="1"/>
  <c r="D256" i="13" s="1"/>
  <c r="H70" i="13"/>
  <c r="I70" i="13" s="1"/>
  <c r="Q67" i="13" s="1"/>
  <c r="D70" i="13"/>
  <c r="D176" i="13" s="1"/>
  <c r="O173" i="13" s="1"/>
  <c r="D255" i="13" s="1"/>
  <c r="H69" i="13"/>
  <c r="I69" i="13" s="1"/>
  <c r="Q66" i="13" s="1"/>
  <c r="D69" i="13"/>
  <c r="D175" i="13" s="1"/>
  <c r="O172" i="13" s="1"/>
  <c r="D254" i="13" s="1"/>
  <c r="H68" i="13"/>
  <c r="I68" i="13" s="1"/>
  <c r="Q65" i="13" s="1"/>
  <c r="D68" i="13"/>
  <c r="D174" i="13" s="1"/>
  <c r="O171" i="13" s="1"/>
  <c r="D253" i="13" s="1"/>
  <c r="H67" i="13"/>
  <c r="I67" i="13" s="1"/>
  <c r="Q64" i="13" s="1"/>
  <c r="D67" i="13"/>
  <c r="D173" i="13" s="1"/>
  <c r="O170" i="13" s="1"/>
  <c r="D252" i="13" s="1"/>
  <c r="H66" i="13"/>
  <c r="I66" i="13" s="1"/>
  <c r="Q63" i="13" s="1"/>
  <c r="D66" i="13"/>
  <c r="D172" i="13" s="1"/>
  <c r="H65" i="13"/>
  <c r="I65" i="13" s="1"/>
  <c r="BB67" i="9" s="1"/>
  <c r="H64" i="13"/>
  <c r="J64" i="13" s="1"/>
  <c r="I62" i="13"/>
  <c r="BB64" i="9" s="1"/>
  <c r="H62" i="13"/>
  <c r="J62" i="13" s="1"/>
  <c r="J61" i="13"/>
  <c r="H61" i="13"/>
  <c r="I61" i="13" s="1"/>
  <c r="BB63" i="9" s="1"/>
  <c r="J60" i="13"/>
  <c r="H60" i="13"/>
  <c r="F55" i="13"/>
  <c r="H54" i="13"/>
  <c r="I54" i="13" s="1"/>
  <c r="D54" i="13"/>
  <c r="D160" i="13" s="1"/>
  <c r="O157" i="13" s="1"/>
  <c r="H53" i="13"/>
  <c r="I53" i="13" s="1"/>
  <c r="Q50" i="13" s="1"/>
  <c r="D53" i="13"/>
  <c r="D159" i="13" s="1"/>
  <c r="O156" i="13" s="1"/>
  <c r="H52" i="13"/>
  <c r="I52" i="13" s="1"/>
  <c r="D52" i="13"/>
  <c r="D158" i="13" s="1"/>
  <c r="O155" i="13" s="1"/>
  <c r="H51" i="13"/>
  <c r="I51" i="13" s="1"/>
  <c r="D51" i="13"/>
  <c r="D157" i="13" s="1"/>
  <c r="O154" i="13" s="1"/>
  <c r="H50" i="13"/>
  <c r="D50" i="13"/>
  <c r="D156" i="13" s="1"/>
  <c r="O153" i="13" s="1"/>
  <c r="H49" i="13"/>
  <c r="D49" i="13"/>
  <c r="D155" i="13" s="1"/>
  <c r="O152" i="13" s="1"/>
  <c r="H48" i="13"/>
  <c r="D48" i="13"/>
  <c r="D154" i="13" s="1"/>
  <c r="O151" i="13" s="1"/>
  <c r="H47" i="13"/>
  <c r="D47" i="13"/>
  <c r="D153" i="13" s="1"/>
  <c r="O150" i="13" s="1"/>
  <c r="H46" i="13"/>
  <c r="D46" i="13"/>
  <c r="D152" i="13" s="1"/>
  <c r="O149" i="13" s="1"/>
  <c r="H45" i="13"/>
  <c r="D45" i="13"/>
  <c r="D151" i="13" s="1"/>
  <c r="O148" i="13" s="1"/>
  <c r="H44" i="13"/>
  <c r="D44" i="13"/>
  <c r="D150" i="13" s="1"/>
  <c r="O147" i="13" s="1"/>
  <c r="H43" i="13"/>
  <c r="D43" i="13"/>
  <c r="D149" i="13" s="1"/>
  <c r="O146" i="13" s="1"/>
  <c r="H42" i="13"/>
  <c r="D42" i="13"/>
  <c r="D148" i="13" s="1"/>
  <c r="O145" i="13" s="1"/>
  <c r="H41" i="13"/>
  <c r="I41" i="13" s="1"/>
  <c r="Q38" i="13" s="1"/>
  <c r="D41" i="13"/>
  <c r="D147" i="13" s="1"/>
  <c r="O144" i="13" s="1"/>
  <c r="H40" i="13"/>
  <c r="I40" i="13" s="1"/>
  <c r="Q37" i="13" s="1"/>
  <c r="D40" i="13"/>
  <c r="D146" i="13" s="1"/>
  <c r="H39" i="13"/>
  <c r="I39" i="13" s="1"/>
  <c r="BB37" i="9" s="1"/>
  <c r="H38" i="13"/>
  <c r="I38" i="13" s="1"/>
  <c r="BB36" i="9" s="1"/>
  <c r="G36" i="13"/>
  <c r="J35" i="13"/>
  <c r="H35" i="13"/>
  <c r="I35" i="13" s="1"/>
  <c r="BB33" i="9" s="1"/>
  <c r="J34" i="13"/>
  <c r="H34" i="13"/>
  <c r="G29" i="13"/>
  <c r="F29" i="13"/>
  <c r="H28" i="13"/>
  <c r="I28" i="13" s="1"/>
  <c r="H27" i="13"/>
  <c r="P24" i="13" s="1"/>
  <c r="H26" i="13"/>
  <c r="I26" i="13" s="1"/>
  <c r="O25" i="13"/>
  <c r="H25" i="13"/>
  <c r="P22" i="13" s="1"/>
  <c r="O24" i="13"/>
  <c r="H24" i="13"/>
  <c r="O23" i="13"/>
  <c r="H23" i="13"/>
  <c r="P20" i="13" s="1"/>
  <c r="O22" i="13"/>
  <c r="H22" i="13"/>
  <c r="I22" i="13" s="1"/>
  <c r="O21" i="13"/>
  <c r="H21" i="13"/>
  <c r="P18" i="13" s="1"/>
  <c r="O20" i="13"/>
  <c r="H20" i="13"/>
  <c r="I20" i="13" s="1"/>
  <c r="Q17" i="13" s="1"/>
  <c r="O19" i="13"/>
  <c r="H19" i="13"/>
  <c r="P16" i="13" s="1"/>
  <c r="O18" i="13"/>
  <c r="H18" i="13"/>
  <c r="I18" i="13" s="1"/>
  <c r="Q15" i="13" s="1"/>
  <c r="O17" i="13"/>
  <c r="H17" i="13"/>
  <c r="I17" i="13" s="1"/>
  <c r="Q14" i="13" s="1"/>
  <c r="O16" i="13"/>
  <c r="H16" i="13"/>
  <c r="I16" i="13" s="1"/>
  <c r="Q13" i="13" s="1"/>
  <c r="O15" i="13"/>
  <c r="H15" i="13"/>
  <c r="P12" i="13" s="1"/>
  <c r="O14" i="13"/>
  <c r="H14" i="13"/>
  <c r="I14" i="13" s="1"/>
  <c r="Q11" i="13" s="1"/>
  <c r="O13" i="13"/>
  <c r="H13" i="13"/>
  <c r="I13" i="13" s="1"/>
  <c r="BB10" i="9" s="1"/>
  <c r="O12" i="13"/>
  <c r="H12" i="13"/>
  <c r="I12" i="13" s="1"/>
  <c r="H10" i="13"/>
  <c r="I10" i="13" s="1"/>
  <c r="Q9" i="13" s="1"/>
  <c r="H9" i="13"/>
  <c r="I9" i="13" s="1"/>
  <c r="BB6" i="9" s="1"/>
  <c r="H8" i="13"/>
  <c r="O127" i="13" l="1"/>
  <c r="D236" i="13"/>
  <c r="O233" i="13" s="1"/>
  <c r="AN19" i="9"/>
  <c r="O118" i="13"/>
  <c r="D227" i="13"/>
  <c r="O224" i="13" s="1"/>
  <c r="O121" i="13"/>
  <c r="D230" i="13"/>
  <c r="O227" i="13" s="1"/>
  <c r="O130" i="13"/>
  <c r="D239" i="13"/>
  <c r="O236" i="13" s="1"/>
  <c r="O119" i="13"/>
  <c r="D228" i="13"/>
  <c r="O225" i="13" s="1"/>
  <c r="O122" i="13"/>
  <c r="D231" i="13"/>
  <c r="O228" i="13" s="1"/>
  <c r="O125" i="13"/>
  <c r="D234" i="13"/>
  <c r="O231" i="13" s="1"/>
  <c r="O128" i="13"/>
  <c r="D237" i="13"/>
  <c r="O234" i="13" s="1"/>
  <c r="AS153" i="13"/>
  <c r="I88" i="13"/>
  <c r="Q87" i="13" s="1"/>
  <c r="P167" i="13"/>
  <c r="X432" i="3"/>
  <c r="O124" i="13"/>
  <c r="D233" i="13"/>
  <c r="O230" i="13" s="1"/>
  <c r="O120" i="13"/>
  <c r="D229" i="13"/>
  <c r="O226" i="13" s="1"/>
  <c r="O123" i="13"/>
  <c r="D232" i="13"/>
  <c r="O229" i="13" s="1"/>
  <c r="P51" i="13"/>
  <c r="O126" i="13"/>
  <c r="D235" i="13"/>
  <c r="O232" i="13" s="1"/>
  <c r="O38" i="13"/>
  <c r="O129" i="13"/>
  <c r="D238" i="13"/>
  <c r="O235" i="13" s="1"/>
  <c r="P9" i="13"/>
  <c r="P61" i="13"/>
  <c r="X444" i="3"/>
  <c r="AH402" i="3"/>
  <c r="AH420" i="3"/>
  <c r="AH392" i="3"/>
  <c r="AH391" i="3"/>
  <c r="AH399" i="3"/>
  <c r="X377" i="3"/>
  <c r="X419" i="3"/>
  <c r="AH419" i="3"/>
  <c r="AH428" i="3"/>
  <c r="AH425" i="3"/>
  <c r="X398" i="3"/>
  <c r="AH398" i="3"/>
  <c r="X423" i="3"/>
  <c r="AH423" i="3"/>
  <c r="X395" i="3"/>
  <c r="AH395" i="3"/>
  <c r="AH404" i="3"/>
  <c r="AH407" i="3"/>
  <c r="AH412" i="3"/>
  <c r="X416" i="3"/>
  <c r="AH416" i="3"/>
  <c r="AH400" i="3"/>
  <c r="X368" i="3"/>
  <c r="AH418" i="3"/>
  <c r="AH387" i="3"/>
  <c r="AH393" i="3"/>
  <c r="AH421" i="3"/>
  <c r="AH408" i="3"/>
  <c r="X389" i="3"/>
  <c r="AH389" i="3"/>
  <c r="AH414" i="3"/>
  <c r="AH397" i="3"/>
  <c r="AH413" i="3"/>
  <c r="X410" i="3"/>
  <c r="AH410" i="3"/>
  <c r="X402" i="3"/>
  <c r="X381" i="3"/>
  <c r="X404" i="3"/>
  <c r="X383" i="3"/>
  <c r="X413" i="3"/>
  <c r="X378" i="3"/>
  <c r="X399" i="3"/>
  <c r="X428" i="3"/>
  <c r="X374" i="3"/>
  <c r="X425" i="3"/>
  <c r="X391" i="3"/>
  <c r="X386" i="3"/>
  <c r="X370" i="3"/>
  <c r="X407" i="3"/>
  <c r="X412" i="3"/>
  <c r="Q411" i="3"/>
  <c r="X348" i="3"/>
  <c r="Q369" i="3"/>
  <c r="X369" i="3" s="1"/>
  <c r="Q390" i="3"/>
  <c r="Q394" i="3"/>
  <c r="Q415" i="3"/>
  <c r="X352" i="3"/>
  <c r="Q373" i="3"/>
  <c r="X373" i="3" s="1"/>
  <c r="X379" i="3"/>
  <c r="X400" i="3"/>
  <c r="X366" i="3"/>
  <c r="X372" i="3"/>
  <c r="X418" i="3"/>
  <c r="Q422" i="3"/>
  <c r="Q401" i="3"/>
  <c r="X359" i="3"/>
  <c r="Q380" i="3"/>
  <c r="X380" i="3" s="1"/>
  <c r="X387" i="3"/>
  <c r="Q409" i="3"/>
  <c r="X346" i="3"/>
  <c r="Q388" i="3"/>
  <c r="Q367" i="3"/>
  <c r="X367" i="3" s="1"/>
  <c r="X393" i="3"/>
  <c r="X376" i="3"/>
  <c r="X421" i="3"/>
  <c r="X408" i="3"/>
  <c r="X414" i="3"/>
  <c r="X397" i="3"/>
  <c r="Q406" i="3"/>
  <c r="Q427" i="3"/>
  <c r="X364" i="3"/>
  <c r="Q385" i="3"/>
  <c r="X385" i="3" s="1"/>
  <c r="Q424" i="3"/>
  <c r="X361" i="3"/>
  <c r="Q403" i="3"/>
  <c r="Q382" i="3"/>
  <c r="X382" i="3" s="1"/>
  <c r="X420" i="3"/>
  <c r="Q417" i="3"/>
  <c r="Q396" i="3"/>
  <c r="Q375" i="3"/>
  <c r="X375" i="3" s="1"/>
  <c r="X354" i="3"/>
  <c r="X392" i="3"/>
  <c r="Q426" i="3"/>
  <c r="Q405" i="3"/>
  <c r="X363" i="3"/>
  <c r="Q384" i="3"/>
  <c r="X384" i="3" s="1"/>
  <c r="X371" i="3"/>
  <c r="Y122" i="13"/>
  <c r="AD119" i="13" s="1"/>
  <c r="Q168" i="13"/>
  <c r="K250" i="13" s="1"/>
  <c r="AQ250" i="13" s="1"/>
  <c r="P144" i="13"/>
  <c r="O76" i="13"/>
  <c r="AQ146" i="13"/>
  <c r="AN128" i="9" s="1"/>
  <c r="P88" i="13"/>
  <c r="P17" i="13"/>
  <c r="I159" i="13"/>
  <c r="Q156" i="13" s="1"/>
  <c r="J264" i="13" s="1"/>
  <c r="AN264" i="13" s="1"/>
  <c r="I23" i="13"/>
  <c r="O50" i="13"/>
  <c r="O46" i="13"/>
  <c r="O68" i="13"/>
  <c r="Y121" i="13"/>
  <c r="Q118" i="13" s="1"/>
  <c r="I252" i="13" s="1"/>
  <c r="I154" i="13"/>
  <c r="Q151" i="13" s="1"/>
  <c r="J259" i="13" s="1"/>
  <c r="J301" i="13" s="1"/>
  <c r="O74" i="13"/>
  <c r="P63" i="13"/>
  <c r="I156" i="13"/>
  <c r="Q153" i="13" s="1"/>
  <c r="J261" i="13" s="1"/>
  <c r="AN261" i="13" s="1"/>
  <c r="AN12" i="9"/>
  <c r="I25" i="13"/>
  <c r="Q22" i="13" s="1"/>
  <c r="P37" i="13"/>
  <c r="O48" i="13"/>
  <c r="P168" i="13"/>
  <c r="P10" i="13"/>
  <c r="P38" i="13"/>
  <c r="AQ153" i="13"/>
  <c r="AN135" i="9" s="1"/>
  <c r="P117" i="13"/>
  <c r="P122" i="13"/>
  <c r="Y132" i="13"/>
  <c r="I27" i="13"/>
  <c r="Q24" i="13" s="1"/>
  <c r="O47" i="13"/>
  <c r="AO147" i="13"/>
  <c r="AN73" i="9" s="1"/>
  <c r="P170" i="13"/>
  <c r="O42" i="13"/>
  <c r="H135" i="13"/>
  <c r="P126" i="13"/>
  <c r="AQ151" i="13"/>
  <c r="AN133" i="9" s="1"/>
  <c r="P182" i="13"/>
  <c r="Q193" i="13"/>
  <c r="L249" i="13" s="1"/>
  <c r="O64" i="13"/>
  <c r="P19" i="13"/>
  <c r="P103" i="13"/>
  <c r="I155" i="13"/>
  <c r="Q152" i="13" s="1"/>
  <c r="J260" i="13" s="1"/>
  <c r="J323" i="13" s="1"/>
  <c r="O44" i="13"/>
  <c r="O70" i="13"/>
  <c r="P25" i="13"/>
  <c r="P155" i="13"/>
  <c r="P14" i="13"/>
  <c r="P23" i="13"/>
  <c r="O40" i="13"/>
  <c r="H81" i="13"/>
  <c r="P77" i="13"/>
  <c r="P149" i="13"/>
  <c r="Q194" i="13"/>
  <c r="L250" i="13" s="1"/>
  <c r="Q142" i="13"/>
  <c r="J250" i="13" s="1"/>
  <c r="AN250" i="13" s="1"/>
  <c r="AQ145" i="13"/>
  <c r="AN127" i="9" s="1"/>
  <c r="Q167" i="13"/>
  <c r="K249" i="13" s="1"/>
  <c r="AQ249" i="13" s="1"/>
  <c r="P11" i="13"/>
  <c r="O72" i="13"/>
  <c r="AO142" i="13"/>
  <c r="AN68" i="9" s="1"/>
  <c r="AD117" i="13"/>
  <c r="Q117" i="13"/>
  <c r="I251" i="13" s="1"/>
  <c r="AK251" i="13" s="1"/>
  <c r="AN40" i="9"/>
  <c r="AN13" i="9"/>
  <c r="AN37" i="9"/>
  <c r="AN10" i="9"/>
  <c r="AA119" i="13"/>
  <c r="AB119" i="13" s="1"/>
  <c r="BB14" i="9" s="1"/>
  <c r="BB152" i="9"/>
  <c r="Y123" i="13"/>
  <c r="AD120" i="13" s="1"/>
  <c r="AO153" i="13"/>
  <c r="AN79" i="9" s="1"/>
  <c r="AN20" i="9"/>
  <c r="BB148" i="9"/>
  <c r="AO146" i="13"/>
  <c r="AN72" i="9" s="1"/>
  <c r="AO151" i="13"/>
  <c r="AN77" i="9" s="1"/>
  <c r="Q10" i="13"/>
  <c r="I15" i="13"/>
  <c r="Q12" i="13" s="1"/>
  <c r="O39" i="13"/>
  <c r="O43" i="13"/>
  <c r="P64" i="13"/>
  <c r="H107" i="13"/>
  <c r="X135" i="13"/>
  <c r="AO144" i="13"/>
  <c r="AN70" i="9" s="1"/>
  <c r="AO145" i="13"/>
  <c r="AN71" i="9" s="1"/>
  <c r="AN9" i="9"/>
  <c r="I21" i="13"/>
  <c r="Q18" i="13" s="1"/>
  <c r="P89" i="13"/>
  <c r="O51" i="13"/>
  <c r="P60" i="13"/>
  <c r="I86" i="13"/>
  <c r="BB118" i="9" s="1"/>
  <c r="P90" i="13"/>
  <c r="Y114" i="13"/>
  <c r="AD114" i="13" s="1"/>
  <c r="Y117" i="13"/>
  <c r="AD115" i="13" s="1"/>
  <c r="Y133" i="13"/>
  <c r="Q192" i="13"/>
  <c r="L248" i="13" s="1"/>
  <c r="AN22" i="9"/>
  <c r="AN47" i="9"/>
  <c r="BB120" i="9"/>
  <c r="I60" i="13"/>
  <c r="BB62" i="9" s="1"/>
  <c r="P21" i="13"/>
  <c r="P15" i="13"/>
  <c r="O65" i="13"/>
  <c r="O69" i="13"/>
  <c r="O73" i="13"/>
  <c r="O77" i="13"/>
  <c r="P125" i="13"/>
  <c r="Y126" i="13"/>
  <c r="AD123" i="13" s="1"/>
  <c r="P210" i="13"/>
  <c r="BB7" i="9"/>
  <c r="AN11" i="9"/>
  <c r="AN49" i="9"/>
  <c r="I19" i="13"/>
  <c r="Q16" i="13" s="1"/>
  <c r="Q48" i="13"/>
  <c r="P121" i="13"/>
  <c r="AO140" i="13"/>
  <c r="AN66" i="9" s="1"/>
  <c r="Q141" i="13"/>
  <c r="J249" i="13" s="1"/>
  <c r="AN249" i="13" s="1"/>
  <c r="P154" i="13"/>
  <c r="H29" i="13"/>
  <c r="Q61" i="13"/>
  <c r="O66" i="13"/>
  <c r="I118" i="13"/>
  <c r="P124" i="13"/>
  <c r="P142" i="13"/>
  <c r="AQ147" i="13"/>
  <c r="AN129" i="9" s="1"/>
  <c r="BB9" i="9"/>
  <c r="AN14" i="9"/>
  <c r="P13" i="13"/>
  <c r="O41" i="13"/>
  <c r="O45" i="13"/>
  <c r="AN15" i="9"/>
  <c r="H161" i="13"/>
  <c r="O49" i="13"/>
  <c r="H187" i="13"/>
  <c r="AN16" i="9"/>
  <c r="AN41" i="9"/>
  <c r="J38" i="13"/>
  <c r="P62" i="13"/>
  <c r="O67" i="13"/>
  <c r="O71" i="13"/>
  <c r="O75" i="13"/>
  <c r="AQ142" i="13"/>
  <c r="AN124" i="9" s="1"/>
  <c r="AN42" i="9"/>
  <c r="P8" i="13"/>
  <c r="I8" i="13"/>
  <c r="BB5" i="9" s="1"/>
  <c r="I24" i="13"/>
  <c r="G55" i="13"/>
  <c r="H36" i="13"/>
  <c r="P36" i="13"/>
  <c r="Q36" i="13"/>
  <c r="I42" i="13"/>
  <c r="Q39" i="13" s="1"/>
  <c r="P39" i="13"/>
  <c r="I44" i="13"/>
  <c r="Q41" i="13" s="1"/>
  <c r="P41" i="13"/>
  <c r="I46" i="13"/>
  <c r="Q43" i="13" s="1"/>
  <c r="P43" i="13"/>
  <c r="I48" i="13"/>
  <c r="P45" i="13"/>
  <c r="AE122" i="13"/>
  <c r="AG122" i="13" s="1"/>
  <c r="AF122" i="13"/>
  <c r="AE124" i="13"/>
  <c r="AF124" i="13"/>
  <c r="AI149" i="13"/>
  <c r="AE125" i="13"/>
  <c r="AF125" i="13"/>
  <c r="AI141" i="13"/>
  <c r="AF127" i="13"/>
  <c r="AE126" i="13"/>
  <c r="AI142" i="13"/>
  <c r="AI140" i="13"/>
  <c r="AE127" i="13"/>
  <c r="AF126" i="13"/>
  <c r="AI147" i="13"/>
  <c r="AI146" i="13"/>
  <c r="AI145" i="13"/>
  <c r="AI144" i="13"/>
  <c r="AI143" i="13"/>
  <c r="AI150" i="13"/>
  <c r="AI151" i="13"/>
  <c r="AF128" i="13"/>
  <c r="AE128" i="13"/>
  <c r="AF129" i="13"/>
  <c r="AE129" i="13"/>
  <c r="AF130" i="13"/>
  <c r="AE130" i="13"/>
  <c r="AF131" i="13"/>
  <c r="AE131" i="13"/>
  <c r="AD131" i="13"/>
  <c r="Q131" i="13"/>
  <c r="I265" i="13" s="1"/>
  <c r="AQ140" i="13"/>
  <c r="AN122" i="9" s="1"/>
  <c r="AO143" i="13"/>
  <c r="AN69" i="9" s="1"/>
  <c r="AQ143" i="13"/>
  <c r="AN125" i="9" s="1"/>
  <c r="AQ144" i="13"/>
  <c r="AN126" i="9" s="1"/>
  <c r="H55" i="13"/>
  <c r="P34" i="13"/>
  <c r="I34" i="13"/>
  <c r="BB32" i="9" s="1"/>
  <c r="I43" i="13"/>
  <c r="Q40" i="13" s="1"/>
  <c r="P40" i="13"/>
  <c r="I45" i="13"/>
  <c r="Q42" i="13" s="1"/>
  <c r="P42" i="13"/>
  <c r="I47" i="13"/>
  <c r="Q44" i="13" s="1"/>
  <c r="P44" i="13"/>
  <c r="I49" i="13"/>
  <c r="P47" i="13"/>
  <c r="P46" i="13"/>
  <c r="AD116" i="13"/>
  <c r="Q116" i="13"/>
  <c r="I250" i="13" s="1"/>
  <c r="AK250" i="13" s="1"/>
  <c r="AF117" i="13"/>
  <c r="AE117" i="13"/>
  <c r="AF118" i="13"/>
  <c r="AE118" i="13"/>
  <c r="AE119" i="13"/>
  <c r="AF119" i="13"/>
  <c r="AE120" i="13"/>
  <c r="AF120" i="13"/>
  <c r="AE121" i="13"/>
  <c r="AG121" i="13" s="1"/>
  <c r="AF121" i="13"/>
  <c r="AE123" i="13"/>
  <c r="AF123" i="13"/>
  <c r="AD124" i="13"/>
  <c r="Q124" i="13"/>
  <c r="I258" i="13" s="1"/>
  <c r="AD125" i="13"/>
  <c r="Q125" i="13"/>
  <c r="I259" i="13" s="1"/>
  <c r="AD126" i="13"/>
  <c r="Q126" i="13"/>
  <c r="I260" i="13" s="1"/>
  <c r="AD127" i="13"/>
  <c r="Q127" i="13"/>
  <c r="I261" i="13" s="1"/>
  <c r="AD128" i="13"/>
  <c r="Q128" i="13"/>
  <c r="I262" i="13" s="1"/>
  <c r="AQ141" i="13"/>
  <c r="AN123" i="9" s="1"/>
  <c r="J276" i="13"/>
  <c r="AN255" i="13"/>
  <c r="P48" i="13"/>
  <c r="P49" i="13"/>
  <c r="I50" i="13"/>
  <c r="Q51" i="13" s="1"/>
  <c r="P50" i="13"/>
  <c r="Q60" i="13"/>
  <c r="I64" i="13"/>
  <c r="P65" i="13"/>
  <c r="P66" i="13"/>
  <c r="D273" i="13"/>
  <c r="Z252" i="13"/>
  <c r="P67" i="13"/>
  <c r="D274" i="13"/>
  <c r="Z253" i="13"/>
  <c r="P68" i="13"/>
  <c r="D275" i="13"/>
  <c r="Z254" i="13"/>
  <c r="P69" i="13"/>
  <c r="D276" i="13"/>
  <c r="Z255" i="13"/>
  <c r="P70" i="13"/>
  <c r="D298" i="13"/>
  <c r="Z256" i="13"/>
  <c r="P71" i="13"/>
  <c r="D299" i="13"/>
  <c r="Z257" i="13"/>
  <c r="P72" i="13"/>
  <c r="D300" i="13"/>
  <c r="Z258" i="13"/>
  <c r="P73" i="13"/>
  <c r="D301" i="13"/>
  <c r="Z259" i="13"/>
  <c r="P74" i="13"/>
  <c r="D323" i="13"/>
  <c r="Z260" i="13"/>
  <c r="P75" i="13"/>
  <c r="D324" i="13"/>
  <c r="Z261" i="13"/>
  <c r="I76" i="13"/>
  <c r="Q77" i="13" s="1"/>
  <c r="P76" i="13"/>
  <c r="D325" i="13"/>
  <c r="Z262" i="13"/>
  <c r="D326" i="13"/>
  <c r="Z263" i="13"/>
  <c r="Z264" i="13"/>
  <c r="D347" i="13"/>
  <c r="Q86" i="13"/>
  <c r="I90" i="13"/>
  <c r="P91" i="13"/>
  <c r="D92" i="13"/>
  <c r="D198" i="13" s="1"/>
  <c r="P92" i="13"/>
  <c r="D93" i="13"/>
  <c r="P93" i="13"/>
  <c r="D94" i="13"/>
  <c r="P94" i="13"/>
  <c r="D95" i="13"/>
  <c r="P95" i="13"/>
  <c r="D96" i="13"/>
  <c r="P96" i="13"/>
  <c r="D97" i="13"/>
  <c r="P97" i="13"/>
  <c r="D98" i="13"/>
  <c r="P98" i="13"/>
  <c r="D99" i="13"/>
  <c r="P99" i="13"/>
  <c r="D100" i="13"/>
  <c r="P100" i="13"/>
  <c r="D101" i="13"/>
  <c r="P101" i="13"/>
  <c r="D102" i="13"/>
  <c r="I102" i="13"/>
  <c r="P102" i="13"/>
  <c r="D103" i="13"/>
  <c r="D104" i="13"/>
  <c r="D105" i="13"/>
  <c r="I114" i="13"/>
  <c r="BB147" i="9" s="1"/>
  <c r="P114" i="13"/>
  <c r="I116" i="13"/>
  <c r="P116" i="13"/>
  <c r="Q121" i="13"/>
  <c r="I255" i="13" s="1"/>
  <c r="Q122" i="13"/>
  <c r="I256" i="13" s="1"/>
  <c r="P127" i="13"/>
  <c r="P128" i="13"/>
  <c r="P131" i="13"/>
  <c r="I140" i="13"/>
  <c r="AO141" i="13"/>
  <c r="P143" i="13"/>
  <c r="AF148" i="13"/>
  <c r="BA148" i="13"/>
  <c r="J273" i="13"/>
  <c r="AN252" i="13"/>
  <c r="P145" i="13"/>
  <c r="AO149" i="13"/>
  <c r="AQ149" i="13"/>
  <c r="AQ150" i="13"/>
  <c r="J299" i="13"/>
  <c r="AN257" i="13"/>
  <c r="J325" i="13"/>
  <c r="AN262" i="13"/>
  <c r="J348" i="13"/>
  <c r="AN265" i="13"/>
  <c r="K273" i="13"/>
  <c r="AQ252" i="13"/>
  <c r="K275" i="13"/>
  <c r="AQ254" i="13"/>
  <c r="K298" i="13"/>
  <c r="AQ256" i="13"/>
  <c r="K300" i="13"/>
  <c r="AQ258" i="13"/>
  <c r="K323" i="13"/>
  <c r="AQ260" i="13"/>
  <c r="K325" i="13"/>
  <c r="AQ262" i="13"/>
  <c r="AQ265" i="13"/>
  <c r="K348" i="13"/>
  <c r="D348" i="13"/>
  <c r="Z265" i="13"/>
  <c r="D106" i="13"/>
  <c r="I273" i="13"/>
  <c r="AK252" i="13"/>
  <c r="P140" i="13"/>
  <c r="J274" i="13"/>
  <c r="AN253" i="13"/>
  <c r="J275" i="13"/>
  <c r="AN254" i="13"/>
  <c r="J298" i="13"/>
  <c r="AN256" i="13"/>
  <c r="J300" i="13"/>
  <c r="AN258" i="13"/>
  <c r="J326" i="13"/>
  <c r="AN263" i="13"/>
  <c r="J347" i="13"/>
  <c r="K274" i="13"/>
  <c r="AQ253" i="13"/>
  <c r="K276" i="13"/>
  <c r="AQ255" i="13"/>
  <c r="K299" i="13"/>
  <c r="AQ257" i="13"/>
  <c r="K301" i="13"/>
  <c r="AQ259" i="13"/>
  <c r="K324" i="13"/>
  <c r="AQ261" i="13"/>
  <c r="K326" i="13"/>
  <c r="AQ263" i="13"/>
  <c r="P146" i="13"/>
  <c r="P147" i="13"/>
  <c r="P148" i="13"/>
  <c r="P150" i="13"/>
  <c r="AO150" i="13"/>
  <c r="P157" i="13"/>
  <c r="I166" i="13"/>
  <c r="P169" i="13"/>
  <c r="P171" i="13"/>
  <c r="P172" i="13"/>
  <c r="P173" i="13"/>
  <c r="P174" i="13"/>
  <c r="P175" i="13"/>
  <c r="P176" i="13"/>
  <c r="P177" i="13"/>
  <c r="P178" i="13"/>
  <c r="P179" i="13"/>
  <c r="P180" i="13"/>
  <c r="P181" i="13"/>
  <c r="P183" i="13"/>
  <c r="I213" i="13"/>
  <c r="AN259" i="13"/>
  <c r="P166" i="13"/>
  <c r="K347" i="13"/>
  <c r="AQ264" i="13"/>
  <c r="X403" i="3" l="1"/>
  <c r="AH403" i="3"/>
  <c r="X424" i="3"/>
  <c r="AH424" i="3"/>
  <c r="X388" i="3"/>
  <c r="AH388" i="3"/>
  <c r="X405" i="3"/>
  <c r="AH405" i="3"/>
  <c r="D385" i="7"/>
  <c r="X426" i="3"/>
  <c r="AH426" i="3"/>
  <c r="X409" i="3"/>
  <c r="AH409" i="3"/>
  <c r="X411" i="3"/>
  <c r="AH411" i="3"/>
  <c r="X427" i="3"/>
  <c r="AH427" i="3"/>
  <c r="X415" i="3"/>
  <c r="AH415" i="3"/>
  <c r="X406" i="3"/>
  <c r="AH406" i="3"/>
  <c r="X394" i="3"/>
  <c r="AH394" i="3"/>
  <c r="X390" i="3"/>
  <c r="AH390" i="3"/>
  <c r="X396" i="3"/>
  <c r="AH396" i="3"/>
  <c r="X401" i="3"/>
  <c r="AH401" i="3"/>
  <c r="X417" i="3"/>
  <c r="AH417" i="3"/>
  <c r="X422" i="3"/>
  <c r="AH422" i="3"/>
  <c r="Q119" i="13"/>
  <c r="I253" i="13" s="1"/>
  <c r="I274" i="13" s="1"/>
  <c r="AG119" i="13"/>
  <c r="R13" i="13" s="1"/>
  <c r="S13" i="13" s="1"/>
  <c r="AD118" i="13"/>
  <c r="AG118" i="13" s="1"/>
  <c r="AG125" i="13"/>
  <c r="AH125" i="13" s="1"/>
  <c r="AZ161" i="9" s="1"/>
  <c r="J324" i="13"/>
  <c r="Q20" i="13"/>
  <c r="AG127" i="13"/>
  <c r="AH127" i="13" s="1"/>
  <c r="AZ163" i="9" s="1"/>
  <c r="Q23" i="13"/>
  <c r="Q103" i="13"/>
  <c r="Q19" i="13"/>
  <c r="Q115" i="13"/>
  <c r="I249" i="13" s="1"/>
  <c r="AK249" i="13" s="1"/>
  <c r="AN260" i="13"/>
  <c r="Q114" i="13"/>
  <c r="I248" i="13" s="1"/>
  <c r="AK248" i="13" s="1"/>
  <c r="AG120" i="13"/>
  <c r="AH120" i="13" s="1"/>
  <c r="AZ156" i="9" s="1"/>
  <c r="AG126" i="13"/>
  <c r="R20" i="13" s="1"/>
  <c r="Q120" i="13"/>
  <c r="I254" i="13" s="1"/>
  <c r="AG128" i="13"/>
  <c r="R100" i="13" s="1"/>
  <c r="Q210" i="13"/>
  <c r="L266" i="13" s="1"/>
  <c r="AG117" i="13"/>
  <c r="AH117" i="13" s="1"/>
  <c r="AZ153" i="9" s="1"/>
  <c r="AD129" i="13"/>
  <c r="AG129" i="13" s="1"/>
  <c r="Q129" i="13"/>
  <c r="I263" i="13" s="1"/>
  <c r="P78" i="13"/>
  <c r="AA116" i="13"/>
  <c r="AF115" i="13" s="1"/>
  <c r="BB149" i="9"/>
  <c r="Q62" i="13"/>
  <c r="BB66" i="9"/>
  <c r="Q72" i="13"/>
  <c r="AN67" i="9"/>
  <c r="AD130" i="13"/>
  <c r="AG130" i="13" s="1"/>
  <c r="R102" i="13" s="1"/>
  <c r="S102" i="13" s="1"/>
  <c r="Q130" i="13"/>
  <c r="I264" i="13" s="1"/>
  <c r="Q74" i="13"/>
  <c r="AN76" i="9"/>
  <c r="Y135" i="13"/>
  <c r="Q100" i="13"/>
  <c r="AN132" i="9"/>
  <c r="P184" i="13"/>
  <c r="Q97" i="13"/>
  <c r="AN131" i="9"/>
  <c r="Q75" i="13"/>
  <c r="AN75" i="9"/>
  <c r="Q123" i="13"/>
  <c r="I257" i="13" s="1"/>
  <c r="AK257" i="13" s="1"/>
  <c r="P104" i="13"/>
  <c r="AG124" i="13"/>
  <c r="AH124" i="13" s="1"/>
  <c r="AZ160" i="9" s="1"/>
  <c r="Q88" i="13"/>
  <c r="BB122" i="9"/>
  <c r="P26" i="13"/>
  <c r="AA118" i="13"/>
  <c r="BB151" i="9"/>
  <c r="AG123" i="13"/>
  <c r="AH123" i="13" s="1"/>
  <c r="AZ159" i="9" s="1"/>
  <c r="AI148" i="13"/>
  <c r="AG131" i="13"/>
  <c r="R103" i="13" s="1"/>
  <c r="AH121" i="13"/>
  <c r="AZ157" i="9" s="1"/>
  <c r="R93" i="13"/>
  <c r="S93" i="13" s="1"/>
  <c r="R67" i="13"/>
  <c r="S67" i="13" s="1"/>
  <c r="R41" i="13"/>
  <c r="S41" i="13" s="1"/>
  <c r="R15" i="13"/>
  <c r="S15" i="13" s="1"/>
  <c r="P158" i="13"/>
  <c r="D212" i="13"/>
  <c r="O209" i="13" s="1"/>
  <c r="O103" i="13"/>
  <c r="I187" i="13"/>
  <c r="Q166" i="13"/>
  <c r="I161" i="13"/>
  <c r="Q140" i="13"/>
  <c r="I276" i="13"/>
  <c r="AK255" i="13"/>
  <c r="P132" i="13"/>
  <c r="D211" i="13"/>
  <c r="O208" i="13" s="1"/>
  <c r="O102" i="13"/>
  <c r="D209" i="13"/>
  <c r="O206" i="13" s="1"/>
  <c r="O100" i="13"/>
  <c r="R74" i="13"/>
  <c r="Q101" i="13"/>
  <c r="I81" i="13"/>
  <c r="Q34" i="13"/>
  <c r="Q99" i="13"/>
  <c r="AK265" i="13"/>
  <c r="I348" i="13"/>
  <c r="Q98" i="13"/>
  <c r="Q71" i="13"/>
  <c r="Q49" i="13"/>
  <c r="Q45" i="13"/>
  <c r="I29" i="13"/>
  <c r="Q8" i="13"/>
  <c r="Q25" i="13"/>
  <c r="I298" i="13"/>
  <c r="AK256" i="13"/>
  <c r="I135" i="13"/>
  <c r="AA114" i="13"/>
  <c r="D210" i="13"/>
  <c r="O207" i="13" s="1"/>
  <c r="O101" i="13"/>
  <c r="D208" i="13"/>
  <c r="O205" i="13" s="1"/>
  <c r="O99" i="13"/>
  <c r="D207" i="13"/>
  <c r="O204" i="13" s="1"/>
  <c r="O98" i="13"/>
  <c r="D206" i="13"/>
  <c r="O203" i="13" s="1"/>
  <c r="O97" i="13"/>
  <c r="D205" i="13"/>
  <c r="O202" i="13" s="1"/>
  <c r="O96" i="13"/>
  <c r="D204" i="13"/>
  <c r="O201" i="13" s="1"/>
  <c r="O95" i="13"/>
  <c r="D203" i="13"/>
  <c r="O200" i="13" s="1"/>
  <c r="O94" i="13"/>
  <c r="D202" i="13"/>
  <c r="O199" i="13" s="1"/>
  <c r="O93" i="13"/>
  <c r="D201" i="13"/>
  <c r="O198" i="13" s="1"/>
  <c r="O92" i="13"/>
  <c r="D200" i="13"/>
  <c r="O197" i="13" s="1"/>
  <c r="O91" i="13"/>
  <c r="D199" i="13"/>
  <c r="O196" i="13" s="1"/>
  <c r="O90" i="13"/>
  <c r="I325" i="13"/>
  <c r="AK262" i="13"/>
  <c r="I324" i="13"/>
  <c r="AK261" i="13"/>
  <c r="I323" i="13"/>
  <c r="AK260" i="13"/>
  <c r="I301" i="13"/>
  <c r="AK259" i="13"/>
  <c r="I300" i="13"/>
  <c r="AK258" i="13"/>
  <c r="AH122" i="13"/>
  <c r="AZ158" i="9" s="1"/>
  <c r="R94" i="13"/>
  <c r="S94" i="13" s="1"/>
  <c r="R68" i="13"/>
  <c r="S68" i="13" s="1"/>
  <c r="R42" i="13"/>
  <c r="S42" i="13" s="1"/>
  <c r="R16" i="13"/>
  <c r="S16" i="13" s="1"/>
  <c r="I107" i="13"/>
  <c r="Q47" i="13"/>
  <c r="Q46" i="13"/>
  <c r="Q73" i="13"/>
  <c r="J36" i="13"/>
  <c r="I36" i="13"/>
  <c r="P35" i="13"/>
  <c r="P52" i="13" s="1"/>
  <c r="Q21" i="13"/>
  <c r="R39" i="13" l="1"/>
  <c r="S39" i="13" s="1"/>
  <c r="AZ40" i="9" s="1"/>
  <c r="R65" i="13"/>
  <c r="S65" i="13" s="1"/>
  <c r="R91" i="13"/>
  <c r="S91" i="13" s="1"/>
  <c r="AH119" i="13"/>
  <c r="AZ155" i="9" s="1"/>
  <c r="AK253" i="13"/>
  <c r="I299" i="13"/>
  <c r="AH128" i="13"/>
  <c r="AZ164" i="9" s="1"/>
  <c r="AH118" i="13"/>
  <c r="AZ154" i="9" s="1"/>
  <c r="R12" i="13"/>
  <c r="S12" i="13" s="1"/>
  <c r="R90" i="13"/>
  <c r="S90" i="13" s="1"/>
  <c r="AZ125" i="9" s="1"/>
  <c r="R38" i="13"/>
  <c r="S38" i="13" s="1"/>
  <c r="F252" i="13" s="1"/>
  <c r="F273" i="13" s="1"/>
  <c r="R64" i="13"/>
  <c r="S64" i="13" s="1"/>
  <c r="G252" i="13" s="1"/>
  <c r="G273" i="13" s="1"/>
  <c r="S20" i="13"/>
  <c r="AZ20" i="9" s="1"/>
  <c r="R45" i="13"/>
  <c r="S45" i="13" s="1"/>
  <c r="R77" i="13"/>
  <c r="S77" i="13" s="1"/>
  <c r="G265" i="13" s="1"/>
  <c r="AE265" i="13" s="1"/>
  <c r="R71" i="13"/>
  <c r="S71" i="13" s="1"/>
  <c r="R19" i="13"/>
  <c r="S19" i="13" s="1"/>
  <c r="E259" i="13" s="1"/>
  <c r="E301" i="13" s="1"/>
  <c r="R25" i="13"/>
  <c r="S25" i="13" s="1"/>
  <c r="E265" i="13" s="1"/>
  <c r="E348" i="13" s="1"/>
  <c r="R97" i="13"/>
  <c r="S97" i="13" s="1"/>
  <c r="H259" i="13" s="1"/>
  <c r="R46" i="13"/>
  <c r="S100" i="13"/>
  <c r="AH131" i="13"/>
  <c r="AZ167" i="9" s="1"/>
  <c r="R72" i="13"/>
  <c r="S72" i="13" s="1"/>
  <c r="G260" i="13" s="1"/>
  <c r="G323" i="13" s="1"/>
  <c r="R37" i="13"/>
  <c r="S37" i="13" s="1"/>
  <c r="AZ38" i="9" s="1"/>
  <c r="R63" i="13"/>
  <c r="S63" i="13" s="1"/>
  <c r="AZ68" i="9" s="1"/>
  <c r="R51" i="13"/>
  <c r="S51" i="13" s="1"/>
  <c r="AZ52" i="9" s="1"/>
  <c r="R14" i="13"/>
  <c r="S14" i="13" s="1"/>
  <c r="E254" i="13" s="1"/>
  <c r="E275" i="13" s="1"/>
  <c r="R21" i="13"/>
  <c r="S21" i="13" s="1"/>
  <c r="AE115" i="13"/>
  <c r="AG115" i="13" s="1"/>
  <c r="R9" i="13" s="1"/>
  <c r="S9" i="13" s="1"/>
  <c r="R40" i="13"/>
  <c r="S40" i="13" s="1"/>
  <c r="F254" i="13" s="1"/>
  <c r="AB254" i="13" s="1"/>
  <c r="R47" i="13"/>
  <c r="S47" i="13" s="1"/>
  <c r="R66" i="13"/>
  <c r="S66" i="13" s="1"/>
  <c r="G254" i="13" s="1"/>
  <c r="G275" i="13" s="1"/>
  <c r="R73" i="13"/>
  <c r="S73" i="13" s="1"/>
  <c r="R92" i="13"/>
  <c r="S92" i="13" s="1"/>
  <c r="H254" i="13" s="1"/>
  <c r="H275" i="13" s="1"/>
  <c r="R99" i="13"/>
  <c r="S99" i="13" s="1"/>
  <c r="R11" i="13"/>
  <c r="S11" i="13" s="1"/>
  <c r="AZ11" i="9" s="1"/>
  <c r="AD132" i="13"/>
  <c r="S103" i="13"/>
  <c r="H265" i="13" s="1"/>
  <c r="I266" i="13"/>
  <c r="R22" i="13"/>
  <c r="S22" i="13" s="1"/>
  <c r="AZ22" i="9" s="1"/>
  <c r="R48" i="13"/>
  <c r="S48" i="13" s="1"/>
  <c r="F262" i="13" s="1"/>
  <c r="R75" i="13"/>
  <c r="S75" i="13" s="1"/>
  <c r="AH129" i="13"/>
  <c r="AZ165" i="9" s="1"/>
  <c r="R101" i="13"/>
  <c r="S101" i="13" s="1"/>
  <c r="R49" i="13"/>
  <c r="S49" i="13" s="1"/>
  <c r="R23" i="13"/>
  <c r="S23" i="13" s="1"/>
  <c r="E263" i="13" s="1"/>
  <c r="E326" i="13" s="1"/>
  <c r="R98" i="13"/>
  <c r="S98" i="13" s="1"/>
  <c r="R89" i="13"/>
  <c r="S89" i="13" s="1"/>
  <c r="H251" i="13" s="1"/>
  <c r="AH251" i="13" s="1"/>
  <c r="AH130" i="13"/>
  <c r="AZ166" i="9" s="1"/>
  <c r="R17" i="13"/>
  <c r="S17" i="13" s="1"/>
  <c r="AZ17" i="9" s="1"/>
  <c r="I326" i="13"/>
  <c r="AK263" i="13"/>
  <c r="R43" i="13"/>
  <c r="S43" i="13" s="1"/>
  <c r="AZ44" i="9" s="1"/>
  <c r="I275" i="13"/>
  <c r="R95" i="13"/>
  <c r="S95" i="13" s="1"/>
  <c r="H257" i="13" s="1"/>
  <c r="AH257" i="13" s="1"/>
  <c r="AH126" i="13"/>
  <c r="AZ162" i="9" s="1"/>
  <c r="AK254" i="13"/>
  <c r="R69" i="13"/>
  <c r="S69" i="13" s="1"/>
  <c r="AZ74" i="9" s="1"/>
  <c r="Q78" i="13"/>
  <c r="R24" i="13"/>
  <c r="S24" i="13" s="1"/>
  <c r="E264" i="13" s="1"/>
  <c r="E347" i="13" s="1"/>
  <c r="H264" i="13"/>
  <c r="H347" i="13" s="1"/>
  <c r="AZ137" i="9"/>
  <c r="G256" i="13"/>
  <c r="G298" i="13" s="1"/>
  <c r="AZ73" i="9"/>
  <c r="S74" i="13"/>
  <c r="AK264" i="13"/>
  <c r="I347" i="13"/>
  <c r="F256" i="13"/>
  <c r="F298" i="13" s="1"/>
  <c r="AZ43" i="9"/>
  <c r="H256" i="13"/>
  <c r="H298" i="13" s="1"/>
  <c r="AZ129" i="9"/>
  <c r="H262" i="13"/>
  <c r="H325" i="13" s="1"/>
  <c r="AZ135" i="9"/>
  <c r="R50" i="13"/>
  <c r="S50" i="13" s="1"/>
  <c r="AZ25" i="9"/>
  <c r="R18" i="13"/>
  <c r="S18" i="13" s="1"/>
  <c r="E255" i="13"/>
  <c r="E276" i="13" s="1"/>
  <c r="AZ15" i="9"/>
  <c r="R76" i="13"/>
  <c r="S76" i="13" s="1"/>
  <c r="H252" i="13"/>
  <c r="AH252" i="13" s="1"/>
  <c r="R44" i="13"/>
  <c r="S44" i="13" s="1"/>
  <c r="F255" i="13"/>
  <c r="F276" i="13" s="1"/>
  <c r="AZ42" i="9"/>
  <c r="E253" i="13"/>
  <c r="E274" i="13" s="1"/>
  <c r="AZ13" i="9"/>
  <c r="R70" i="13"/>
  <c r="S70" i="13" s="1"/>
  <c r="R96" i="13"/>
  <c r="S96" i="13" s="1"/>
  <c r="H255" i="13"/>
  <c r="H276" i="13" s="1"/>
  <c r="AZ128" i="9"/>
  <c r="G255" i="13"/>
  <c r="G276" i="13" s="1"/>
  <c r="AZ72" i="9"/>
  <c r="G253" i="13"/>
  <c r="G274" i="13" s="1"/>
  <c r="AZ70" i="9"/>
  <c r="Q35" i="13"/>
  <c r="BB34" i="9"/>
  <c r="Q104" i="13"/>
  <c r="E252" i="13"/>
  <c r="E273" i="13" s="1"/>
  <c r="AZ12" i="9"/>
  <c r="H253" i="13"/>
  <c r="H274" i="13" s="1"/>
  <c r="AZ126" i="9"/>
  <c r="AZ19" i="9"/>
  <c r="AB118" i="13"/>
  <c r="BB13" i="9" s="1"/>
  <c r="AF116" i="13"/>
  <c r="AE116" i="13"/>
  <c r="AG116" i="13" s="1"/>
  <c r="E256" i="13"/>
  <c r="E298" i="13" s="1"/>
  <c r="AZ16" i="9"/>
  <c r="Q132" i="13"/>
  <c r="AF114" i="13"/>
  <c r="AA135" i="13"/>
  <c r="AE114" i="13"/>
  <c r="I55" i="13"/>
  <c r="S46" i="13"/>
  <c r="J248" i="13"/>
  <c r="Q158" i="13"/>
  <c r="K248" i="13"/>
  <c r="Q184" i="13"/>
  <c r="Q26" i="13"/>
  <c r="Q52" i="13"/>
  <c r="AH115" i="13"/>
  <c r="BC148" i="9" s="1"/>
  <c r="R87" i="13"/>
  <c r="S87" i="13" s="1"/>
  <c r="R61" i="13"/>
  <c r="S61" i="13" s="1"/>
  <c r="R35" i="13"/>
  <c r="F253" i="13" l="1"/>
  <c r="F274" i="13" s="1"/>
  <c r="AZ77" i="9"/>
  <c r="E260" i="13"/>
  <c r="E323" i="13" s="1"/>
  <c r="AZ39" i="9"/>
  <c r="AZ71" i="9"/>
  <c r="G251" i="13"/>
  <c r="AE251" i="13" s="1"/>
  <c r="E262" i="13"/>
  <c r="E325" i="13" s="1"/>
  <c r="AZ82" i="9"/>
  <c r="AZ69" i="9"/>
  <c r="AZ14" i="9"/>
  <c r="AZ130" i="9"/>
  <c r="G257" i="13"/>
  <c r="G299" i="13" s="1"/>
  <c r="H348" i="13"/>
  <c r="AH265" i="13"/>
  <c r="E257" i="13"/>
  <c r="E299" i="13" s="1"/>
  <c r="AZ24" i="9"/>
  <c r="AZ127" i="9"/>
  <c r="F265" i="13"/>
  <c r="F348" i="13" s="1"/>
  <c r="E251" i="13"/>
  <c r="AZ138" i="9"/>
  <c r="AB262" i="13"/>
  <c r="F325" i="13"/>
  <c r="F251" i="13"/>
  <c r="AB251" i="13" s="1"/>
  <c r="AZ41" i="9"/>
  <c r="F257" i="13"/>
  <c r="F299" i="13" s="1"/>
  <c r="AZ49" i="9"/>
  <c r="AH256" i="13"/>
  <c r="AE255" i="13"/>
  <c r="H273" i="13"/>
  <c r="AZ23" i="9"/>
  <c r="AF132" i="13"/>
  <c r="G348" i="13"/>
  <c r="AZ132" i="9"/>
  <c r="AH254" i="13"/>
  <c r="AH262" i="13"/>
  <c r="AH259" i="13"/>
  <c r="H301" i="13"/>
  <c r="AH253" i="13"/>
  <c r="AZ124" i="9"/>
  <c r="AB255" i="13"/>
  <c r="AE254" i="13"/>
  <c r="AB256" i="13"/>
  <c r="AE256" i="13"/>
  <c r="AB252" i="13"/>
  <c r="AH255" i="13"/>
  <c r="F258" i="13"/>
  <c r="AZ45" i="9"/>
  <c r="F264" i="13"/>
  <c r="AZ51" i="9"/>
  <c r="G261" i="13"/>
  <c r="G324" i="13" s="1"/>
  <c r="AZ78" i="9"/>
  <c r="F260" i="13"/>
  <c r="AB260" i="13" s="1"/>
  <c r="AZ47" i="9"/>
  <c r="G262" i="13"/>
  <c r="AZ79" i="9"/>
  <c r="F275" i="13"/>
  <c r="G259" i="13"/>
  <c r="G301" i="13" s="1"/>
  <c r="AZ76" i="9"/>
  <c r="G258" i="13"/>
  <c r="AZ75" i="9"/>
  <c r="E261" i="13"/>
  <c r="E324" i="13" s="1"/>
  <c r="AZ21" i="9"/>
  <c r="H260" i="13"/>
  <c r="H323" i="13" s="1"/>
  <c r="AZ133" i="9"/>
  <c r="H263" i="13"/>
  <c r="H326" i="13" s="1"/>
  <c r="AZ136" i="9"/>
  <c r="F261" i="13"/>
  <c r="F324" i="13" s="1"/>
  <c r="AZ48" i="9"/>
  <c r="F263" i="13"/>
  <c r="F326" i="13" s="1"/>
  <c r="AZ50" i="9"/>
  <c r="AE260" i="13"/>
  <c r="AH264" i="13"/>
  <c r="H258" i="13"/>
  <c r="AZ131" i="9"/>
  <c r="H299" i="13"/>
  <c r="AB253" i="13"/>
  <c r="G263" i="13"/>
  <c r="AZ80" i="9"/>
  <c r="H249" i="13"/>
  <c r="AH249" i="13" s="1"/>
  <c r="BC119" i="9"/>
  <c r="AH116" i="13"/>
  <c r="BC149" i="9" s="1"/>
  <c r="R88" i="13"/>
  <c r="S88" i="13" s="1"/>
  <c r="R62" i="13"/>
  <c r="S62" i="13" s="1"/>
  <c r="R36" i="13"/>
  <c r="S36" i="13" s="1"/>
  <c r="R10" i="13"/>
  <c r="S10" i="13" s="1"/>
  <c r="G264" i="13"/>
  <c r="AZ81" i="9"/>
  <c r="F259" i="13"/>
  <c r="F301" i="13" s="1"/>
  <c r="AZ46" i="9"/>
  <c r="AE252" i="13"/>
  <c r="E258" i="13"/>
  <c r="E300" i="13" s="1"/>
  <c r="AZ18" i="9"/>
  <c r="H261" i="13"/>
  <c r="AH261" i="13" s="1"/>
  <c r="AZ134" i="9"/>
  <c r="E249" i="13"/>
  <c r="BC6" i="9"/>
  <c r="AE253" i="13"/>
  <c r="S35" i="13"/>
  <c r="G249" i="13"/>
  <c r="AE249" i="13" s="1"/>
  <c r="BC63" i="9"/>
  <c r="AB259" i="13"/>
  <c r="K266" i="13"/>
  <c r="AQ248" i="13"/>
  <c r="J266" i="13"/>
  <c r="AN248" i="13"/>
  <c r="AE132" i="13"/>
  <c r="AG114" i="13"/>
  <c r="AE257" i="13" l="1"/>
  <c r="AB257" i="13"/>
  <c r="AB265" i="13"/>
  <c r="F323" i="13"/>
  <c r="AE261" i="13"/>
  <c r="AH260" i="13"/>
  <c r="AB261" i="13"/>
  <c r="AH263" i="13"/>
  <c r="H324" i="13"/>
  <c r="AB263" i="13"/>
  <c r="AE263" i="13"/>
  <c r="G326" i="13"/>
  <c r="AE262" i="13"/>
  <c r="G325" i="13"/>
  <c r="F249" i="13"/>
  <c r="AB249" i="13" s="1"/>
  <c r="BC33" i="9"/>
  <c r="AE259" i="13"/>
  <c r="AE264" i="13"/>
  <c r="G347" i="13"/>
  <c r="E250" i="13"/>
  <c r="BC7" i="9"/>
  <c r="H300" i="13"/>
  <c r="AH258" i="13"/>
  <c r="F250" i="13"/>
  <c r="AB250" i="13" s="1"/>
  <c r="BC34" i="9"/>
  <c r="G250" i="13"/>
  <c r="AE250" i="13" s="1"/>
  <c r="BC64" i="9"/>
  <c r="F347" i="13"/>
  <c r="AB264" i="13"/>
  <c r="F300" i="13"/>
  <c r="AB258" i="13"/>
  <c r="H250" i="13"/>
  <c r="AH250" i="13" s="1"/>
  <c r="BC120" i="9"/>
  <c r="AE258" i="13"/>
  <c r="G300" i="13"/>
  <c r="AH114" i="13"/>
  <c r="R86" i="13"/>
  <c r="S86" i="13" s="1"/>
  <c r="BC118" i="9" s="1"/>
  <c r="R60" i="13"/>
  <c r="S60" i="13" s="1"/>
  <c r="BC62" i="9" s="1"/>
  <c r="R34" i="13"/>
  <c r="S34" i="13" s="1"/>
  <c r="BC32" i="9" s="1"/>
  <c r="R8" i="13"/>
  <c r="S8" i="13" s="1"/>
  <c r="BC5" i="9" s="1"/>
  <c r="AH132" i="13" l="1"/>
  <c r="BC147" i="9"/>
  <c r="F248" i="13"/>
  <c r="S52" i="13"/>
  <c r="H248" i="13"/>
  <c r="S104" i="13"/>
  <c r="AZ139" i="9" s="1"/>
  <c r="E248" i="13"/>
  <c r="E266" i="13" s="1"/>
  <c r="S26" i="13"/>
  <c r="G248" i="13"/>
  <c r="S78" i="13"/>
  <c r="G266" i="13" l="1"/>
  <c r="AE248" i="13"/>
  <c r="H266" i="13"/>
  <c r="AH248" i="13"/>
  <c r="F266" i="13"/>
  <c r="AB248" i="13"/>
  <c r="AD9" i="10" l="1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152" i="10"/>
  <c r="AD153" i="10"/>
  <c r="AD154" i="10"/>
  <c r="AD155" i="10"/>
  <c r="AD156" i="10"/>
  <c r="AD157" i="10"/>
  <c r="AD158" i="10"/>
  <c r="AD159" i="10"/>
  <c r="AD160" i="10"/>
  <c r="AD161" i="10"/>
  <c r="AD162" i="10"/>
  <c r="AD163" i="10"/>
  <c r="AD164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98" i="10"/>
  <c r="AD199" i="10"/>
  <c r="AD200" i="10"/>
  <c r="AD201" i="10"/>
  <c r="AD202" i="10"/>
  <c r="AD203" i="10"/>
  <c r="AD204" i="10"/>
  <c r="AD205" i="10"/>
  <c r="AD206" i="10"/>
  <c r="AD207" i="10"/>
  <c r="AD208" i="10"/>
  <c r="AD209" i="10"/>
  <c r="AD210" i="10"/>
  <c r="AD211" i="10"/>
  <c r="AD212" i="10"/>
  <c r="AD213" i="10"/>
  <c r="AD214" i="10"/>
  <c r="AD215" i="10"/>
  <c r="AD216" i="10"/>
  <c r="AD217" i="10"/>
  <c r="AD218" i="10"/>
  <c r="AD219" i="10"/>
  <c r="AD220" i="10"/>
  <c r="AD221" i="10"/>
  <c r="AD222" i="10"/>
  <c r="AD223" i="10"/>
  <c r="AD224" i="10"/>
  <c r="AD225" i="10"/>
  <c r="AD226" i="10"/>
  <c r="AD227" i="10"/>
  <c r="AD228" i="10"/>
  <c r="AD229" i="10"/>
  <c r="AD230" i="10"/>
  <c r="AD231" i="10"/>
  <c r="AD232" i="10"/>
  <c r="AD233" i="10"/>
  <c r="AD234" i="10"/>
  <c r="AD235" i="10"/>
  <c r="AD236" i="10"/>
  <c r="AD237" i="10"/>
  <c r="AD238" i="10"/>
  <c r="AD239" i="10"/>
  <c r="AD240" i="10"/>
  <c r="AD241" i="10"/>
  <c r="AD242" i="10"/>
  <c r="AD243" i="10"/>
  <c r="AD244" i="10"/>
  <c r="AD245" i="10"/>
  <c r="AD246" i="10"/>
  <c r="AD247" i="10"/>
  <c r="AD248" i="10"/>
  <c r="AD249" i="10"/>
  <c r="AD250" i="10"/>
  <c r="AD251" i="10"/>
  <c r="AD252" i="10"/>
  <c r="AD253" i="10"/>
  <c r="AD254" i="10"/>
  <c r="AD255" i="10"/>
  <c r="AD256" i="10"/>
  <c r="AD257" i="10"/>
  <c r="AD258" i="10"/>
  <c r="AD259" i="10"/>
  <c r="AD260" i="10"/>
  <c r="AD261" i="10"/>
  <c r="AD262" i="10"/>
  <c r="AD263" i="10"/>
  <c r="AD264" i="10"/>
  <c r="AD265" i="10"/>
  <c r="AD266" i="10"/>
  <c r="AD267" i="10"/>
  <c r="AD268" i="10"/>
  <c r="AD269" i="10"/>
  <c r="AD270" i="10"/>
  <c r="AD271" i="10"/>
  <c r="AD272" i="10"/>
  <c r="AD273" i="10"/>
  <c r="AD274" i="10"/>
  <c r="AD275" i="10"/>
  <c r="AD276" i="10"/>
  <c r="AD277" i="10"/>
  <c r="AD278" i="10"/>
  <c r="AD279" i="10"/>
  <c r="AD280" i="10"/>
  <c r="AD281" i="10"/>
  <c r="AD282" i="10"/>
  <c r="AD283" i="10"/>
  <c r="AD284" i="10"/>
  <c r="AD285" i="10"/>
  <c r="AD286" i="10"/>
  <c r="AD287" i="10"/>
  <c r="AD288" i="10"/>
  <c r="AD289" i="10"/>
  <c r="AD290" i="10"/>
  <c r="AD291" i="10"/>
  <c r="AD292" i="10"/>
  <c r="AD293" i="10"/>
  <c r="AD294" i="10"/>
  <c r="AD295" i="10"/>
  <c r="AD296" i="10"/>
  <c r="AD297" i="10"/>
  <c r="AD298" i="10"/>
  <c r="AD299" i="10"/>
  <c r="AD300" i="10"/>
  <c r="AD301" i="10"/>
  <c r="AD302" i="10"/>
  <c r="AB9" i="10" l="1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B215" i="10"/>
  <c r="AB216" i="10"/>
  <c r="AB217" i="10"/>
  <c r="AB218" i="10"/>
  <c r="AB219" i="10"/>
  <c r="AB220" i="10"/>
  <c r="AB221" i="10"/>
  <c r="AB222" i="10"/>
  <c r="AB223" i="10"/>
  <c r="AB224" i="10"/>
  <c r="AB225" i="10"/>
  <c r="AB226" i="10"/>
  <c r="AB227" i="10"/>
  <c r="AB228" i="10"/>
  <c r="AB229" i="10"/>
  <c r="AB230" i="10"/>
  <c r="AB231" i="10"/>
  <c r="AB232" i="10"/>
  <c r="AB233" i="10"/>
  <c r="AB234" i="10"/>
  <c r="AB235" i="10"/>
  <c r="AB236" i="10"/>
  <c r="AB237" i="10"/>
  <c r="AB238" i="10"/>
  <c r="AB239" i="10"/>
  <c r="AB240" i="10"/>
  <c r="AB241" i="10"/>
  <c r="AB242" i="10"/>
  <c r="AB243" i="10"/>
  <c r="AB244" i="10"/>
  <c r="AB245" i="10"/>
  <c r="AB246" i="10"/>
  <c r="AB247" i="10"/>
  <c r="AB248" i="10"/>
  <c r="AB249" i="10"/>
  <c r="AB250" i="10"/>
  <c r="AB251" i="10"/>
  <c r="AB252" i="10"/>
  <c r="AB253" i="10"/>
  <c r="AB254" i="10"/>
  <c r="AB255" i="10"/>
  <c r="AB256" i="10"/>
  <c r="AB257" i="10"/>
  <c r="AB258" i="10"/>
  <c r="AB259" i="10"/>
  <c r="AB260" i="10"/>
  <c r="AB261" i="10"/>
  <c r="AB262" i="10"/>
  <c r="AB263" i="10"/>
  <c r="AB264" i="10"/>
  <c r="AB265" i="10"/>
  <c r="AB266" i="10"/>
  <c r="AB267" i="10"/>
  <c r="AB268" i="10"/>
  <c r="AB269" i="10"/>
  <c r="AB270" i="10"/>
  <c r="AB271" i="10"/>
  <c r="AB272" i="10"/>
  <c r="AB273" i="10"/>
  <c r="AB274" i="10"/>
  <c r="AB275" i="10"/>
  <c r="AB276" i="10"/>
  <c r="AB277" i="10"/>
  <c r="AB278" i="10"/>
  <c r="AB279" i="10"/>
  <c r="AB280" i="10"/>
  <c r="AB281" i="10"/>
  <c r="AB282" i="10"/>
  <c r="AB283" i="10"/>
  <c r="AB284" i="10"/>
  <c r="AB285" i="10"/>
  <c r="AB286" i="10"/>
  <c r="AB287" i="10"/>
  <c r="AB288" i="10"/>
  <c r="AB289" i="10"/>
  <c r="AB290" i="10"/>
  <c r="AB291" i="10"/>
  <c r="AB292" i="10"/>
  <c r="AB293" i="10"/>
  <c r="AB294" i="10"/>
  <c r="AB295" i="10"/>
  <c r="AB296" i="10"/>
  <c r="AB297" i="10"/>
  <c r="AB298" i="10"/>
  <c r="AB299" i="10"/>
  <c r="AB300" i="10"/>
  <c r="AB301" i="10"/>
  <c r="AB302" i="10"/>
  <c r="AA9" i="10" l="1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67" i="10"/>
  <c r="AA268" i="10"/>
  <c r="AA269" i="10"/>
  <c r="AA270" i="10"/>
  <c r="AA271" i="10"/>
  <c r="AA272" i="10"/>
  <c r="AA273" i="10"/>
  <c r="AA274" i="10"/>
  <c r="AA275" i="10"/>
  <c r="AA276" i="10"/>
  <c r="AA277" i="10"/>
  <c r="AA278" i="10"/>
  <c r="AA279" i="10"/>
  <c r="AA280" i="10"/>
  <c r="AA281" i="10"/>
  <c r="AA282" i="10"/>
  <c r="AA283" i="10"/>
  <c r="AA284" i="10"/>
  <c r="AA285" i="10"/>
  <c r="AA286" i="10"/>
  <c r="AA287" i="10"/>
  <c r="AA288" i="10"/>
  <c r="AA289" i="10"/>
  <c r="AA290" i="10"/>
  <c r="AA291" i="10"/>
  <c r="AA292" i="10"/>
  <c r="AA293" i="10"/>
  <c r="AA294" i="10"/>
  <c r="AA295" i="10"/>
  <c r="AA296" i="10"/>
  <c r="AA297" i="10"/>
  <c r="AA298" i="10"/>
  <c r="AA299" i="10"/>
  <c r="AA300" i="10"/>
  <c r="AA301" i="10"/>
  <c r="AA302" i="10"/>
  <c r="AC9" i="10" l="1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195" i="10"/>
  <c r="AC196" i="10"/>
  <c r="AC197" i="10"/>
  <c r="AC198" i="10"/>
  <c r="AC199" i="10"/>
  <c r="AC200" i="10"/>
  <c r="AC201" i="10"/>
  <c r="AC202" i="10"/>
  <c r="AC203" i="10"/>
  <c r="AC204" i="10"/>
  <c r="AC205" i="10"/>
  <c r="AC206" i="10"/>
  <c r="AC207" i="10"/>
  <c r="AC208" i="10"/>
  <c r="AC209" i="10"/>
  <c r="AC210" i="10"/>
  <c r="AC211" i="10"/>
  <c r="AC212" i="10"/>
  <c r="AC213" i="10"/>
  <c r="AC214" i="10"/>
  <c r="AC215" i="10"/>
  <c r="AC216" i="10"/>
  <c r="AC217" i="10"/>
  <c r="AC218" i="10"/>
  <c r="AC219" i="10"/>
  <c r="AC220" i="10"/>
  <c r="AC221" i="10"/>
  <c r="AC222" i="10"/>
  <c r="AC223" i="10"/>
  <c r="AC224" i="10"/>
  <c r="AC225" i="10"/>
  <c r="AC226" i="10"/>
  <c r="AC227" i="10"/>
  <c r="AC228" i="10"/>
  <c r="AC229" i="10"/>
  <c r="AC230" i="10"/>
  <c r="AC231" i="10"/>
  <c r="AC232" i="10"/>
  <c r="AC233" i="10"/>
  <c r="AC234" i="10"/>
  <c r="AC235" i="10"/>
  <c r="AC236" i="10"/>
  <c r="AC237" i="10"/>
  <c r="AC238" i="10"/>
  <c r="AC239" i="10"/>
  <c r="AC240" i="10"/>
  <c r="AC241" i="10"/>
  <c r="AC242" i="10"/>
  <c r="AC243" i="10"/>
  <c r="AC244" i="10"/>
  <c r="AC245" i="10"/>
  <c r="AC246" i="10"/>
  <c r="AC247" i="10"/>
  <c r="AC248" i="10"/>
  <c r="AC249" i="10"/>
  <c r="AC250" i="10"/>
  <c r="AC251" i="10"/>
  <c r="AC252" i="10"/>
  <c r="AC253" i="10"/>
  <c r="AC254" i="10"/>
  <c r="AC255" i="10"/>
  <c r="AC256" i="10"/>
  <c r="AC257" i="10"/>
  <c r="AC258" i="10"/>
  <c r="AC259" i="10"/>
  <c r="AC260" i="10"/>
  <c r="AC261" i="10"/>
  <c r="AC262" i="10"/>
  <c r="AC263" i="10"/>
  <c r="AC264" i="10"/>
  <c r="AC265" i="10"/>
  <c r="AC266" i="10"/>
  <c r="AC267" i="10"/>
  <c r="AC268" i="10"/>
  <c r="AC269" i="10"/>
  <c r="AC270" i="10"/>
  <c r="AC271" i="10"/>
  <c r="AC272" i="10"/>
  <c r="AC273" i="10"/>
  <c r="AC274" i="10"/>
  <c r="AC275" i="10"/>
  <c r="AC276" i="10"/>
  <c r="AC277" i="10"/>
  <c r="AC278" i="10"/>
  <c r="AC279" i="10"/>
  <c r="AC280" i="10"/>
  <c r="AC281" i="10"/>
  <c r="AC282" i="10"/>
  <c r="AC283" i="10"/>
  <c r="AC284" i="10"/>
  <c r="AC285" i="10"/>
  <c r="AC286" i="10"/>
  <c r="AC287" i="10"/>
  <c r="AC288" i="10"/>
  <c r="AC289" i="10"/>
  <c r="AC290" i="10"/>
  <c r="AC291" i="10"/>
  <c r="AC292" i="10"/>
  <c r="AC293" i="10"/>
  <c r="AC294" i="10"/>
  <c r="AC295" i="10"/>
  <c r="AC296" i="10"/>
  <c r="AC297" i="10"/>
  <c r="AC298" i="10"/>
  <c r="AC299" i="10"/>
  <c r="AC300" i="10"/>
  <c r="AC301" i="10"/>
  <c r="AC302" i="10"/>
  <c r="D32" i="8" l="1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104" i="4"/>
  <c r="D103" i="4"/>
  <c r="D102" i="4"/>
  <c r="D101" i="4"/>
  <c r="D100" i="4"/>
  <c r="D99" i="4"/>
  <c r="D98" i="4"/>
  <c r="D97" i="4"/>
  <c r="D96" i="4"/>
  <c r="D95" i="4"/>
  <c r="D94" i="4"/>
  <c r="D93" i="4"/>
  <c r="D91" i="4"/>
  <c r="D90" i="4"/>
  <c r="D88" i="4"/>
  <c r="D87" i="4"/>
  <c r="D86" i="4"/>
  <c r="D85" i="4"/>
  <c r="D84" i="4"/>
  <c r="F78" i="4"/>
  <c r="D78" i="4"/>
  <c r="F77" i="4"/>
  <c r="D77" i="4"/>
  <c r="F76" i="4"/>
  <c r="D76" i="4"/>
  <c r="F75" i="4"/>
  <c r="D75" i="4"/>
  <c r="F74" i="4"/>
  <c r="D74" i="4"/>
  <c r="F73" i="4"/>
  <c r="D73" i="4"/>
  <c r="F72" i="4"/>
  <c r="D72" i="4"/>
  <c r="F71" i="4"/>
  <c r="D71" i="4"/>
  <c r="F70" i="4"/>
  <c r="D70" i="4"/>
  <c r="F69" i="4"/>
  <c r="D69" i="4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BN138" i="9"/>
  <c r="BN137" i="9"/>
  <c r="BN136" i="9"/>
  <c r="BN135" i="9"/>
  <c r="BN134" i="9"/>
  <c r="BN133" i="9"/>
  <c r="BN132" i="9"/>
  <c r="BN131" i="9"/>
  <c r="BN130" i="9"/>
  <c r="BN129" i="9"/>
  <c r="BN128" i="9"/>
  <c r="BN127" i="9"/>
  <c r="BN126" i="9"/>
  <c r="BN125" i="9"/>
  <c r="BN124" i="9"/>
  <c r="BN123" i="9"/>
  <c r="BN122" i="9"/>
  <c r="BN121" i="9"/>
  <c r="BN120" i="9"/>
  <c r="BN119" i="9"/>
  <c r="BN118" i="9"/>
  <c r="BB109" i="9"/>
  <c r="BB108" i="9"/>
  <c r="BB107" i="9"/>
  <c r="BB106" i="9"/>
  <c r="BB105" i="9"/>
  <c r="BB104" i="9"/>
  <c r="BB103" i="9"/>
  <c r="BB102" i="9"/>
  <c r="BB101" i="9"/>
  <c r="BB100" i="9"/>
  <c r="BB99" i="9"/>
  <c r="BB98" i="9"/>
  <c r="BB97" i="9"/>
  <c r="BB96" i="9"/>
  <c r="BB95" i="9"/>
  <c r="BB94" i="9"/>
  <c r="BB93" i="9"/>
  <c r="BB92" i="9"/>
  <c r="BB91" i="9"/>
  <c r="BB90" i="9"/>
  <c r="BB89" i="9"/>
  <c r="BN82" i="9"/>
  <c r="BN81" i="9"/>
  <c r="BN80" i="9"/>
  <c r="BN79" i="9"/>
  <c r="BN78" i="9"/>
  <c r="BN77" i="9"/>
  <c r="BN76" i="9"/>
  <c r="BN75" i="9"/>
  <c r="BN74" i="9"/>
  <c r="BN73" i="9"/>
  <c r="BN72" i="9"/>
  <c r="BN71" i="9"/>
  <c r="BN70" i="9"/>
  <c r="BN69" i="9"/>
  <c r="BN68" i="9"/>
  <c r="BN67" i="9"/>
  <c r="BN66" i="9"/>
  <c r="BN65" i="9"/>
  <c r="BN64" i="9"/>
  <c r="BN63" i="9"/>
  <c r="BN62" i="9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I281" i="10"/>
  <c r="H281" i="10"/>
  <c r="G281" i="10"/>
  <c r="F281" i="10"/>
  <c r="E281" i="10"/>
  <c r="D281" i="10"/>
  <c r="I280" i="10"/>
  <c r="H280" i="10"/>
  <c r="G280" i="10"/>
  <c r="F280" i="10"/>
  <c r="E280" i="10"/>
  <c r="D280" i="10"/>
  <c r="I279" i="10"/>
  <c r="H279" i="10"/>
  <c r="G279" i="10"/>
  <c r="F279" i="10"/>
  <c r="E279" i="10"/>
  <c r="D279" i="10"/>
  <c r="I278" i="10"/>
  <c r="H278" i="10"/>
  <c r="G278" i="10"/>
  <c r="F278" i="10"/>
  <c r="E278" i="10"/>
  <c r="D278" i="10"/>
  <c r="I277" i="10"/>
  <c r="H277" i="10"/>
  <c r="G277" i="10"/>
  <c r="F277" i="10"/>
  <c r="E277" i="10"/>
  <c r="D277" i="10"/>
  <c r="I276" i="10"/>
  <c r="H276" i="10"/>
  <c r="G276" i="10"/>
  <c r="F276" i="10"/>
  <c r="E276" i="10"/>
  <c r="D276" i="10"/>
  <c r="I275" i="10"/>
  <c r="H275" i="10"/>
  <c r="G275" i="10"/>
  <c r="F275" i="10"/>
  <c r="E275" i="10"/>
  <c r="D275" i="10"/>
  <c r="I274" i="10"/>
  <c r="H274" i="10"/>
  <c r="G274" i="10"/>
  <c r="F274" i="10"/>
  <c r="E274" i="10"/>
  <c r="D274" i="10"/>
  <c r="I273" i="10"/>
  <c r="H273" i="10"/>
  <c r="G273" i="10"/>
  <c r="F273" i="10"/>
  <c r="E273" i="10"/>
  <c r="D273" i="10"/>
  <c r="I272" i="10"/>
  <c r="H272" i="10"/>
  <c r="G272" i="10"/>
  <c r="F272" i="10"/>
  <c r="E272" i="10"/>
  <c r="D272" i="10"/>
  <c r="I271" i="10"/>
  <c r="H271" i="10"/>
  <c r="G271" i="10"/>
  <c r="F271" i="10"/>
  <c r="E271" i="10"/>
  <c r="D271" i="10"/>
  <c r="I270" i="10"/>
  <c r="H270" i="10"/>
  <c r="G270" i="10"/>
  <c r="F270" i="10"/>
  <c r="E270" i="10"/>
  <c r="D270" i="10"/>
  <c r="I269" i="10"/>
  <c r="H269" i="10"/>
  <c r="G269" i="10"/>
  <c r="F269" i="10"/>
  <c r="E269" i="10"/>
  <c r="D269" i="10"/>
  <c r="I268" i="10"/>
  <c r="H268" i="10"/>
  <c r="G268" i="10"/>
  <c r="F268" i="10"/>
  <c r="E268" i="10"/>
  <c r="D268" i="10"/>
  <c r="I267" i="10"/>
  <c r="H267" i="10"/>
  <c r="G267" i="10"/>
  <c r="F267" i="10"/>
  <c r="E267" i="10"/>
  <c r="D267" i="10"/>
  <c r="I266" i="10"/>
  <c r="H266" i="10"/>
  <c r="G266" i="10"/>
  <c r="F266" i="10"/>
  <c r="E266" i="10"/>
  <c r="D266" i="10"/>
  <c r="I265" i="10"/>
  <c r="H265" i="10"/>
  <c r="G265" i="10"/>
  <c r="F265" i="10"/>
  <c r="E265" i="10"/>
  <c r="D265" i="10"/>
  <c r="I264" i="10"/>
  <c r="H264" i="10"/>
  <c r="G264" i="10"/>
  <c r="F264" i="10"/>
  <c r="E264" i="10"/>
  <c r="D264" i="10"/>
  <c r="I263" i="10"/>
  <c r="H263" i="10"/>
  <c r="G263" i="10"/>
  <c r="F263" i="10"/>
  <c r="E263" i="10"/>
  <c r="D263" i="10"/>
  <c r="I262" i="10"/>
  <c r="H262" i="10"/>
  <c r="G262" i="10"/>
  <c r="F262" i="10"/>
  <c r="E262" i="10"/>
  <c r="D262" i="10"/>
  <c r="I261" i="10"/>
  <c r="H261" i="10"/>
  <c r="G261" i="10"/>
  <c r="F261" i="10"/>
  <c r="E261" i="10"/>
  <c r="D261" i="10"/>
  <c r="I260" i="10"/>
  <c r="H260" i="10"/>
  <c r="G260" i="10"/>
  <c r="F260" i="10"/>
  <c r="E260" i="10"/>
  <c r="D260" i="10"/>
  <c r="I259" i="10"/>
  <c r="H259" i="10"/>
  <c r="G259" i="10"/>
  <c r="F259" i="10"/>
  <c r="E259" i="10"/>
  <c r="D259" i="10"/>
  <c r="I258" i="10"/>
  <c r="H258" i="10"/>
  <c r="G258" i="10"/>
  <c r="F258" i="10"/>
  <c r="E258" i="10"/>
  <c r="D258" i="10"/>
  <c r="I257" i="10"/>
  <c r="H257" i="10"/>
  <c r="G257" i="10"/>
  <c r="F257" i="10"/>
  <c r="E257" i="10"/>
  <c r="D257" i="10"/>
  <c r="I256" i="10"/>
  <c r="H256" i="10"/>
  <c r="G256" i="10"/>
  <c r="F256" i="10"/>
  <c r="E256" i="10"/>
  <c r="D256" i="10"/>
  <c r="I255" i="10"/>
  <c r="H255" i="10"/>
  <c r="G255" i="10"/>
  <c r="F255" i="10"/>
  <c r="E255" i="10"/>
  <c r="D255" i="10"/>
  <c r="I254" i="10"/>
  <c r="H254" i="10"/>
  <c r="G254" i="10"/>
  <c r="F254" i="10"/>
  <c r="E254" i="10"/>
  <c r="D254" i="10"/>
  <c r="I253" i="10"/>
  <c r="H253" i="10"/>
  <c r="G253" i="10"/>
  <c r="F253" i="10"/>
  <c r="E253" i="10"/>
  <c r="D253" i="10"/>
  <c r="I252" i="10"/>
  <c r="H252" i="10"/>
  <c r="G252" i="10"/>
  <c r="F252" i="10"/>
  <c r="E252" i="10"/>
  <c r="D252" i="10"/>
  <c r="I251" i="10"/>
  <c r="H251" i="10"/>
  <c r="G251" i="10"/>
  <c r="F251" i="10"/>
  <c r="E251" i="10"/>
  <c r="D251" i="10"/>
  <c r="I250" i="10"/>
  <c r="H250" i="10"/>
  <c r="G250" i="10"/>
  <c r="F250" i="10"/>
  <c r="E250" i="10"/>
  <c r="D250" i="10"/>
  <c r="I249" i="10"/>
  <c r="H249" i="10"/>
  <c r="G249" i="10"/>
  <c r="F249" i="10"/>
  <c r="E249" i="10"/>
  <c r="D249" i="10"/>
  <c r="I248" i="10"/>
  <c r="H248" i="10"/>
  <c r="G248" i="10"/>
  <c r="F248" i="10"/>
  <c r="E248" i="10"/>
  <c r="D248" i="10"/>
  <c r="I247" i="10"/>
  <c r="H247" i="10"/>
  <c r="G247" i="10"/>
  <c r="F247" i="10"/>
  <c r="E247" i="10"/>
  <c r="D247" i="10"/>
  <c r="I246" i="10"/>
  <c r="H246" i="10"/>
  <c r="G246" i="10"/>
  <c r="F246" i="10"/>
  <c r="E246" i="10"/>
  <c r="D246" i="10"/>
  <c r="I245" i="10"/>
  <c r="H245" i="10"/>
  <c r="G245" i="10"/>
  <c r="F245" i="10"/>
  <c r="E245" i="10"/>
  <c r="D245" i="10"/>
  <c r="I244" i="10"/>
  <c r="H244" i="10"/>
  <c r="G244" i="10"/>
  <c r="F244" i="10"/>
  <c r="E244" i="10"/>
  <c r="D244" i="10"/>
  <c r="I243" i="10"/>
  <c r="H243" i="10"/>
  <c r="G243" i="10"/>
  <c r="F243" i="10"/>
  <c r="E243" i="10"/>
  <c r="D243" i="10"/>
  <c r="I242" i="10"/>
  <c r="H242" i="10"/>
  <c r="G242" i="10"/>
  <c r="F242" i="10"/>
  <c r="E242" i="10"/>
  <c r="D242" i="10"/>
  <c r="I241" i="10"/>
  <c r="H241" i="10"/>
  <c r="G241" i="10"/>
  <c r="F241" i="10"/>
  <c r="E241" i="10"/>
  <c r="D241" i="10"/>
  <c r="I240" i="10"/>
  <c r="H240" i="10"/>
  <c r="G240" i="10"/>
  <c r="F240" i="10"/>
  <c r="E240" i="10"/>
  <c r="D240" i="10"/>
  <c r="I239" i="10"/>
  <c r="H239" i="10"/>
  <c r="G239" i="10"/>
  <c r="F239" i="10"/>
  <c r="E239" i="10"/>
  <c r="D239" i="10"/>
  <c r="I238" i="10"/>
  <c r="H238" i="10"/>
  <c r="G238" i="10"/>
  <c r="F238" i="10"/>
  <c r="E238" i="10"/>
  <c r="D238" i="10"/>
  <c r="I237" i="10"/>
  <c r="H237" i="10"/>
  <c r="G237" i="10"/>
  <c r="F237" i="10"/>
  <c r="E237" i="10"/>
  <c r="D237" i="10"/>
  <c r="I236" i="10"/>
  <c r="H236" i="10"/>
  <c r="G236" i="10"/>
  <c r="F236" i="10"/>
  <c r="E236" i="10"/>
  <c r="D236" i="10"/>
  <c r="I235" i="10"/>
  <c r="H235" i="10"/>
  <c r="G235" i="10"/>
  <c r="F235" i="10"/>
  <c r="E235" i="10"/>
  <c r="D235" i="10"/>
  <c r="I234" i="10"/>
  <c r="H234" i="10"/>
  <c r="G234" i="10"/>
  <c r="F234" i="10"/>
  <c r="E234" i="10"/>
  <c r="D234" i="10"/>
  <c r="I233" i="10"/>
  <c r="H233" i="10"/>
  <c r="G233" i="10"/>
  <c r="F233" i="10"/>
  <c r="E233" i="10"/>
  <c r="D233" i="10"/>
  <c r="I232" i="10"/>
  <c r="H232" i="10"/>
  <c r="G232" i="10"/>
  <c r="F232" i="10"/>
  <c r="E232" i="10"/>
  <c r="D232" i="10"/>
  <c r="I231" i="10"/>
  <c r="H231" i="10"/>
  <c r="G231" i="10"/>
  <c r="F231" i="10"/>
  <c r="E231" i="10"/>
  <c r="D231" i="10"/>
  <c r="I230" i="10"/>
  <c r="H230" i="10"/>
  <c r="G230" i="10"/>
  <c r="F230" i="10"/>
  <c r="E230" i="10"/>
  <c r="D230" i="10"/>
  <c r="I229" i="10"/>
  <c r="H229" i="10"/>
  <c r="G229" i="10"/>
  <c r="F229" i="10"/>
  <c r="E229" i="10"/>
  <c r="D229" i="10"/>
  <c r="I228" i="10"/>
  <c r="H228" i="10"/>
  <c r="G228" i="10"/>
  <c r="F228" i="10"/>
  <c r="E228" i="10"/>
  <c r="D228" i="10"/>
  <c r="I227" i="10"/>
  <c r="H227" i="10"/>
  <c r="G227" i="10"/>
  <c r="F227" i="10"/>
  <c r="E227" i="10"/>
  <c r="D227" i="10"/>
  <c r="I226" i="10"/>
  <c r="H226" i="10"/>
  <c r="G226" i="10"/>
  <c r="F226" i="10"/>
  <c r="E226" i="10"/>
  <c r="D226" i="10"/>
  <c r="I225" i="10"/>
  <c r="H225" i="10"/>
  <c r="G225" i="10"/>
  <c r="F225" i="10"/>
  <c r="E225" i="10"/>
  <c r="D225" i="10"/>
  <c r="I224" i="10"/>
  <c r="H224" i="10"/>
  <c r="G224" i="10"/>
  <c r="F224" i="10"/>
  <c r="E224" i="10"/>
  <c r="D224" i="10"/>
  <c r="I223" i="10"/>
  <c r="H223" i="10"/>
  <c r="G223" i="10"/>
  <c r="F223" i="10"/>
  <c r="E223" i="10"/>
  <c r="D223" i="10"/>
  <c r="I222" i="10"/>
  <c r="H222" i="10"/>
  <c r="G222" i="10"/>
  <c r="F222" i="10"/>
  <c r="E222" i="10"/>
  <c r="D222" i="10"/>
  <c r="I221" i="10"/>
  <c r="H221" i="10"/>
  <c r="G221" i="10"/>
  <c r="F221" i="10"/>
  <c r="E221" i="10"/>
  <c r="D221" i="10"/>
  <c r="I220" i="10"/>
  <c r="H220" i="10"/>
  <c r="G220" i="10"/>
  <c r="F220" i="10"/>
  <c r="E220" i="10"/>
  <c r="D220" i="10"/>
  <c r="I219" i="10"/>
  <c r="H219" i="10"/>
  <c r="G219" i="10"/>
  <c r="F219" i="10"/>
  <c r="E219" i="10"/>
  <c r="D219" i="10"/>
  <c r="I218" i="10"/>
  <c r="H218" i="10"/>
  <c r="G218" i="10"/>
  <c r="F218" i="10"/>
  <c r="E218" i="10"/>
  <c r="D218" i="10"/>
  <c r="I217" i="10"/>
  <c r="H217" i="10"/>
  <c r="G217" i="10"/>
  <c r="F217" i="10"/>
  <c r="E217" i="10"/>
  <c r="D217" i="10"/>
  <c r="I216" i="10"/>
  <c r="H216" i="10"/>
  <c r="G216" i="10"/>
  <c r="F216" i="10"/>
  <c r="E216" i="10"/>
  <c r="D216" i="10"/>
  <c r="I215" i="10"/>
  <c r="H215" i="10"/>
  <c r="G215" i="10"/>
  <c r="F215" i="10"/>
  <c r="E215" i="10"/>
  <c r="D215" i="10"/>
  <c r="I214" i="10"/>
  <c r="H214" i="10"/>
  <c r="G214" i="10"/>
  <c r="F214" i="10"/>
  <c r="E214" i="10"/>
  <c r="D214" i="10"/>
  <c r="I213" i="10"/>
  <c r="H213" i="10"/>
  <c r="G213" i="10"/>
  <c r="F213" i="10"/>
  <c r="E213" i="10"/>
  <c r="D213" i="10"/>
  <c r="I212" i="10"/>
  <c r="H212" i="10"/>
  <c r="G212" i="10"/>
  <c r="F212" i="10"/>
  <c r="E212" i="10"/>
  <c r="D212" i="10"/>
  <c r="I211" i="10"/>
  <c r="H211" i="10"/>
  <c r="G211" i="10"/>
  <c r="F211" i="10"/>
  <c r="E211" i="10"/>
  <c r="D211" i="10"/>
  <c r="I210" i="10"/>
  <c r="H210" i="10"/>
  <c r="G210" i="10"/>
  <c r="F210" i="10"/>
  <c r="E210" i="10"/>
  <c r="D210" i="10"/>
  <c r="I209" i="10"/>
  <c r="H209" i="10"/>
  <c r="G209" i="10"/>
  <c r="F209" i="10"/>
  <c r="E209" i="10"/>
  <c r="D209" i="10"/>
  <c r="I208" i="10"/>
  <c r="H208" i="10"/>
  <c r="G208" i="10"/>
  <c r="F208" i="10"/>
  <c r="E208" i="10"/>
  <c r="D208" i="10"/>
  <c r="I207" i="10"/>
  <c r="H207" i="10"/>
  <c r="G207" i="10"/>
  <c r="F207" i="10"/>
  <c r="E207" i="10"/>
  <c r="D207" i="10"/>
  <c r="I206" i="10"/>
  <c r="H206" i="10"/>
  <c r="G206" i="10"/>
  <c r="F206" i="10"/>
  <c r="E206" i="10"/>
  <c r="D206" i="10"/>
  <c r="I205" i="10"/>
  <c r="H205" i="10"/>
  <c r="G205" i="10"/>
  <c r="F205" i="10"/>
  <c r="E205" i="10"/>
  <c r="D205" i="10"/>
  <c r="I204" i="10"/>
  <c r="H204" i="10"/>
  <c r="G204" i="10"/>
  <c r="F204" i="10"/>
  <c r="E204" i="10"/>
  <c r="D204" i="10"/>
  <c r="I203" i="10"/>
  <c r="H203" i="10"/>
  <c r="G203" i="10"/>
  <c r="F203" i="10"/>
  <c r="E203" i="10"/>
  <c r="D203" i="10"/>
  <c r="I202" i="10"/>
  <c r="H202" i="10"/>
  <c r="G202" i="10"/>
  <c r="F202" i="10"/>
  <c r="E202" i="10"/>
  <c r="D202" i="10"/>
  <c r="I201" i="10"/>
  <c r="H201" i="10"/>
  <c r="G201" i="10"/>
  <c r="F201" i="10"/>
  <c r="E201" i="10"/>
  <c r="D201" i="10"/>
  <c r="I200" i="10"/>
  <c r="H200" i="10"/>
  <c r="G200" i="10"/>
  <c r="F200" i="10"/>
  <c r="E200" i="10"/>
  <c r="D200" i="10"/>
  <c r="I199" i="10"/>
  <c r="H199" i="10"/>
  <c r="G199" i="10"/>
  <c r="F199" i="10"/>
  <c r="E199" i="10"/>
  <c r="D199" i="10"/>
  <c r="I198" i="10"/>
  <c r="H198" i="10"/>
  <c r="G198" i="10"/>
  <c r="F198" i="10"/>
  <c r="E198" i="10"/>
  <c r="D198" i="10"/>
  <c r="I197" i="10"/>
  <c r="H197" i="10"/>
  <c r="G197" i="10"/>
  <c r="F197" i="10"/>
  <c r="E197" i="10"/>
  <c r="D197" i="10"/>
  <c r="I196" i="10"/>
  <c r="H196" i="10"/>
  <c r="G196" i="10"/>
  <c r="F196" i="10"/>
  <c r="E196" i="10"/>
  <c r="D196" i="10"/>
  <c r="I195" i="10"/>
  <c r="H195" i="10"/>
  <c r="G195" i="10"/>
  <c r="F195" i="10"/>
  <c r="E195" i="10"/>
  <c r="D195" i="10"/>
  <c r="I194" i="10"/>
  <c r="H194" i="10"/>
  <c r="G194" i="10"/>
  <c r="F194" i="10"/>
  <c r="E194" i="10"/>
  <c r="D194" i="10"/>
  <c r="I193" i="10"/>
  <c r="H193" i="10"/>
  <c r="G193" i="10"/>
  <c r="F193" i="10"/>
  <c r="E193" i="10"/>
  <c r="D193" i="10"/>
  <c r="I192" i="10"/>
  <c r="H192" i="10"/>
  <c r="G192" i="10"/>
  <c r="F192" i="10"/>
  <c r="E192" i="10"/>
  <c r="D192" i="10"/>
  <c r="I191" i="10"/>
  <c r="H191" i="10"/>
  <c r="G191" i="10"/>
  <c r="F191" i="10"/>
  <c r="E191" i="10"/>
  <c r="D191" i="10"/>
  <c r="I190" i="10"/>
  <c r="H190" i="10"/>
  <c r="G190" i="10"/>
  <c r="F190" i="10"/>
  <c r="E190" i="10"/>
  <c r="D190" i="10"/>
  <c r="I189" i="10"/>
  <c r="H189" i="10"/>
  <c r="G189" i="10"/>
  <c r="F189" i="10"/>
  <c r="E189" i="10"/>
  <c r="D189" i="10"/>
  <c r="I188" i="10"/>
  <c r="H188" i="10"/>
  <c r="G188" i="10"/>
  <c r="F188" i="10"/>
  <c r="E188" i="10"/>
  <c r="D188" i="10"/>
  <c r="I187" i="10"/>
  <c r="H187" i="10"/>
  <c r="G187" i="10"/>
  <c r="F187" i="10"/>
  <c r="E187" i="10"/>
  <c r="D187" i="10"/>
  <c r="I186" i="10"/>
  <c r="H186" i="10"/>
  <c r="G186" i="10"/>
  <c r="F186" i="10"/>
  <c r="E186" i="10"/>
  <c r="D186" i="10"/>
  <c r="I185" i="10"/>
  <c r="H185" i="10"/>
  <c r="G185" i="10"/>
  <c r="F185" i="10"/>
  <c r="E185" i="10"/>
  <c r="D185" i="10"/>
  <c r="I184" i="10"/>
  <c r="H184" i="10"/>
  <c r="G184" i="10"/>
  <c r="F184" i="10"/>
  <c r="E184" i="10"/>
  <c r="D184" i="10"/>
  <c r="I183" i="10"/>
  <c r="H183" i="10"/>
  <c r="G183" i="10"/>
  <c r="F183" i="10"/>
  <c r="E183" i="10"/>
  <c r="D183" i="10"/>
  <c r="I182" i="10"/>
  <c r="H182" i="10"/>
  <c r="G182" i="10"/>
  <c r="F182" i="10"/>
  <c r="E182" i="10"/>
  <c r="D182" i="10"/>
  <c r="I181" i="10"/>
  <c r="H181" i="10"/>
  <c r="G181" i="10"/>
  <c r="F181" i="10"/>
  <c r="E181" i="10"/>
  <c r="D181" i="10"/>
  <c r="I180" i="10"/>
  <c r="H180" i="10"/>
  <c r="G180" i="10"/>
  <c r="F180" i="10"/>
  <c r="E180" i="10"/>
  <c r="D180" i="10"/>
  <c r="I179" i="10"/>
  <c r="H179" i="10"/>
  <c r="G179" i="10"/>
  <c r="F179" i="10"/>
  <c r="E179" i="10"/>
  <c r="D179" i="10"/>
  <c r="I178" i="10"/>
  <c r="H178" i="10"/>
  <c r="G178" i="10"/>
  <c r="F178" i="10"/>
  <c r="E178" i="10"/>
  <c r="D178" i="10"/>
  <c r="I177" i="10"/>
  <c r="H177" i="10"/>
  <c r="G177" i="10"/>
  <c r="F177" i="10"/>
  <c r="E177" i="10"/>
  <c r="D177" i="10"/>
  <c r="I176" i="10"/>
  <c r="H176" i="10"/>
  <c r="G176" i="10"/>
  <c r="F176" i="10"/>
  <c r="E176" i="10"/>
  <c r="D176" i="10"/>
  <c r="I175" i="10"/>
  <c r="H175" i="10"/>
  <c r="G175" i="10"/>
  <c r="F175" i="10"/>
  <c r="E175" i="10"/>
  <c r="D175" i="10"/>
  <c r="I174" i="10"/>
  <c r="H174" i="10"/>
  <c r="G174" i="10"/>
  <c r="F174" i="10"/>
  <c r="E174" i="10"/>
  <c r="D174" i="10"/>
  <c r="I173" i="10"/>
  <c r="H173" i="10"/>
  <c r="G173" i="10"/>
  <c r="F173" i="10"/>
  <c r="E173" i="10"/>
  <c r="D173" i="10"/>
  <c r="I172" i="10"/>
  <c r="H172" i="10"/>
  <c r="G172" i="10"/>
  <c r="F172" i="10"/>
  <c r="E172" i="10"/>
  <c r="D172" i="10"/>
  <c r="I171" i="10"/>
  <c r="H171" i="10"/>
  <c r="G171" i="10"/>
  <c r="F171" i="10"/>
  <c r="E171" i="10"/>
  <c r="D171" i="10"/>
  <c r="I170" i="10"/>
  <c r="H170" i="10"/>
  <c r="G170" i="10"/>
  <c r="F170" i="10"/>
  <c r="E170" i="10"/>
  <c r="D170" i="10"/>
  <c r="I169" i="10"/>
  <c r="H169" i="10"/>
  <c r="G169" i="10"/>
  <c r="F169" i="10"/>
  <c r="E169" i="10"/>
  <c r="D169" i="10"/>
  <c r="I168" i="10"/>
  <c r="H168" i="10"/>
  <c r="G168" i="10"/>
  <c r="F168" i="10"/>
  <c r="E168" i="10"/>
  <c r="D168" i="10"/>
  <c r="I167" i="10"/>
  <c r="H167" i="10"/>
  <c r="G167" i="10"/>
  <c r="F167" i="10"/>
  <c r="E167" i="10"/>
  <c r="D167" i="10"/>
  <c r="I166" i="10"/>
  <c r="H166" i="10"/>
  <c r="G166" i="10"/>
  <c r="F166" i="10"/>
  <c r="E166" i="10"/>
  <c r="D166" i="10"/>
  <c r="I165" i="10"/>
  <c r="H165" i="10"/>
  <c r="G165" i="10"/>
  <c r="F165" i="10"/>
  <c r="E165" i="10"/>
  <c r="D165" i="10"/>
  <c r="I164" i="10"/>
  <c r="H164" i="10"/>
  <c r="G164" i="10"/>
  <c r="F164" i="10"/>
  <c r="E164" i="10"/>
  <c r="D164" i="10"/>
  <c r="I163" i="10"/>
  <c r="H163" i="10"/>
  <c r="G163" i="10"/>
  <c r="F163" i="10"/>
  <c r="E163" i="10"/>
  <c r="D163" i="10"/>
  <c r="I162" i="10"/>
  <c r="H162" i="10"/>
  <c r="G162" i="10"/>
  <c r="F162" i="10"/>
  <c r="E162" i="10"/>
  <c r="D162" i="10"/>
  <c r="I161" i="10"/>
  <c r="H161" i="10"/>
  <c r="G161" i="10"/>
  <c r="F161" i="10"/>
  <c r="E161" i="10"/>
  <c r="D161" i="10"/>
  <c r="I160" i="10"/>
  <c r="H160" i="10"/>
  <c r="G160" i="10"/>
  <c r="F160" i="10"/>
  <c r="E160" i="10"/>
  <c r="D160" i="10"/>
  <c r="I159" i="10"/>
  <c r="H159" i="10"/>
  <c r="G159" i="10"/>
  <c r="F159" i="10"/>
  <c r="E159" i="10"/>
  <c r="D159" i="10"/>
  <c r="I158" i="10"/>
  <c r="H158" i="10"/>
  <c r="G158" i="10"/>
  <c r="F158" i="10"/>
  <c r="E158" i="10"/>
  <c r="D158" i="10"/>
  <c r="I157" i="10"/>
  <c r="H157" i="10"/>
  <c r="G157" i="10"/>
  <c r="F157" i="10"/>
  <c r="E157" i="10"/>
  <c r="D157" i="10"/>
  <c r="I156" i="10"/>
  <c r="H156" i="10"/>
  <c r="G156" i="10"/>
  <c r="F156" i="10"/>
  <c r="E156" i="10"/>
  <c r="D156" i="10"/>
  <c r="I155" i="10"/>
  <c r="H155" i="10"/>
  <c r="G155" i="10"/>
  <c r="F155" i="10"/>
  <c r="E155" i="10"/>
  <c r="D155" i="10"/>
  <c r="I154" i="10"/>
  <c r="H154" i="10"/>
  <c r="G154" i="10"/>
  <c r="F154" i="10"/>
  <c r="E154" i="10"/>
  <c r="D154" i="10"/>
  <c r="I153" i="10"/>
  <c r="H153" i="10"/>
  <c r="G153" i="10"/>
  <c r="F153" i="10"/>
  <c r="E153" i="10"/>
  <c r="D153" i="10"/>
  <c r="I152" i="10"/>
  <c r="H152" i="10"/>
  <c r="G152" i="10"/>
  <c r="F152" i="10"/>
  <c r="E152" i="10"/>
  <c r="D152" i="10"/>
  <c r="I151" i="10"/>
  <c r="H151" i="10"/>
  <c r="G151" i="10"/>
  <c r="F151" i="10"/>
  <c r="E151" i="10"/>
  <c r="D151" i="10"/>
  <c r="I150" i="10"/>
  <c r="H150" i="10"/>
  <c r="G150" i="10"/>
  <c r="F150" i="10"/>
  <c r="E150" i="10"/>
  <c r="D150" i="10"/>
  <c r="I149" i="10"/>
  <c r="H149" i="10"/>
  <c r="G149" i="10"/>
  <c r="F149" i="10"/>
  <c r="E149" i="10"/>
  <c r="D149" i="10"/>
  <c r="I148" i="10"/>
  <c r="H148" i="10"/>
  <c r="G148" i="10"/>
  <c r="F148" i="10"/>
  <c r="E148" i="10"/>
  <c r="D148" i="10"/>
  <c r="I147" i="10"/>
  <c r="H147" i="10"/>
  <c r="G147" i="10"/>
  <c r="F147" i="10"/>
  <c r="E147" i="10"/>
  <c r="D147" i="10"/>
  <c r="I146" i="10"/>
  <c r="H146" i="10"/>
  <c r="G146" i="10"/>
  <c r="F146" i="10"/>
  <c r="E146" i="10"/>
  <c r="D146" i="10"/>
  <c r="I145" i="10"/>
  <c r="H145" i="10"/>
  <c r="G145" i="10"/>
  <c r="F145" i="10"/>
  <c r="E145" i="10"/>
  <c r="D145" i="10"/>
  <c r="I144" i="10"/>
  <c r="H144" i="10"/>
  <c r="G144" i="10"/>
  <c r="F144" i="10"/>
  <c r="E144" i="10"/>
  <c r="D144" i="10"/>
  <c r="I143" i="10"/>
  <c r="H143" i="10"/>
  <c r="G143" i="10"/>
  <c r="F143" i="10"/>
  <c r="E143" i="10"/>
  <c r="D143" i="10"/>
  <c r="I142" i="10"/>
  <c r="H142" i="10"/>
  <c r="G142" i="10"/>
  <c r="F142" i="10"/>
  <c r="E142" i="10"/>
  <c r="D142" i="10"/>
  <c r="I141" i="10"/>
  <c r="H141" i="10"/>
  <c r="G141" i="10"/>
  <c r="F141" i="10"/>
  <c r="E141" i="10"/>
  <c r="D141" i="10"/>
  <c r="I140" i="10"/>
  <c r="H140" i="10"/>
  <c r="G140" i="10"/>
  <c r="F140" i="10"/>
  <c r="E140" i="10"/>
  <c r="D140" i="10"/>
  <c r="I139" i="10"/>
  <c r="H139" i="10"/>
  <c r="G139" i="10"/>
  <c r="F139" i="10"/>
  <c r="E139" i="10"/>
  <c r="D139" i="10"/>
  <c r="I138" i="10"/>
  <c r="H138" i="10"/>
  <c r="G138" i="10"/>
  <c r="F138" i="10"/>
  <c r="E138" i="10"/>
  <c r="D138" i="10"/>
  <c r="I137" i="10"/>
  <c r="H137" i="10"/>
  <c r="G137" i="10"/>
  <c r="F137" i="10"/>
  <c r="E137" i="10"/>
  <c r="D137" i="10"/>
  <c r="I136" i="10"/>
  <c r="H136" i="10"/>
  <c r="G136" i="10"/>
  <c r="F136" i="10"/>
  <c r="E136" i="10"/>
  <c r="D136" i="10"/>
  <c r="I135" i="10"/>
  <c r="H135" i="10"/>
  <c r="G135" i="10"/>
  <c r="F135" i="10"/>
  <c r="E135" i="10"/>
  <c r="D135" i="10"/>
  <c r="I134" i="10"/>
  <c r="H134" i="10"/>
  <c r="G134" i="10"/>
  <c r="F134" i="10"/>
  <c r="E134" i="10"/>
  <c r="D134" i="10"/>
  <c r="I133" i="10"/>
  <c r="H133" i="10"/>
  <c r="G133" i="10"/>
  <c r="F133" i="10"/>
  <c r="E133" i="10"/>
  <c r="D133" i="10"/>
  <c r="I132" i="10"/>
  <c r="H132" i="10"/>
  <c r="G132" i="10"/>
  <c r="F132" i="10"/>
  <c r="E132" i="10"/>
  <c r="D132" i="10"/>
  <c r="I131" i="10"/>
  <c r="H131" i="10"/>
  <c r="G131" i="10"/>
  <c r="F131" i="10"/>
  <c r="E131" i="10"/>
  <c r="D131" i="10"/>
  <c r="I130" i="10"/>
  <c r="H130" i="10"/>
  <c r="G130" i="10"/>
  <c r="F130" i="10"/>
  <c r="E130" i="10"/>
  <c r="D130" i="10"/>
  <c r="I129" i="10"/>
  <c r="H129" i="10"/>
  <c r="G129" i="10"/>
  <c r="F129" i="10"/>
  <c r="E129" i="10"/>
  <c r="D129" i="10"/>
  <c r="I128" i="10"/>
  <c r="H128" i="10"/>
  <c r="G128" i="10"/>
  <c r="F128" i="10"/>
  <c r="E128" i="10"/>
  <c r="D128" i="10"/>
  <c r="I127" i="10"/>
  <c r="H127" i="10"/>
  <c r="G127" i="10"/>
  <c r="F127" i="10"/>
  <c r="E127" i="10"/>
  <c r="D127" i="10"/>
  <c r="I126" i="10"/>
  <c r="H126" i="10"/>
  <c r="G126" i="10"/>
  <c r="F126" i="10"/>
  <c r="E126" i="10"/>
  <c r="D126" i="10"/>
  <c r="I125" i="10"/>
  <c r="H125" i="10"/>
  <c r="G125" i="10"/>
  <c r="F125" i="10"/>
  <c r="E125" i="10"/>
  <c r="D125" i="10"/>
  <c r="I124" i="10"/>
  <c r="H124" i="10"/>
  <c r="G124" i="10"/>
  <c r="F124" i="10"/>
  <c r="E124" i="10"/>
  <c r="D124" i="10"/>
  <c r="I123" i="10"/>
  <c r="H123" i="10"/>
  <c r="G123" i="10"/>
  <c r="F123" i="10"/>
  <c r="E123" i="10"/>
  <c r="D123" i="10"/>
  <c r="I122" i="10"/>
  <c r="H122" i="10"/>
  <c r="G122" i="10"/>
  <c r="F122" i="10"/>
  <c r="E122" i="10"/>
  <c r="D122" i="10"/>
  <c r="I121" i="10"/>
  <c r="H121" i="10"/>
  <c r="G121" i="10"/>
  <c r="F121" i="10"/>
  <c r="E121" i="10"/>
  <c r="D121" i="10"/>
  <c r="I120" i="10"/>
  <c r="H120" i="10"/>
  <c r="G120" i="10"/>
  <c r="F120" i="10"/>
  <c r="E120" i="10"/>
  <c r="D120" i="10"/>
  <c r="I119" i="10"/>
  <c r="H119" i="10"/>
  <c r="G119" i="10"/>
  <c r="F119" i="10"/>
  <c r="E119" i="10"/>
  <c r="D119" i="10"/>
  <c r="I118" i="10"/>
  <c r="H118" i="10"/>
  <c r="G118" i="10"/>
  <c r="F118" i="10"/>
  <c r="E118" i="10"/>
  <c r="D118" i="10"/>
  <c r="I117" i="10"/>
  <c r="H117" i="10"/>
  <c r="G117" i="10"/>
  <c r="F117" i="10"/>
  <c r="E117" i="10"/>
  <c r="D117" i="10"/>
  <c r="I116" i="10"/>
  <c r="H116" i="10"/>
  <c r="G116" i="10"/>
  <c r="F116" i="10"/>
  <c r="E116" i="10"/>
  <c r="D116" i="10"/>
  <c r="I115" i="10"/>
  <c r="H115" i="10"/>
  <c r="G115" i="10"/>
  <c r="F115" i="10"/>
  <c r="E115" i="10"/>
  <c r="D115" i="10"/>
  <c r="I114" i="10"/>
  <c r="H114" i="10"/>
  <c r="G114" i="10"/>
  <c r="F114" i="10"/>
  <c r="E114" i="10"/>
  <c r="D114" i="10"/>
  <c r="I113" i="10"/>
  <c r="H113" i="10"/>
  <c r="G113" i="10"/>
  <c r="F113" i="10"/>
  <c r="E113" i="10"/>
  <c r="D113" i="10"/>
  <c r="I112" i="10"/>
  <c r="H112" i="10"/>
  <c r="G112" i="10"/>
  <c r="F112" i="10"/>
  <c r="E112" i="10"/>
  <c r="D112" i="10"/>
  <c r="I111" i="10"/>
  <c r="H111" i="10"/>
  <c r="G111" i="10"/>
  <c r="F111" i="10"/>
  <c r="E111" i="10"/>
  <c r="D111" i="10"/>
  <c r="I110" i="10"/>
  <c r="H110" i="10"/>
  <c r="G110" i="10"/>
  <c r="F110" i="10"/>
  <c r="E110" i="10"/>
  <c r="D110" i="10"/>
  <c r="I109" i="10"/>
  <c r="H109" i="10"/>
  <c r="G109" i="10"/>
  <c r="F109" i="10"/>
  <c r="E109" i="10"/>
  <c r="D109" i="10"/>
  <c r="I108" i="10"/>
  <c r="H108" i="10"/>
  <c r="G108" i="10"/>
  <c r="F108" i="10"/>
  <c r="E108" i="10"/>
  <c r="D108" i="10"/>
  <c r="I107" i="10"/>
  <c r="H107" i="10"/>
  <c r="G107" i="10"/>
  <c r="F107" i="10"/>
  <c r="E107" i="10"/>
  <c r="D107" i="10"/>
  <c r="I106" i="10"/>
  <c r="H106" i="10"/>
  <c r="G106" i="10"/>
  <c r="F106" i="10"/>
  <c r="E106" i="10"/>
  <c r="D106" i="10"/>
  <c r="I105" i="10"/>
  <c r="H105" i="10"/>
  <c r="G105" i="10"/>
  <c r="F105" i="10"/>
  <c r="E105" i="10"/>
  <c r="D105" i="10"/>
  <c r="I104" i="10"/>
  <c r="H104" i="10"/>
  <c r="G104" i="10"/>
  <c r="F104" i="10"/>
  <c r="E104" i="10"/>
  <c r="D104" i="10"/>
  <c r="I103" i="10"/>
  <c r="H103" i="10"/>
  <c r="G103" i="10"/>
  <c r="F103" i="10"/>
  <c r="E103" i="10"/>
  <c r="D103" i="10"/>
  <c r="I102" i="10"/>
  <c r="H102" i="10"/>
  <c r="G102" i="10"/>
  <c r="F102" i="10"/>
  <c r="E102" i="10"/>
  <c r="D102" i="10"/>
  <c r="I101" i="10"/>
  <c r="H101" i="10"/>
  <c r="G101" i="10"/>
  <c r="F101" i="10"/>
  <c r="E101" i="10"/>
  <c r="D101" i="10"/>
  <c r="I100" i="10"/>
  <c r="H100" i="10"/>
  <c r="G100" i="10"/>
  <c r="F100" i="10"/>
  <c r="E100" i="10"/>
  <c r="D100" i="10"/>
  <c r="I99" i="10"/>
  <c r="H99" i="10"/>
  <c r="G99" i="10"/>
  <c r="F99" i="10"/>
  <c r="E99" i="10"/>
  <c r="D99" i="10"/>
  <c r="I98" i="10"/>
  <c r="H98" i="10"/>
  <c r="G98" i="10"/>
  <c r="F98" i="10"/>
  <c r="E98" i="10"/>
  <c r="D98" i="10"/>
  <c r="I97" i="10"/>
  <c r="H97" i="10"/>
  <c r="G97" i="10"/>
  <c r="F97" i="10"/>
  <c r="E97" i="10"/>
  <c r="D97" i="10"/>
  <c r="I96" i="10"/>
  <c r="H96" i="10"/>
  <c r="G96" i="10"/>
  <c r="F96" i="10"/>
  <c r="E96" i="10"/>
  <c r="D96" i="10"/>
  <c r="I95" i="10"/>
  <c r="H95" i="10"/>
  <c r="G95" i="10"/>
  <c r="F95" i="10"/>
  <c r="E95" i="10"/>
  <c r="D95" i="10"/>
  <c r="I94" i="10"/>
  <c r="H94" i="10"/>
  <c r="G94" i="10"/>
  <c r="F94" i="10"/>
  <c r="E94" i="10"/>
  <c r="D94" i="10"/>
  <c r="I93" i="10"/>
  <c r="H93" i="10"/>
  <c r="G93" i="10"/>
  <c r="F93" i="10"/>
  <c r="E93" i="10"/>
  <c r="D93" i="10"/>
  <c r="I92" i="10"/>
  <c r="H92" i="10"/>
  <c r="G92" i="10"/>
  <c r="F92" i="10"/>
  <c r="E92" i="10"/>
  <c r="D92" i="10"/>
  <c r="I91" i="10"/>
  <c r="H91" i="10"/>
  <c r="G91" i="10"/>
  <c r="F91" i="10"/>
  <c r="E91" i="10"/>
  <c r="D91" i="10"/>
  <c r="I90" i="10"/>
  <c r="H90" i="10"/>
  <c r="G90" i="10"/>
  <c r="F90" i="10"/>
  <c r="E90" i="10"/>
  <c r="D90" i="10"/>
  <c r="I89" i="10"/>
  <c r="H89" i="10"/>
  <c r="G89" i="10"/>
  <c r="F89" i="10"/>
  <c r="E89" i="10"/>
  <c r="D89" i="10"/>
  <c r="I88" i="10"/>
  <c r="H88" i="10"/>
  <c r="G88" i="10"/>
  <c r="F88" i="10"/>
  <c r="E88" i="10"/>
  <c r="D88" i="10"/>
  <c r="I87" i="10"/>
  <c r="H87" i="10"/>
  <c r="G87" i="10"/>
  <c r="F87" i="10"/>
  <c r="E87" i="10"/>
  <c r="D87" i="10"/>
  <c r="I86" i="10"/>
  <c r="H86" i="10"/>
  <c r="G86" i="10"/>
  <c r="F86" i="10"/>
  <c r="E86" i="10"/>
  <c r="D86" i="10"/>
  <c r="I85" i="10"/>
  <c r="H85" i="10"/>
  <c r="G85" i="10"/>
  <c r="F85" i="10"/>
  <c r="E85" i="10"/>
  <c r="D85" i="10"/>
  <c r="I84" i="10"/>
  <c r="H84" i="10"/>
  <c r="G84" i="10"/>
  <c r="F84" i="10"/>
  <c r="E84" i="10"/>
  <c r="D84" i="10"/>
  <c r="I83" i="10"/>
  <c r="H83" i="10"/>
  <c r="G83" i="10"/>
  <c r="F83" i="10"/>
  <c r="E83" i="10"/>
  <c r="D83" i="10"/>
  <c r="I82" i="10"/>
  <c r="H82" i="10"/>
  <c r="G82" i="10"/>
  <c r="F82" i="10"/>
  <c r="E82" i="10"/>
  <c r="D82" i="10"/>
  <c r="I81" i="10"/>
  <c r="H81" i="10"/>
  <c r="G81" i="10"/>
  <c r="F81" i="10"/>
  <c r="E81" i="10"/>
  <c r="D81" i="10"/>
  <c r="I80" i="10"/>
  <c r="H80" i="10"/>
  <c r="G80" i="10"/>
  <c r="F80" i="10"/>
  <c r="E80" i="10"/>
  <c r="D80" i="10"/>
  <c r="I79" i="10"/>
  <c r="H79" i="10"/>
  <c r="G79" i="10"/>
  <c r="F79" i="10"/>
  <c r="E79" i="10"/>
  <c r="D79" i="10"/>
  <c r="I78" i="10"/>
  <c r="H78" i="10"/>
  <c r="G78" i="10"/>
  <c r="F78" i="10"/>
  <c r="E78" i="10"/>
  <c r="D78" i="10"/>
  <c r="I77" i="10"/>
  <c r="H77" i="10"/>
  <c r="G77" i="10"/>
  <c r="F77" i="10"/>
  <c r="E77" i="10"/>
  <c r="D77" i="10"/>
  <c r="I76" i="10"/>
  <c r="H76" i="10"/>
  <c r="G76" i="10"/>
  <c r="F76" i="10"/>
  <c r="E76" i="10"/>
  <c r="D76" i="10"/>
  <c r="I75" i="10"/>
  <c r="H75" i="10"/>
  <c r="G75" i="10"/>
  <c r="F75" i="10"/>
  <c r="E75" i="10"/>
  <c r="D75" i="10"/>
  <c r="I74" i="10"/>
  <c r="H74" i="10"/>
  <c r="G74" i="10"/>
  <c r="F74" i="10"/>
  <c r="E74" i="10"/>
  <c r="D74" i="10"/>
  <c r="I73" i="10"/>
  <c r="H73" i="10"/>
  <c r="G73" i="10"/>
  <c r="F73" i="10"/>
  <c r="E73" i="10"/>
  <c r="D73" i="10"/>
  <c r="I72" i="10"/>
  <c r="H72" i="10"/>
  <c r="G72" i="10"/>
  <c r="F72" i="10"/>
  <c r="E72" i="10"/>
  <c r="D72" i="10"/>
  <c r="I71" i="10"/>
  <c r="H71" i="10"/>
  <c r="G71" i="10"/>
  <c r="F71" i="10"/>
  <c r="E71" i="10"/>
  <c r="D71" i="10"/>
  <c r="I70" i="10"/>
  <c r="H70" i="10"/>
  <c r="G70" i="10"/>
  <c r="F70" i="10"/>
  <c r="E70" i="10"/>
  <c r="D70" i="10"/>
  <c r="I69" i="10"/>
  <c r="H69" i="10"/>
  <c r="G69" i="10"/>
  <c r="F69" i="10"/>
  <c r="E69" i="10"/>
  <c r="D69" i="10"/>
  <c r="I68" i="10"/>
  <c r="H68" i="10"/>
  <c r="G68" i="10"/>
  <c r="F68" i="10"/>
  <c r="E68" i="10"/>
  <c r="D68" i="10"/>
  <c r="I67" i="10"/>
  <c r="H67" i="10"/>
  <c r="G67" i="10"/>
  <c r="F67" i="10"/>
  <c r="E67" i="10"/>
  <c r="D67" i="10"/>
  <c r="I66" i="10"/>
  <c r="H66" i="10"/>
  <c r="G66" i="10"/>
  <c r="F66" i="10"/>
  <c r="E66" i="10"/>
  <c r="D66" i="10"/>
  <c r="I65" i="10"/>
  <c r="H65" i="10"/>
  <c r="G65" i="10"/>
  <c r="F65" i="10"/>
  <c r="E65" i="10"/>
  <c r="D65" i="10"/>
  <c r="I64" i="10"/>
  <c r="H64" i="10"/>
  <c r="G64" i="10"/>
  <c r="F64" i="10"/>
  <c r="E64" i="10"/>
  <c r="D64" i="10"/>
  <c r="I63" i="10"/>
  <c r="H63" i="10"/>
  <c r="G63" i="10"/>
  <c r="F63" i="10"/>
  <c r="E63" i="10"/>
  <c r="D63" i="10"/>
  <c r="I62" i="10"/>
  <c r="H62" i="10"/>
  <c r="G62" i="10"/>
  <c r="F62" i="10"/>
  <c r="E62" i="10"/>
  <c r="D62" i="10"/>
  <c r="I61" i="10"/>
  <c r="H61" i="10"/>
  <c r="G61" i="10"/>
  <c r="F61" i="10"/>
  <c r="E61" i="10"/>
  <c r="D61" i="10"/>
  <c r="I60" i="10"/>
  <c r="H60" i="10"/>
  <c r="G60" i="10"/>
  <c r="F60" i="10"/>
  <c r="E60" i="10"/>
  <c r="D60" i="10"/>
  <c r="I59" i="10"/>
  <c r="H59" i="10"/>
  <c r="G59" i="10"/>
  <c r="F59" i="10"/>
  <c r="E59" i="10"/>
  <c r="D59" i="10"/>
  <c r="I58" i="10"/>
  <c r="H58" i="10"/>
  <c r="G58" i="10"/>
  <c r="F58" i="10"/>
  <c r="E58" i="10"/>
  <c r="D58" i="10"/>
  <c r="I57" i="10"/>
  <c r="H57" i="10"/>
  <c r="G57" i="10"/>
  <c r="F57" i="10"/>
  <c r="E57" i="10"/>
  <c r="D57" i="10"/>
  <c r="I56" i="10"/>
  <c r="H56" i="10"/>
  <c r="G56" i="10"/>
  <c r="F56" i="10"/>
  <c r="E56" i="10"/>
  <c r="D56" i="10"/>
  <c r="I55" i="10"/>
  <c r="H55" i="10"/>
  <c r="G55" i="10"/>
  <c r="F55" i="10"/>
  <c r="E55" i="10"/>
  <c r="D55" i="10"/>
  <c r="I54" i="10"/>
  <c r="H54" i="10"/>
  <c r="G54" i="10"/>
  <c r="F54" i="10"/>
  <c r="E54" i="10"/>
  <c r="D54" i="10"/>
  <c r="I53" i="10"/>
  <c r="H53" i="10"/>
  <c r="G53" i="10"/>
  <c r="F53" i="10"/>
  <c r="E53" i="10"/>
  <c r="D53" i="10"/>
  <c r="I52" i="10"/>
  <c r="H52" i="10"/>
  <c r="G52" i="10"/>
  <c r="F52" i="10"/>
  <c r="E52" i="10"/>
  <c r="D52" i="10"/>
  <c r="I51" i="10"/>
  <c r="H51" i="10"/>
  <c r="G51" i="10"/>
  <c r="F51" i="10"/>
  <c r="E51" i="10"/>
  <c r="D51" i="10"/>
  <c r="I50" i="10"/>
  <c r="H50" i="10"/>
  <c r="G50" i="10"/>
  <c r="F50" i="10"/>
  <c r="E50" i="10"/>
  <c r="D50" i="10"/>
  <c r="I49" i="10"/>
  <c r="H49" i="10"/>
  <c r="G49" i="10"/>
  <c r="F49" i="10"/>
  <c r="E49" i="10"/>
  <c r="D49" i="10"/>
  <c r="I48" i="10"/>
  <c r="H48" i="10"/>
  <c r="G48" i="10"/>
  <c r="F48" i="10"/>
  <c r="E48" i="10"/>
  <c r="D48" i="10"/>
  <c r="I47" i="10"/>
  <c r="H47" i="10"/>
  <c r="G47" i="10"/>
  <c r="F47" i="10"/>
  <c r="E47" i="10"/>
  <c r="D47" i="10"/>
  <c r="I46" i="10"/>
  <c r="H46" i="10"/>
  <c r="G46" i="10"/>
  <c r="F46" i="10"/>
  <c r="E46" i="10"/>
  <c r="D46" i="10"/>
  <c r="I45" i="10"/>
  <c r="H45" i="10"/>
  <c r="G45" i="10"/>
  <c r="F45" i="10"/>
  <c r="E45" i="10"/>
  <c r="D45" i="10"/>
  <c r="I44" i="10"/>
  <c r="H44" i="10"/>
  <c r="G44" i="10"/>
  <c r="F44" i="10"/>
  <c r="E44" i="10"/>
  <c r="D44" i="10"/>
  <c r="I43" i="10"/>
  <c r="H43" i="10"/>
  <c r="G43" i="10"/>
  <c r="F43" i="10"/>
  <c r="E43" i="10"/>
  <c r="D43" i="10"/>
  <c r="I42" i="10"/>
  <c r="H42" i="10"/>
  <c r="G42" i="10"/>
  <c r="F42" i="10"/>
  <c r="E42" i="10"/>
  <c r="D42" i="10"/>
  <c r="I41" i="10"/>
  <c r="H41" i="10"/>
  <c r="G41" i="10"/>
  <c r="F41" i="10"/>
  <c r="E41" i="10"/>
  <c r="D41" i="10"/>
  <c r="I40" i="10"/>
  <c r="H40" i="10"/>
  <c r="G40" i="10"/>
  <c r="F40" i="10"/>
  <c r="E40" i="10"/>
  <c r="D40" i="10"/>
  <c r="I39" i="10"/>
  <c r="H39" i="10"/>
  <c r="G39" i="10"/>
  <c r="F39" i="10"/>
  <c r="E39" i="10"/>
  <c r="D39" i="10"/>
  <c r="I38" i="10"/>
  <c r="H38" i="10"/>
  <c r="G38" i="10"/>
  <c r="F38" i="10"/>
  <c r="E38" i="10"/>
  <c r="D38" i="10"/>
  <c r="I37" i="10"/>
  <c r="H37" i="10"/>
  <c r="G37" i="10"/>
  <c r="F37" i="10"/>
  <c r="E37" i="10"/>
  <c r="D37" i="10"/>
  <c r="I36" i="10"/>
  <c r="H36" i="10"/>
  <c r="G36" i="10"/>
  <c r="F36" i="10"/>
  <c r="E36" i="10"/>
  <c r="D36" i="10"/>
  <c r="I35" i="10"/>
  <c r="H35" i="10"/>
  <c r="G35" i="10"/>
  <c r="F35" i="10"/>
  <c r="E35" i="10"/>
  <c r="D35" i="10"/>
  <c r="I34" i="10"/>
  <c r="H34" i="10"/>
  <c r="G34" i="10"/>
  <c r="F34" i="10"/>
  <c r="E34" i="10"/>
  <c r="D34" i="10"/>
  <c r="I33" i="10"/>
  <c r="H33" i="10"/>
  <c r="G33" i="10"/>
  <c r="F33" i="10"/>
  <c r="E33" i="10"/>
  <c r="D33" i="10"/>
  <c r="I32" i="10"/>
  <c r="H32" i="10"/>
  <c r="G32" i="10"/>
  <c r="F32" i="10"/>
  <c r="E32" i="10"/>
  <c r="D32" i="10"/>
  <c r="I31" i="10"/>
  <c r="H31" i="10"/>
  <c r="G31" i="10"/>
  <c r="F31" i="10"/>
  <c r="E31" i="10"/>
  <c r="D31" i="10"/>
  <c r="I30" i="10"/>
  <c r="H30" i="10"/>
  <c r="G30" i="10"/>
  <c r="F30" i="10"/>
  <c r="E30" i="10"/>
  <c r="D30" i="10"/>
  <c r="I29" i="10"/>
  <c r="H29" i="10"/>
  <c r="G29" i="10"/>
  <c r="F29" i="10"/>
  <c r="E29" i="10"/>
  <c r="D29" i="10"/>
  <c r="I28" i="10"/>
  <c r="H28" i="10"/>
  <c r="G28" i="10"/>
  <c r="F28" i="10"/>
  <c r="E28" i="10"/>
  <c r="D28" i="10"/>
  <c r="I27" i="10"/>
  <c r="H27" i="10"/>
  <c r="G27" i="10"/>
  <c r="F27" i="10"/>
  <c r="E27" i="10"/>
  <c r="D27" i="10"/>
  <c r="I26" i="10"/>
  <c r="H26" i="10"/>
  <c r="G26" i="10"/>
  <c r="F26" i="10"/>
  <c r="E26" i="10"/>
  <c r="D26" i="10"/>
  <c r="I25" i="10"/>
  <c r="H25" i="10"/>
  <c r="G25" i="10"/>
  <c r="F25" i="10"/>
  <c r="E25" i="10"/>
  <c r="D25" i="10"/>
  <c r="I24" i="10"/>
  <c r="H24" i="10"/>
  <c r="G24" i="10"/>
  <c r="F24" i="10"/>
  <c r="E24" i="10"/>
  <c r="D24" i="10"/>
  <c r="I23" i="10"/>
  <c r="H23" i="10"/>
  <c r="G23" i="10"/>
  <c r="F23" i="10"/>
  <c r="E23" i="10"/>
  <c r="D23" i="10"/>
  <c r="I22" i="10"/>
  <c r="H22" i="10"/>
  <c r="G22" i="10"/>
  <c r="F22" i="10"/>
  <c r="E22" i="10"/>
  <c r="D22" i="10"/>
  <c r="I21" i="10"/>
  <c r="H21" i="10"/>
  <c r="G21" i="10"/>
  <c r="F21" i="10"/>
  <c r="E21" i="10"/>
  <c r="D21" i="10"/>
  <c r="I20" i="10"/>
  <c r="H20" i="10"/>
  <c r="G20" i="10"/>
  <c r="F20" i="10"/>
  <c r="E20" i="10"/>
  <c r="D20" i="10"/>
  <c r="I19" i="10"/>
  <c r="H19" i="10"/>
  <c r="G19" i="10"/>
  <c r="F19" i="10"/>
  <c r="E19" i="10"/>
  <c r="D19" i="10"/>
  <c r="I18" i="10"/>
  <c r="H18" i="10"/>
  <c r="G18" i="10"/>
  <c r="F18" i="10"/>
  <c r="E18" i="10"/>
  <c r="D18" i="10"/>
  <c r="I17" i="10"/>
  <c r="H17" i="10"/>
  <c r="G17" i="10"/>
  <c r="F17" i="10"/>
  <c r="E17" i="10"/>
  <c r="D17" i="10"/>
  <c r="I16" i="10"/>
  <c r="H16" i="10"/>
  <c r="G16" i="10"/>
  <c r="F16" i="10"/>
  <c r="E16" i="10"/>
  <c r="D16" i="10"/>
  <c r="I15" i="10"/>
  <c r="H15" i="10"/>
  <c r="G15" i="10"/>
  <c r="F15" i="10"/>
  <c r="E15" i="10"/>
  <c r="D15" i="10"/>
  <c r="I14" i="10"/>
  <c r="H14" i="10"/>
  <c r="G14" i="10"/>
  <c r="F14" i="10"/>
  <c r="E14" i="10"/>
  <c r="D14" i="10"/>
  <c r="I13" i="10"/>
  <c r="H13" i="10"/>
  <c r="G13" i="10"/>
  <c r="F13" i="10"/>
  <c r="E13" i="10"/>
  <c r="D13" i="10"/>
  <c r="I12" i="10"/>
  <c r="H12" i="10"/>
  <c r="G12" i="10"/>
  <c r="F12" i="10"/>
  <c r="E12" i="10"/>
  <c r="D12" i="10"/>
  <c r="I11" i="10"/>
  <c r="H11" i="10"/>
  <c r="G11" i="10"/>
  <c r="F11" i="10"/>
  <c r="E11" i="10"/>
  <c r="D11" i="10"/>
  <c r="I10" i="10"/>
  <c r="H10" i="10"/>
  <c r="G10" i="10"/>
  <c r="F10" i="10"/>
  <c r="E10" i="10"/>
  <c r="D10" i="10"/>
  <c r="I9" i="10"/>
  <c r="H9" i="10"/>
  <c r="G9" i="10"/>
  <c r="F9" i="10"/>
  <c r="E9" i="10"/>
  <c r="D9" i="10"/>
  <c r="I281" i="3"/>
  <c r="H281" i="3"/>
  <c r="G281" i="3"/>
  <c r="F281" i="3"/>
  <c r="E281" i="3"/>
  <c r="D281" i="3"/>
  <c r="I280" i="3"/>
  <c r="H280" i="3"/>
  <c r="G280" i="3"/>
  <c r="F280" i="3"/>
  <c r="E280" i="3"/>
  <c r="D280" i="3"/>
  <c r="I279" i="3"/>
  <c r="H279" i="3"/>
  <c r="G279" i="3"/>
  <c r="F279" i="3"/>
  <c r="E279" i="3"/>
  <c r="D279" i="3"/>
  <c r="I278" i="3"/>
  <c r="H278" i="3"/>
  <c r="G278" i="3"/>
  <c r="F278" i="3"/>
  <c r="E278" i="3"/>
  <c r="D278" i="3"/>
  <c r="I277" i="3"/>
  <c r="H277" i="3"/>
  <c r="G277" i="3"/>
  <c r="F277" i="3"/>
  <c r="E277" i="3"/>
  <c r="D277" i="3"/>
  <c r="I276" i="3"/>
  <c r="H276" i="3"/>
  <c r="G276" i="3"/>
  <c r="F276" i="3"/>
  <c r="E276" i="3"/>
  <c r="D276" i="3"/>
  <c r="I275" i="3"/>
  <c r="H275" i="3"/>
  <c r="G275" i="3"/>
  <c r="F275" i="3"/>
  <c r="E275" i="3"/>
  <c r="D275" i="3"/>
  <c r="I274" i="3"/>
  <c r="H274" i="3"/>
  <c r="G274" i="3"/>
  <c r="F274" i="3"/>
  <c r="E274" i="3"/>
  <c r="D274" i="3"/>
  <c r="I273" i="3"/>
  <c r="H273" i="3"/>
  <c r="G273" i="3"/>
  <c r="F273" i="3"/>
  <c r="E273" i="3"/>
  <c r="D273" i="3"/>
  <c r="I272" i="3"/>
  <c r="H272" i="3"/>
  <c r="G272" i="3"/>
  <c r="F272" i="3"/>
  <c r="E272" i="3"/>
  <c r="D272" i="3"/>
  <c r="I271" i="3"/>
  <c r="H271" i="3"/>
  <c r="G271" i="3"/>
  <c r="F271" i="3"/>
  <c r="E271" i="3"/>
  <c r="D271" i="3"/>
  <c r="I270" i="3"/>
  <c r="H270" i="3"/>
  <c r="G270" i="3"/>
  <c r="F270" i="3"/>
  <c r="E270" i="3"/>
  <c r="D270" i="3"/>
  <c r="I269" i="3"/>
  <c r="H269" i="3"/>
  <c r="G269" i="3"/>
  <c r="F269" i="3"/>
  <c r="E269" i="3"/>
  <c r="D269" i="3"/>
  <c r="I268" i="3"/>
  <c r="H268" i="3"/>
  <c r="G268" i="3"/>
  <c r="F268" i="3"/>
  <c r="E268" i="3"/>
  <c r="D268" i="3"/>
  <c r="I267" i="3"/>
  <c r="H267" i="3"/>
  <c r="G267" i="3"/>
  <c r="F267" i="3"/>
  <c r="E267" i="3"/>
  <c r="D267" i="3"/>
  <c r="I266" i="3"/>
  <c r="H266" i="3"/>
  <c r="G266" i="3"/>
  <c r="F266" i="3"/>
  <c r="E266" i="3"/>
  <c r="D266" i="3"/>
  <c r="I265" i="3"/>
  <c r="H265" i="3"/>
  <c r="G265" i="3"/>
  <c r="F265" i="3"/>
  <c r="E265" i="3"/>
  <c r="D265" i="3"/>
  <c r="I264" i="3"/>
  <c r="H264" i="3"/>
  <c r="G264" i="3"/>
  <c r="F264" i="3"/>
  <c r="E264" i="3"/>
  <c r="D264" i="3"/>
  <c r="I263" i="3"/>
  <c r="H263" i="3"/>
  <c r="G263" i="3"/>
  <c r="F263" i="3"/>
  <c r="E263" i="3"/>
  <c r="D263" i="3"/>
  <c r="I262" i="3"/>
  <c r="H262" i="3"/>
  <c r="G262" i="3"/>
  <c r="F262" i="3"/>
  <c r="E262" i="3"/>
  <c r="D262" i="3"/>
  <c r="I261" i="3"/>
  <c r="H261" i="3"/>
  <c r="G261" i="3"/>
  <c r="F261" i="3"/>
  <c r="E261" i="3"/>
  <c r="D261" i="3"/>
  <c r="I260" i="3"/>
  <c r="H260" i="3"/>
  <c r="G260" i="3"/>
  <c r="F260" i="3"/>
  <c r="E260" i="3"/>
  <c r="D260" i="3"/>
  <c r="I259" i="3"/>
  <c r="H259" i="3"/>
  <c r="G259" i="3"/>
  <c r="F259" i="3"/>
  <c r="E259" i="3"/>
  <c r="D259" i="3"/>
  <c r="I258" i="3"/>
  <c r="H258" i="3"/>
  <c r="G258" i="3"/>
  <c r="F258" i="3"/>
  <c r="E258" i="3"/>
  <c r="D258" i="3"/>
  <c r="I257" i="3"/>
  <c r="H257" i="3"/>
  <c r="G257" i="3"/>
  <c r="F257" i="3"/>
  <c r="E257" i="3"/>
  <c r="D257" i="3"/>
  <c r="I256" i="3"/>
  <c r="H256" i="3"/>
  <c r="G256" i="3"/>
  <c r="F256" i="3"/>
  <c r="E256" i="3"/>
  <c r="D256" i="3"/>
  <c r="I255" i="3"/>
  <c r="H255" i="3"/>
  <c r="G255" i="3"/>
  <c r="F255" i="3"/>
  <c r="E255" i="3"/>
  <c r="D255" i="3"/>
  <c r="I254" i="3"/>
  <c r="H254" i="3"/>
  <c r="G254" i="3"/>
  <c r="F254" i="3"/>
  <c r="E254" i="3"/>
  <c r="D254" i="3"/>
  <c r="I253" i="3"/>
  <c r="H253" i="3"/>
  <c r="G253" i="3"/>
  <c r="F253" i="3"/>
  <c r="E253" i="3"/>
  <c r="D253" i="3"/>
  <c r="I252" i="3"/>
  <c r="H252" i="3"/>
  <c r="G252" i="3"/>
  <c r="F252" i="3"/>
  <c r="E252" i="3"/>
  <c r="D252" i="3"/>
  <c r="I251" i="3"/>
  <c r="H251" i="3"/>
  <c r="G251" i="3"/>
  <c r="F251" i="3"/>
  <c r="E251" i="3"/>
  <c r="D251" i="3"/>
  <c r="I250" i="3"/>
  <c r="H250" i="3"/>
  <c r="G250" i="3"/>
  <c r="F250" i="3"/>
  <c r="E250" i="3"/>
  <c r="D250" i="3"/>
  <c r="I249" i="3"/>
  <c r="H249" i="3"/>
  <c r="G249" i="3"/>
  <c r="F249" i="3"/>
  <c r="E249" i="3"/>
  <c r="D249" i="3"/>
  <c r="I248" i="3"/>
  <c r="H248" i="3"/>
  <c r="G248" i="3"/>
  <c r="F248" i="3"/>
  <c r="E248" i="3"/>
  <c r="D248" i="3"/>
  <c r="I247" i="3"/>
  <c r="H247" i="3"/>
  <c r="G247" i="3"/>
  <c r="F247" i="3"/>
  <c r="E247" i="3"/>
  <c r="D247" i="3"/>
  <c r="I246" i="3"/>
  <c r="H246" i="3"/>
  <c r="G246" i="3"/>
  <c r="F246" i="3"/>
  <c r="E246" i="3"/>
  <c r="D246" i="3"/>
  <c r="I245" i="3"/>
  <c r="H245" i="3"/>
  <c r="G245" i="3"/>
  <c r="F245" i="3"/>
  <c r="E245" i="3"/>
  <c r="D245" i="3"/>
  <c r="I244" i="3"/>
  <c r="H244" i="3"/>
  <c r="G244" i="3"/>
  <c r="F244" i="3"/>
  <c r="E244" i="3"/>
  <c r="D244" i="3"/>
  <c r="I243" i="3"/>
  <c r="H243" i="3"/>
  <c r="G243" i="3"/>
  <c r="F243" i="3"/>
  <c r="E243" i="3"/>
  <c r="D243" i="3"/>
  <c r="I242" i="3"/>
  <c r="H242" i="3"/>
  <c r="G242" i="3"/>
  <c r="F242" i="3"/>
  <c r="E242" i="3"/>
  <c r="D242" i="3"/>
  <c r="I241" i="3"/>
  <c r="H241" i="3"/>
  <c r="G241" i="3"/>
  <c r="F241" i="3"/>
  <c r="E241" i="3"/>
  <c r="D241" i="3"/>
  <c r="I240" i="3"/>
  <c r="H240" i="3"/>
  <c r="G240" i="3"/>
  <c r="F240" i="3"/>
  <c r="E240" i="3"/>
  <c r="D240" i="3"/>
  <c r="I239" i="3"/>
  <c r="H239" i="3"/>
  <c r="G239" i="3"/>
  <c r="F239" i="3"/>
  <c r="E239" i="3"/>
  <c r="D239" i="3"/>
  <c r="I238" i="3"/>
  <c r="H238" i="3"/>
  <c r="G238" i="3"/>
  <c r="F238" i="3"/>
  <c r="E238" i="3"/>
  <c r="D238" i="3"/>
  <c r="I237" i="3"/>
  <c r="H237" i="3"/>
  <c r="G237" i="3"/>
  <c r="F237" i="3"/>
  <c r="E237" i="3"/>
  <c r="D237" i="3"/>
  <c r="I236" i="3"/>
  <c r="H236" i="3"/>
  <c r="G236" i="3"/>
  <c r="F236" i="3"/>
  <c r="E236" i="3"/>
  <c r="D236" i="3"/>
  <c r="I235" i="3"/>
  <c r="H235" i="3"/>
  <c r="G235" i="3"/>
  <c r="F235" i="3"/>
  <c r="E235" i="3"/>
  <c r="D235" i="3"/>
  <c r="I234" i="3"/>
  <c r="H234" i="3"/>
  <c r="G234" i="3"/>
  <c r="F234" i="3"/>
  <c r="E234" i="3"/>
  <c r="D234" i="3"/>
  <c r="I233" i="3"/>
  <c r="H233" i="3"/>
  <c r="G233" i="3"/>
  <c r="F233" i="3"/>
  <c r="E233" i="3"/>
  <c r="D233" i="3"/>
  <c r="I232" i="3"/>
  <c r="H232" i="3"/>
  <c r="G232" i="3"/>
  <c r="F232" i="3"/>
  <c r="E232" i="3"/>
  <c r="D232" i="3"/>
  <c r="I231" i="3"/>
  <c r="H231" i="3"/>
  <c r="G231" i="3"/>
  <c r="F231" i="3"/>
  <c r="E231" i="3"/>
  <c r="D231" i="3"/>
  <c r="I230" i="3"/>
  <c r="H230" i="3"/>
  <c r="G230" i="3"/>
  <c r="F230" i="3"/>
  <c r="E230" i="3"/>
  <c r="D230" i="3"/>
  <c r="I229" i="3"/>
  <c r="H229" i="3"/>
  <c r="G229" i="3"/>
  <c r="F229" i="3"/>
  <c r="E229" i="3"/>
  <c r="D229" i="3"/>
  <c r="I228" i="3"/>
  <c r="H228" i="3"/>
  <c r="G228" i="3"/>
  <c r="F228" i="3"/>
  <c r="E228" i="3"/>
  <c r="D228" i="3"/>
  <c r="I227" i="3"/>
  <c r="H227" i="3"/>
  <c r="G227" i="3"/>
  <c r="F227" i="3"/>
  <c r="E227" i="3"/>
  <c r="D227" i="3"/>
  <c r="I226" i="3"/>
  <c r="H226" i="3"/>
  <c r="G226" i="3"/>
  <c r="F226" i="3"/>
  <c r="E226" i="3"/>
  <c r="D226" i="3"/>
  <c r="I225" i="3"/>
  <c r="H225" i="3"/>
  <c r="G225" i="3"/>
  <c r="F225" i="3"/>
  <c r="E225" i="3"/>
  <c r="D225" i="3"/>
  <c r="I224" i="3"/>
  <c r="H224" i="3"/>
  <c r="G224" i="3"/>
  <c r="F224" i="3"/>
  <c r="E224" i="3"/>
  <c r="D224" i="3"/>
  <c r="I223" i="3"/>
  <c r="H223" i="3"/>
  <c r="G223" i="3"/>
  <c r="F223" i="3"/>
  <c r="E223" i="3"/>
  <c r="D223" i="3"/>
  <c r="I222" i="3"/>
  <c r="H222" i="3"/>
  <c r="G222" i="3"/>
  <c r="F222" i="3"/>
  <c r="E222" i="3"/>
  <c r="D222" i="3"/>
  <c r="I221" i="3"/>
  <c r="H221" i="3"/>
  <c r="G221" i="3"/>
  <c r="F221" i="3"/>
  <c r="E221" i="3"/>
  <c r="D221" i="3"/>
  <c r="I220" i="3"/>
  <c r="H220" i="3"/>
  <c r="G220" i="3"/>
  <c r="F220" i="3"/>
  <c r="E220" i="3"/>
  <c r="D220" i="3"/>
  <c r="I219" i="3"/>
  <c r="H219" i="3"/>
  <c r="G219" i="3"/>
  <c r="F219" i="3"/>
  <c r="E219" i="3"/>
  <c r="D219" i="3"/>
  <c r="I218" i="3"/>
  <c r="H218" i="3"/>
  <c r="G218" i="3"/>
  <c r="F218" i="3"/>
  <c r="E218" i="3"/>
  <c r="D218" i="3"/>
  <c r="I217" i="3"/>
  <c r="H217" i="3"/>
  <c r="G217" i="3"/>
  <c r="F217" i="3"/>
  <c r="E217" i="3"/>
  <c r="D217" i="3"/>
  <c r="I216" i="3"/>
  <c r="H216" i="3"/>
  <c r="G216" i="3"/>
  <c r="F216" i="3"/>
  <c r="E216" i="3"/>
  <c r="D216" i="3"/>
  <c r="I215" i="3"/>
  <c r="H215" i="3"/>
  <c r="G215" i="3"/>
  <c r="F215" i="3"/>
  <c r="E215" i="3"/>
  <c r="D215" i="3"/>
  <c r="I214" i="3"/>
  <c r="H214" i="3"/>
  <c r="G214" i="3"/>
  <c r="F214" i="3"/>
  <c r="E214" i="3"/>
  <c r="D214" i="3"/>
  <c r="I213" i="3"/>
  <c r="H213" i="3"/>
  <c r="G213" i="3"/>
  <c r="F213" i="3"/>
  <c r="E213" i="3"/>
  <c r="D213" i="3"/>
  <c r="I212" i="3"/>
  <c r="H212" i="3"/>
  <c r="G212" i="3"/>
  <c r="F212" i="3"/>
  <c r="E212" i="3"/>
  <c r="D212" i="3"/>
  <c r="I211" i="3"/>
  <c r="H211" i="3"/>
  <c r="G211" i="3"/>
  <c r="F211" i="3"/>
  <c r="E211" i="3"/>
  <c r="D211" i="3"/>
  <c r="I210" i="3"/>
  <c r="H210" i="3"/>
  <c r="G210" i="3"/>
  <c r="F210" i="3"/>
  <c r="E210" i="3"/>
  <c r="D210" i="3"/>
  <c r="I209" i="3"/>
  <c r="H209" i="3"/>
  <c r="G209" i="3"/>
  <c r="F209" i="3"/>
  <c r="E209" i="3"/>
  <c r="D209" i="3"/>
  <c r="I208" i="3"/>
  <c r="H208" i="3"/>
  <c r="G208" i="3"/>
  <c r="F208" i="3"/>
  <c r="E208" i="3"/>
  <c r="D208" i="3"/>
  <c r="I207" i="3"/>
  <c r="H207" i="3"/>
  <c r="G207" i="3"/>
  <c r="F207" i="3"/>
  <c r="E207" i="3"/>
  <c r="D207" i="3"/>
  <c r="I206" i="3"/>
  <c r="H206" i="3"/>
  <c r="G206" i="3"/>
  <c r="F206" i="3"/>
  <c r="E206" i="3"/>
  <c r="D206" i="3"/>
  <c r="I205" i="3"/>
  <c r="H205" i="3"/>
  <c r="G205" i="3"/>
  <c r="F205" i="3"/>
  <c r="E205" i="3"/>
  <c r="D205" i="3"/>
  <c r="I204" i="3"/>
  <c r="H204" i="3"/>
  <c r="G204" i="3"/>
  <c r="F204" i="3"/>
  <c r="E204" i="3"/>
  <c r="D204" i="3"/>
  <c r="I203" i="3"/>
  <c r="H203" i="3"/>
  <c r="G203" i="3"/>
  <c r="F203" i="3"/>
  <c r="E203" i="3"/>
  <c r="D203" i="3"/>
  <c r="I202" i="3"/>
  <c r="H202" i="3"/>
  <c r="G202" i="3"/>
  <c r="F202" i="3"/>
  <c r="E202" i="3"/>
  <c r="D202" i="3"/>
  <c r="I201" i="3"/>
  <c r="H201" i="3"/>
  <c r="G201" i="3"/>
  <c r="F201" i="3"/>
  <c r="E201" i="3"/>
  <c r="D201" i="3"/>
  <c r="I200" i="3"/>
  <c r="H200" i="3"/>
  <c r="G200" i="3"/>
  <c r="F200" i="3"/>
  <c r="E200" i="3"/>
  <c r="D200" i="3"/>
  <c r="I199" i="3"/>
  <c r="H199" i="3"/>
  <c r="G199" i="3"/>
  <c r="F199" i="3"/>
  <c r="E199" i="3"/>
  <c r="D199" i="3"/>
  <c r="I198" i="3"/>
  <c r="H198" i="3"/>
  <c r="G198" i="3"/>
  <c r="F198" i="3"/>
  <c r="E198" i="3"/>
  <c r="D198" i="3"/>
  <c r="I197" i="3"/>
  <c r="H197" i="3"/>
  <c r="G197" i="3"/>
  <c r="F197" i="3"/>
  <c r="E197" i="3"/>
  <c r="D197" i="3"/>
  <c r="I196" i="3"/>
  <c r="H196" i="3"/>
  <c r="G196" i="3"/>
  <c r="F196" i="3"/>
  <c r="E196" i="3"/>
  <c r="D196" i="3"/>
  <c r="I195" i="3"/>
  <c r="H195" i="3"/>
  <c r="G195" i="3"/>
  <c r="F195" i="3"/>
  <c r="E195" i="3"/>
  <c r="D195" i="3"/>
  <c r="I194" i="3"/>
  <c r="H194" i="3"/>
  <c r="G194" i="3"/>
  <c r="F194" i="3"/>
  <c r="E194" i="3"/>
  <c r="D194" i="3"/>
  <c r="I193" i="3"/>
  <c r="H193" i="3"/>
  <c r="G193" i="3"/>
  <c r="F193" i="3"/>
  <c r="E193" i="3"/>
  <c r="D193" i="3"/>
  <c r="I192" i="3"/>
  <c r="H192" i="3"/>
  <c r="G192" i="3"/>
  <c r="F192" i="3"/>
  <c r="E192" i="3"/>
  <c r="D192" i="3"/>
  <c r="I191" i="3"/>
  <c r="H191" i="3"/>
  <c r="G191" i="3"/>
  <c r="F191" i="3"/>
  <c r="E191" i="3"/>
  <c r="D191" i="3"/>
  <c r="I190" i="3"/>
  <c r="H190" i="3"/>
  <c r="G190" i="3"/>
  <c r="F190" i="3"/>
  <c r="E190" i="3"/>
  <c r="D190" i="3"/>
  <c r="I189" i="3"/>
  <c r="H189" i="3"/>
  <c r="G189" i="3"/>
  <c r="F189" i="3"/>
  <c r="E189" i="3"/>
  <c r="D189" i="3"/>
  <c r="I188" i="3"/>
  <c r="H188" i="3"/>
  <c r="G188" i="3"/>
  <c r="F188" i="3"/>
  <c r="E188" i="3"/>
  <c r="D188" i="3"/>
  <c r="I187" i="3"/>
  <c r="H187" i="3"/>
  <c r="G187" i="3"/>
  <c r="F187" i="3"/>
  <c r="E187" i="3"/>
  <c r="D187" i="3"/>
  <c r="I186" i="3"/>
  <c r="H186" i="3"/>
  <c r="G186" i="3"/>
  <c r="F186" i="3"/>
  <c r="E186" i="3"/>
  <c r="D186" i="3"/>
  <c r="I185" i="3"/>
  <c r="H185" i="3"/>
  <c r="G185" i="3"/>
  <c r="F185" i="3"/>
  <c r="E185" i="3"/>
  <c r="D185" i="3"/>
  <c r="I184" i="3"/>
  <c r="H184" i="3"/>
  <c r="G184" i="3"/>
  <c r="F184" i="3"/>
  <c r="E184" i="3"/>
  <c r="D184" i="3"/>
  <c r="I183" i="3"/>
  <c r="H183" i="3"/>
  <c r="G183" i="3"/>
  <c r="F183" i="3"/>
  <c r="E183" i="3"/>
  <c r="D183" i="3"/>
  <c r="I182" i="3"/>
  <c r="H182" i="3"/>
  <c r="G182" i="3"/>
  <c r="F182" i="3"/>
  <c r="E182" i="3"/>
  <c r="D182" i="3"/>
  <c r="I181" i="3"/>
  <c r="H181" i="3"/>
  <c r="G181" i="3"/>
  <c r="F181" i="3"/>
  <c r="E181" i="3"/>
  <c r="D181" i="3"/>
  <c r="I180" i="3"/>
  <c r="H180" i="3"/>
  <c r="G180" i="3"/>
  <c r="F180" i="3"/>
  <c r="E180" i="3"/>
  <c r="D180" i="3"/>
  <c r="I179" i="3"/>
  <c r="H179" i="3"/>
  <c r="G179" i="3"/>
  <c r="F179" i="3"/>
  <c r="E179" i="3"/>
  <c r="D179" i="3"/>
  <c r="I178" i="3"/>
  <c r="H178" i="3"/>
  <c r="G178" i="3"/>
  <c r="F178" i="3"/>
  <c r="E178" i="3"/>
  <c r="D178" i="3"/>
  <c r="I177" i="3"/>
  <c r="H177" i="3"/>
  <c r="G177" i="3"/>
  <c r="F177" i="3"/>
  <c r="E177" i="3"/>
  <c r="D177" i="3"/>
  <c r="I176" i="3"/>
  <c r="H176" i="3"/>
  <c r="G176" i="3"/>
  <c r="F176" i="3"/>
  <c r="E176" i="3"/>
  <c r="D176" i="3"/>
  <c r="I175" i="3"/>
  <c r="H175" i="3"/>
  <c r="G175" i="3"/>
  <c r="F175" i="3"/>
  <c r="E175" i="3"/>
  <c r="D175" i="3"/>
  <c r="I174" i="3"/>
  <c r="H174" i="3"/>
  <c r="G174" i="3"/>
  <c r="F174" i="3"/>
  <c r="E174" i="3"/>
  <c r="D174" i="3"/>
  <c r="I173" i="3"/>
  <c r="H173" i="3"/>
  <c r="G173" i="3"/>
  <c r="F173" i="3"/>
  <c r="E173" i="3"/>
  <c r="D173" i="3"/>
  <c r="I172" i="3"/>
  <c r="H172" i="3"/>
  <c r="G172" i="3"/>
  <c r="F172" i="3"/>
  <c r="E172" i="3"/>
  <c r="D172" i="3"/>
  <c r="I171" i="3"/>
  <c r="H171" i="3"/>
  <c r="G171" i="3"/>
  <c r="F171" i="3"/>
  <c r="E171" i="3"/>
  <c r="D171" i="3"/>
  <c r="I170" i="3"/>
  <c r="H170" i="3"/>
  <c r="G170" i="3"/>
  <c r="F170" i="3"/>
  <c r="E170" i="3"/>
  <c r="D170" i="3"/>
  <c r="I169" i="3"/>
  <c r="H169" i="3"/>
  <c r="G169" i="3"/>
  <c r="F169" i="3"/>
  <c r="E169" i="3"/>
  <c r="D169" i="3"/>
  <c r="I168" i="3"/>
  <c r="H168" i="3"/>
  <c r="G168" i="3"/>
  <c r="F168" i="3"/>
  <c r="E168" i="3"/>
  <c r="D168" i="3"/>
  <c r="I167" i="3"/>
  <c r="H167" i="3"/>
  <c r="G167" i="3"/>
  <c r="F167" i="3"/>
  <c r="E167" i="3"/>
  <c r="D167" i="3"/>
  <c r="I166" i="3"/>
  <c r="H166" i="3"/>
  <c r="G166" i="3"/>
  <c r="F166" i="3"/>
  <c r="E166" i="3"/>
  <c r="D166" i="3"/>
  <c r="I165" i="3"/>
  <c r="H165" i="3"/>
  <c r="G165" i="3"/>
  <c r="F165" i="3"/>
  <c r="E165" i="3"/>
  <c r="D165" i="3"/>
  <c r="I164" i="3"/>
  <c r="H164" i="3"/>
  <c r="G164" i="3"/>
  <c r="F164" i="3"/>
  <c r="E164" i="3"/>
  <c r="D164" i="3"/>
  <c r="I163" i="3"/>
  <c r="H163" i="3"/>
  <c r="G163" i="3"/>
  <c r="F163" i="3"/>
  <c r="E163" i="3"/>
  <c r="D163" i="3"/>
  <c r="I162" i="3"/>
  <c r="H162" i="3"/>
  <c r="G162" i="3"/>
  <c r="F162" i="3"/>
  <c r="E162" i="3"/>
  <c r="D162" i="3"/>
  <c r="I161" i="3"/>
  <c r="H161" i="3"/>
  <c r="G161" i="3"/>
  <c r="F161" i="3"/>
  <c r="E161" i="3"/>
  <c r="D161" i="3"/>
  <c r="I160" i="3"/>
  <c r="H160" i="3"/>
  <c r="G160" i="3"/>
  <c r="F160" i="3"/>
  <c r="E160" i="3"/>
  <c r="D160" i="3"/>
  <c r="I159" i="3"/>
  <c r="H159" i="3"/>
  <c r="G159" i="3"/>
  <c r="F159" i="3"/>
  <c r="E159" i="3"/>
  <c r="D159" i="3"/>
  <c r="I158" i="3"/>
  <c r="H158" i="3"/>
  <c r="G158" i="3"/>
  <c r="F158" i="3"/>
  <c r="E158" i="3"/>
  <c r="D158" i="3"/>
  <c r="I157" i="3"/>
  <c r="H157" i="3"/>
  <c r="G157" i="3"/>
  <c r="F157" i="3"/>
  <c r="E157" i="3"/>
  <c r="D157" i="3"/>
  <c r="I156" i="3"/>
  <c r="H156" i="3"/>
  <c r="G156" i="3"/>
  <c r="F156" i="3"/>
  <c r="E156" i="3"/>
  <c r="D156" i="3"/>
  <c r="I155" i="3"/>
  <c r="H155" i="3"/>
  <c r="G155" i="3"/>
  <c r="F155" i="3"/>
  <c r="E155" i="3"/>
  <c r="D155" i="3"/>
  <c r="I154" i="3"/>
  <c r="H154" i="3"/>
  <c r="G154" i="3"/>
  <c r="F154" i="3"/>
  <c r="E154" i="3"/>
  <c r="D154" i="3"/>
  <c r="I153" i="3"/>
  <c r="H153" i="3"/>
  <c r="G153" i="3"/>
  <c r="F153" i="3"/>
  <c r="E153" i="3"/>
  <c r="D153" i="3"/>
  <c r="I152" i="3"/>
  <c r="H152" i="3"/>
  <c r="G152" i="3"/>
  <c r="F152" i="3"/>
  <c r="E152" i="3"/>
  <c r="D152" i="3"/>
  <c r="I151" i="3"/>
  <c r="H151" i="3"/>
  <c r="G151" i="3"/>
  <c r="F151" i="3"/>
  <c r="E151" i="3"/>
  <c r="D151" i="3"/>
  <c r="I150" i="3"/>
  <c r="H150" i="3"/>
  <c r="G150" i="3"/>
  <c r="F150" i="3"/>
  <c r="E150" i="3"/>
  <c r="D150" i="3"/>
  <c r="I149" i="3"/>
  <c r="H149" i="3"/>
  <c r="G149" i="3"/>
  <c r="F149" i="3"/>
  <c r="E149" i="3"/>
  <c r="D149" i="3"/>
  <c r="I148" i="3"/>
  <c r="H148" i="3"/>
  <c r="G148" i="3"/>
  <c r="F148" i="3"/>
  <c r="E148" i="3"/>
  <c r="D148" i="3"/>
  <c r="I147" i="3"/>
  <c r="H147" i="3"/>
  <c r="G147" i="3"/>
  <c r="F147" i="3"/>
  <c r="E147" i="3"/>
  <c r="D147" i="3"/>
  <c r="I146" i="3"/>
  <c r="H146" i="3"/>
  <c r="G146" i="3"/>
  <c r="F146" i="3"/>
  <c r="E146" i="3"/>
  <c r="D146" i="3"/>
  <c r="I145" i="3"/>
  <c r="H145" i="3"/>
  <c r="G145" i="3"/>
  <c r="F145" i="3"/>
  <c r="E145" i="3"/>
  <c r="D145" i="3"/>
  <c r="I144" i="3"/>
  <c r="H144" i="3"/>
  <c r="G144" i="3"/>
  <c r="F144" i="3"/>
  <c r="E144" i="3"/>
  <c r="D144" i="3"/>
  <c r="I143" i="3"/>
  <c r="H143" i="3"/>
  <c r="G143" i="3"/>
  <c r="F143" i="3"/>
  <c r="E143" i="3"/>
  <c r="D143" i="3"/>
  <c r="I142" i="3"/>
  <c r="H142" i="3"/>
  <c r="G142" i="3"/>
  <c r="F142" i="3"/>
  <c r="E142" i="3"/>
  <c r="D142" i="3"/>
  <c r="I141" i="3"/>
  <c r="H141" i="3"/>
  <c r="G141" i="3"/>
  <c r="F141" i="3"/>
  <c r="E141" i="3"/>
  <c r="D141" i="3"/>
  <c r="I140" i="3"/>
  <c r="H140" i="3"/>
  <c r="G140" i="3"/>
  <c r="F140" i="3"/>
  <c r="E140" i="3"/>
  <c r="D140" i="3"/>
  <c r="I139" i="3"/>
  <c r="H139" i="3"/>
  <c r="G139" i="3"/>
  <c r="F139" i="3"/>
  <c r="E139" i="3"/>
  <c r="D139" i="3"/>
  <c r="I138" i="3"/>
  <c r="H138" i="3"/>
  <c r="G138" i="3"/>
  <c r="F138" i="3"/>
  <c r="E138" i="3"/>
  <c r="D138" i="3"/>
  <c r="I137" i="3"/>
  <c r="H137" i="3"/>
  <c r="G137" i="3"/>
  <c r="F137" i="3"/>
  <c r="E137" i="3"/>
  <c r="D137" i="3"/>
  <c r="I136" i="3"/>
  <c r="H136" i="3"/>
  <c r="G136" i="3"/>
  <c r="F136" i="3"/>
  <c r="E136" i="3"/>
  <c r="D136" i="3"/>
  <c r="I135" i="3"/>
  <c r="H135" i="3"/>
  <c r="G135" i="3"/>
  <c r="F135" i="3"/>
  <c r="E135" i="3"/>
  <c r="D135" i="3"/>
  <c r="I134" i="3"/>
  <c r="H134" i="3"/>
  <c r="G134" i="3"/>
  <c r="F134" i="3"/>
  <c r="E134" i="3"/>
  <c r="D134" i="3"/>
  <c r="I133" i="3"/>
  <c r="H133" i="3"/>
  <c r="G133" i="3"/>
  <c r="F133" i="3"/>
  <c r="E133" i="3"/>
  <c r="D133" i="3"/>
  <c r="I132" i="3"/>
  <c r="H132" i="3"/>
  <c r="G132" i="3"/>
  <c r="F132" i="3"/>
  <c r="E132" i="3"/>
  <c r="D132" i="3"/>
  <c r="I131" i="3"/>
  <c r="H131" i="3"/>
  <c r="G131" i="3"/>
  <c r="F131" i="3"/>
  <c r="E131" i="3"/>
  <c r="D131" i="3"/>
  <c r="I130" i="3"/>
  <c r="H130" i="3"/>
  <c r="G130" i="3"/>
  <c r="F130" i="3"/>
  <c r="E130" i="3"/>
  <c r="D130" i="3"/>
  <c r="I129" i="3"/>
  <c r="H129" i="3"/>
  <c r="G129" i="3"/>
  <c r="F129" i="3"/>
  <c r="E129" i="3"/>
  <c r="D129" i="3"/>
  <c r="I128" i="3"/>
  <c r="H128" i="3"/>
  <c r="G128" i="3"/>
  <c r="F128" i="3"/>
  <c r="E128" i="3"/>
  <c r="D128" i="3"/>
  <c r="I127" i="3"/>
  <c r="H127" i="3"/>
  <c r="G127" i="3"/>
  <c r="F127" i="3"/>
  <c r="E127" i="3"/>
  <c r="D127" i="3"/>
  <c r="I126" i="3"/>
  <c r="H126" i="3"/>
  <c r="G126" i="3"/>
  <c r="F126" i="3"/>
  <c r="E126" i="3"/>
  <c r="D126" i="3"/>
  <c r="I125" i="3"/>
  <c r="H125" i="3"/>
  <c r="G125" i="3"/>
  <c r="F125" i="3"/>
  <c r="E125" i="3"/>
  <c r="D125" i="3"/>
  <c r="I124" i="3"/>
  <c r="H124" i="3"/>
  <c r="G124" i="3"/>
  <c r="F124" i="3"/>
  <c r="E124" i="3"/>
  <c r="D124" i="3"/>
  <c r="I123" i="3"/>
  <c r="H123" i="3"/>
  <c r="G123" i="3"/>
  <c r="F123" i="3"/>
  <c r="E123" i="3"/>
  <c r="D123" i="3"/>
  <c r="I122" i="3"/>
  <c r="H122" i="3"/>
  <c r="G122" i="3"/>
  <c r="F122" i="3"/>
  <c r="E122" i="3"/>
  <c r="D122" i="3"/>
  <c r="I121" i="3"/>
  <c r="H121" i="3"/>
  <c r="G121" i="3"/>
  <c r="F121" i="3"/>
  <c r="E121" i="3"/>
  <c r="D121" i="3"/>
  <c r="I120" i="3"/>
  <c r="H120" i="3"/>
  <c r="G120" i="3"/>
  <c r="F120" i="3"/>
  <c r="E120" i="3"/>
  <c r="D120" i="3"/>
  <c r="I119" i="3"/>
  <c r="H119" i="3"/>
  <c r="G119" i="3"/>
  <c r="F119" i="3"/>
  <c r="E119" i="3"/>
  <c r="D119" i="3"/>
  <c r="I118" i="3"/>
  <c r="H118" i="3"/>
  <c r="G118" i="3"/>
  <c r="F118" i="3"/>
  <c r="E118" i="3"/>
  <c r="D118" i="3"/>
  <c r="I117" i="3"/>
  <c r="H117" i="3"/>
  <c r="G117" i="3"/>
  <c r="F117" i="3"/>
  <c r="E117" i="3"/>
  <c r="D117" i="3"/>
  <c r="I116" i="3"/>
  <c r="H116" i="3"/>
  <c r="G116" i="3"/>
  <c r="F116" i="3"/>
  <c r="E116" i="3"/>
  <c r="D116" i="3"/>
  <c r="I115" i="3"/>
  <c r="H115" i="3"/>
  <c r="G115" i="3"/>
  <c r="F115" i="3"/>
  <c r="E115" i="3"/>
  <c r="D115" i="3"/>
  <c r="I114" i="3"/>
  <c r="H114" i="3"/>
  <c r="G114" i="3"/>
  <c r="F114" i="3"/>
  <c r="E114" i="3"/>
  <c r="D114" i="3"/>
  <c r="I113" i="3"/>
  <c r="H113" i="3"/>
  <c r="G113" i="3"/>
  <c r="F113" i="3"/>
  <c r="E113" i="3"/>
  <c r="D113" i="3"/>
  <c r="I112" i="3"/>
  <c r="H112" i="3"/>
  <c r="G112" i="3"/>
  <c r="F112" i="3"/>
  <c r="E112" i="3"/>
  <c r="D112" i="3"/>
  <c r="I111" i="3"/>
  <c r="H111" i="3"/>
  <c r="G111" i="3"/>
  <c r="F111" i="3"/>
  <c r="E111" i="3"/>
  <c r="D111" i="3"/>
  <c r="I110" i="3"/>
  <c r="H110" i="3"/>
  <c r="G110" i="3"/>
  <c r="F110" i="3"/>
  <c r="E110" i="3"/>
  <c r="D110" i="3"/>
  <c r="I109" i="3"/>
  <c r="H109" i="3"/>
  <c r="G109" i="3"/>
  <c r="F109" i="3"/>
  <c r="E109" i="3"/>
  <c r="D109" i="3"/>
  <c r="I108" i="3"/>
  <c r="H108" i="3"/>
  <c r="G108" i="3"/>
  <c r="F108" i="3"/>
  <c r="E108" i="3"/>
  <c r="D108" i="3"/>
  <c r="I107" i="3"/>
  <c r="H107" i="3"/>
  <c r="G107" i="3"/>
  <c r="F107" i="3"/>
  <c r="E107" i="3"/>
  <c r="D107" i="3"/>
  <c r="I106" i="3"/>
  <c r="H106" i="3"/>
  <c r="G106" i="3"/>
  <c r="F106" i="3"/>
  <c r="E106" i="3"/>
  <c r="D106" i="3"/>
  <c r="I105" i="3"/>
  <c r="H105" i="3"/>
  <c r="G105" i="3"/>
  <c r="F105" i="3"/>
  <c r="E105" i="3"/>
  <c r="D105" i="3"/>
  <c r="I104" i="3"/>
  <c r="H104" i="3"/>
  <c r="G104" i="3"/>
  <c r="F104" i="3"/>
  <c r="E104" i="3"/>
  <c r="D104" i="3"/>
  <c r="I103" i="3"/>
  <c r="H103" i="3"/>
  <c r="G103" i="3"/>
  <c r="F103" i="3"/>
  <c r="E103" i="3"/>
  <c r="D103" i="3"/>
  <c r="I102" i="3"/>
  <c r="H102" i="3"/>
  <c r="G102" i="3"/>
  <c r="F102" i="3"/>
  <c r="E102" i="3"/>
  <c r="D102" i="3"/>
  <c r="I101" i="3"/>
  <c r="H101" i="3"/>
  <c r="G101" i="3"/>
  <c r="F101" i="3"/>
  <c r="E101" i="3"/>
  <c r="D101" i="3"/>
  <c r="I100" i="3"/>
  <c r="H100" i="3"/>
  <c r="G100" i="3"/>
  <c r="F100" i="3"/>
  <c r="E100" i="3"/>
  <c r="D100" i="3"/>
  <c r="I99" i="3"/>
  <c r="H99" i="3"/>
  <c r="G99" i="3"/>
  <c r="F99" i="3"/>
  <c r="E99" i="3"/>
  <c r="D99" i="3"/>
  <c r="I98" i="3"/>
  <c r="H98" i="3"/>
  <c r="G98" i="3"/>
  <c r="F98" i="3"/>
  <c r="E98" i="3"/>
  <c r="D98" i="3"/>
  <c r="I97" i="3"/>
  <c r="H97" i="3"/>
  <c r="G97" i="3"/>
  <c r="F97" i="3"/>
  <c r="E97" i="3"/>
  <c r="D97" i="3"/>
  <c r="I96" i="3"/>
  <c r="H96" i="3"/>
  <c r="G96" i="3"/>
  <c r="F96" i="3"/>
  <c r="E96" i="3"/>
  <c r="D96" i="3"/>
  <c r="I95" i="3"/>
  <c r="H95" i="3"/>
  <c r="G95" i="3"/>
  <c r="F95" i="3"/>
  <c r="E95" i="3"/>
  <c r="D95" i="3"/>
  <c r="I94" i="3"/>
  <c r="H94" i="3"/>
  <c r="G94" i="3"/>
  <c r="F94" i="3"/>
  <c r="E94" i="3"/>
  <c r="D94" i="3"/>
  <c r="I93" i="3"/>
  <c r="H93" i="3"/>
  <c r="G93" i="3"/>
  <c r="F93" i="3"/>
  <c r="E93" i="3"/>
  <c r="D93" i="3"/>
  <c r="I92" i="3"/>
  <c r="H92" i="3"/>
  <c r="G92" i="3"/>
  <c r="F92" i="3"/>
  <c r="E92" i="3"/>
  <c r="D92" i="3"/>
  <c r="I91" i="3"/>
  <c r="H91" i="3"/>
  <c r="G91" i="3"/>
  <c r="F91" i="3"/>
  <c r="E91" i="3"/>
  <c r="D91" i="3"/>
  <c r="I90" i="3"/>
  <c r="H90" i="3"/>
  <c r="G90" i="3"/>
  <c r="F90" i="3"/>
  <c r="E90" i="3"/>
  <c r="D90" i="3"/>
  <c r="I89" i="3"/>
  <c r="H89" i="3"/>
  <c r="G89" i="3"/>
  <c r="F89" i="3"/>
  <c r="E89" i="3"/>
  <c r="D89" i="3"/>
  <c r="I88" i="3"/>
  <c r="H88" i="3"/>
  <c r="G88" i="3"/>
  <c r="F88" i="3"/>
  <c r="E88" i="3"/>
  <c r="D88" i="3"/>
  <c r="I87" i="3"/>
  <c r="H87" i="3"/>
  <c r="G87" i="3"/>
  <c r="F87" i="3"/>
  <c r="E87" i="3"/>
  <c r="D87" i="3"/>
  <c r="I86" i="3"/>
  <c r="H86" i="3"/>
  <c r="G86" i="3"/>
  <c r="F86" i="3"/>
  <c r="E86" i="3"/>
  <c r="D86" i="3"/>
  <c r="I85" i="3"/>
  <c r="H85" i="3"/>
  <c r="G85" i="3"/>
  <c r="F85" i="3"/>
  <c r="E85" i="3"/>
  <c r="D85" i="3"/>
  <c r="I84" i="3"/>
  <c r="H84" i="3"/>
  <c r="G84" i="3"/>
  <c r="F84" i="3"/>
  <c r="E84" i="3"/>
  <c r="D84" i="3"/>
  <c r="I83" i="3"/>
  <c r="H83" i="3"/>
  <c r="G83" i="3"/>
  <c r="F83" i="3"/>
  <c r="E83" i="3"/>
  <c r="D83" i="3"/>
  <c r="I82" i="3"/>
  <c r="H82" i="3"/>
  <c r="G82" i="3"/>
  <c r="F82" i="3"/>
  <c r="E82" i="3"/>
  <c r="D82" i="3"/>
  <c r="I81" i="3"/>
  <c r="H81" i="3"/>
  <c r="G81" i="3"/>
  <c r="F81" i="3"/>
  <c r="E81" i="3"/>
  <c r="D81" i="3"/>
  <c r="I80" i="3"/>
  <c r="H80" i="3"/>
  <c r="G80" i="3"/>
  <c r="F80" i="3"/>
  <c r="E80" i="3"/>
  <c r="D80" i="3"/>
  <c r="I79" i="3"/>
  <c r="H79" i="3"/>
  <c r="G79" i="3"/>
  <c r="F79" i="3"/>
  <c r="E79" i="3"/>
  <c r="D79" i="3"/>
  <c r="I78" i="3"/>
  <c r="H78" i="3"/>
  <c r="G78" i="3"/>
  <c r="F78" i="3"/>
  <c r="E78" i="3"/>
  <c r="D78" i="3"/>
  <c r="I77" i="3"/>
  <c r="H77" i="3"/>
  <c r="G77" i="3"/>
  <c r="F77" i="3"/>
  <c r="E77" i="3"/>
  <c r="D77" i="3"/>
  <c r="I76" i="3"/>
  <c r="H76" i="3"/>
  <c r="G76" i="3"/>
  <c r="F76" i="3"/>
  <c r="E76" i="3"/>
  <c r="D76" i="3"/>
  <c r="I75" i="3"/>
  <c r="H75" i="3"/>
  <c r="G75" i="3"/>
  <c r="F75" i="3"/>
  <c r="E75" i="3"/>
  <c r="D75" i="3"/>
  <c r="I74" i="3"/>
  <c r="H74" i="3"/>
  <c r="G74" i="3"/>
  <c r="F74" i="3"/>
  <c r="E74" i="3"/>
  <c r="D74" i="3"/>
  <c r="I73" i="3"/>
  <c r="H73" i="3"/>
  <c r="G73" i="3"/>
  <c r="F73" i="3"/>
  <c r="E73" i="3"/>
  <c r="D73" i="3"/>
  <c r="I72" i="3"/>
  <c r="H72" i="3"/>
  <c r="G72" i="3"/>
  <c r="F72" i="3"/>
  <c r="E72" i="3"/>
  <c r="D72" i="3"/>
  <c r="I71" i="3"/>
  <c r="H71" i="3"/>
  <c r="G71" i="3"/>
  <c r="F71" i="3"/>
  <c r="E71" i="3"/>
  <c r="D71" i="3"/>
  <c r="I70" i="3"/>
  <c r="H70" i="3"/>
  <c r="G70" i="3"/>
  <c r="F70" i="3"/>
  <c r="E70" i="3"/>
  <c r="D70" i="3"/>
  <c r="I69" i="3"/>
  <c r="H69" i="3"/>
  <c r="G69" i="3"/>
  <c r="F69" i="3"/>
  <c r="E69" i="3"/>
  <c r="D69" i="3"/>
  <c r="I68" i="3"/>
  <c r="H68" i="3"/>
  <c r="G68" i="3"/>
  <c r="F68" i="3"/>
  <c r="E68" i="3"/>
  <c r="D68" i="3"/>
  <c r="I67" i="3"/>
  <c r="H67" i="3"/>
  <c r="G67" i="3"/>
  <c r="F67" i="3"/>
  <c r="E67" i="3"/>
  <c r="D67" i="3"/>
  <c r="I66" i="3"/>
  <c r="H66" i="3"/>
  <c r="G66" i="3"/>
  <c r="F66" i="3"/>
  <c r="E66" i="3"/>
  <c r="D66" i="3"/>
  <c r="I65" i="3"/>
  <c r="H65" i="3"/>
  <c r="G65" i="3"/>
  <c r="F65" i="3"/>
  <c r="E65" i="3"/>
  <c r="D65" i="3"/>
  <c r="I64" i="3"/>
  <c r="H64" i="3"/>
  <c r="G64" i="3"/>
  <c r="F64" i="3"/>
  <c r="E64" i="3"/>
  <c r="D64" i="3"/>
  <c r="I63" i="3"/>
  <c r="H63" i="3"/>
  <c r="G63" i="3"/>
  <c r="F63" i="3"/>
  <c r="E63" i="3"/>
  <c r="D63" i="3"/>
  <c r="I62" i="3"/>
  <c r="H62" i="3"/>
  <c r="G62" i="3"/>
  <c r="F62" i="3"/>
  <c r="E62" i="3"/>
  <c r="D62" i="3"/>
  <c r="I61" i="3"/>
  <c r="H61" i="3"/>
  <c r="G61" i="3"/>
  <c r="F61" i="3"/>
  <c r="E61" i="3"/>
  <c r="D61" i="3"/>
  <c r="I60" i="3"/>
  <c r="H60" i="3"/>
  <c r="G60" i="3"/>
  <c r="F60" i="3"/>
  <c r="E60" i="3"/>
  <c r="D60" i="3"/>
  <c r="I59" i="3"/>
  <c r="H59" i="3"/>
  <c r="G59" i="3"/>
  <c r="F59" i="3"/>
  <c r="E59" i="3"/>
  <c r="D59" i="3"/>
  <c r="I58" i="3"/>
  <c r="H58" i="3"/>
  <c r="G58" i="3"/>
  <c r="F58" i="3"/>
  <c r="E58" i="3"/>
  <c r="D58" i="3"/>
  <c r="I57" i="3"/>
  <c r="H57" i="3"/>
  <c r="G57" i="3"/>
  <c r="F57" i="3"/>
  <c r="E57" i="3"/>
  <c r="D57" i="3"/>
  <c r="I56" i="3"/>
  <c r="H56" i="3"/>
  <c r="G56" i="3"/>
  <c r="F56" i="3"/>
  <c r="E56" i="3"/>
  <c r="D56" i="3"/>
  <c r="I55" i="3"/>
  <c r="H55" i="3"/>
  <c r="G55" i="3"/>
  <c r="F55" i="3"/>
  <c r="E55" i="3"/>
  <c r="D55" i="3"/>
  <c r="I54" i="3"/>
  <c r="H54" i="3"/>
  <c r="G54" i="3"/>
  <c r="F54" i="3"/>
  <c r="E54" i="3"/>
  <c r="D54" i="3"/>
  <c r="I53" i="3"/>
  <c r="H53" i="3"/>
  <c r="G53" i="3"/>
  <c r="F53" i="3"/>
  <c r="E53" i="3"/>
  <c r="D53" i="3"/>
  <c r="I52" i="3"/>
  <c r="H52" i="3"/>
  <c r="G52" i="3"/>
  <c r="F52" i="3"/>
  <c r="E52" i="3"/>
  <c r="D52" i="3"/>
  <c r="I51" i="3"/>
  <c r="H51" i="3"/>
  <c r="G51" i="3"/>
  <c r="F51" i="3"/>
  <c r="E51" i="3"/>
  <c r="D51" i="3"/>
  <c r="I50" i="3"/>
  <c r="H50" i="3"/>
  <c r="G50" i="3"/>
  <c r="F50" i="3"/>
  <c r="E50" i="3"/>
  <c r="D50" i="3"/>
  <c r="I49" i="3"/>
  <c r="H49" i="3"/>
  <c r="G49" i="3"/>
  <c r="F49" i="3"/>
  <c r="E49" i="3"/>
  <c r="D49" i="3"/>
  <c r="I48" i="3"/>
  <c r="H48" i="3"/>
  <c r="G48" i="3"/>
  <c r="F48" i="3"/>
  <c r="E48" i="3"/>
  <c r="D48" i="3"/>
  <c r="I47" i="3"/>
  <c r="H47" i="3"/>
  <c r="G47" i="3"/>
  <c r="F47" i="3"/>
  <c r="E47" i="3"/>
  <c r="D47" i="3"/>
  <c r="I46" i="3"/>
  <c r="H46" i="3"/>
  <c r="G46" i="3"/>
  <c r="F46" i="3"/>
  <c r="E46" i="3"/>
  <c r="D46" i="3"/>
  <c r="I45" i="3"/>
  <c r="H45" i="3"/>
  <c r="G45" i="3"/>
  <c r="F45" i="3"/>
  <c r="E45" i="3"/>
  <c r="D45" i="3"/>
  <c r="I44" i="3"/>
  <c r="H44" i="3"/>
  <c r="G44" i="3"/>
  <c r="F44" i="3"/>
  <c r="E44" i="3"/>
  <c r="D44" i="3"/>
  <c r="I43" i="3"/>
  <c r="H43" i="3"/>
  <c r="G43" i="3"/>
  <c r="F43" i="3"/>
  <c r="E43" i="3"/>
  <c r="D43" i="3"/>
  <c r="I42" i="3"/>
  <c r="H42" i="3"/>
  <c r="G42" i="3"/>
  <c r="F42" i="3"/>
  <c r="E42" i="3"/>
  <c r="D42" i="3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E35" i="3"/>
  <c r="D35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H13" i="3"/>
  <c r="G13" i="3"/>
  <c r="F13" i="3"/>
  <c r="E13" i="3"/>
  <c r="D13" i="3"/>
  <c r="I12" i="3"/>
  <c r="H12" i="3"/>
  <c r="G12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D9" i="3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D104" i="5"/>
  <c r="D103" i="5"/>
  <c r="D102" i="5"/>
  <c r="D101" i="5"/>
  <c r="D100" i="5"/>
  <c r="D99" i="5"/>
  <c r="D98" i="5"/>
  <c r="D97" i="5"/>
  <c r="D96" i="5"/>
  <c r="D95" i="5"/>
  <c r="D94" i="5"/>
  <c r="D93" i="5"/>
  <c r="D91" i="5"/>
  <c r="D90" i="5"/>
  <c r="D88" i="5"/>
  <c r="D87" i="5"/>
  <c r="D86" i="5"/>
  <c r="D85" i="5"/>
  <c r="D84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104" i="8"/>
  <c r="D103" i="8"/>
  <c r="D102" i="8"/>
  <c r="D101" i="8"/>
  <c r="D100" i="8"/>
  <c r="D99" i="8"/>
  <c r="D98" i="8"/>
  <c r="D97" i="8"/>
  <c r="D96" i="8"/>
  <c r="D95" i="8"/>
  <c r="D94" i="8"/>
  <c r="D93" i="8"/>
  <c r="D91" i="8"/>
  <c r="D90" i="8"/>
  <c r="D88" i="8"/>
  <c r="D87" i="8"/>
  <c r="D86" i="8"/>
  <c r="D85" i="8"/>
  <c r="D84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C322" i="7" l="1"/>
  <c r="C343" i="7"/>
  <c r="C364" i="7"/>
  <c r="AI10" i="10" l="1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72" i="10" s="1"/>
  <c r="AI52" i="10"/>
  <c r="AI73" i="10" s="1"/>
  <c r="AI53" i="10"/>
  <c r="AI74" i="10" s="1"/>
  <c r="AI54" i="10"/>
  <c r="AI75" i="10" s="1"/>
  <c r="AI55" i="10"/>
  <c r="AI76" i="10" s="1"/>
  <c r="AI56" i="10"/>
  <c r="AI77" i="10" s="1"/>
  <c r="AI57" i="10"/>
  <c r="AI78" i="10" s="1"/>
  <c r="AI58" i="10"/>
  <c r="AI79" i="10" s="1"/>
  <c r="AI59" i="10"/>
  <c r="AI80" i="10" s="1"/>
  <c r="AI60" i="10"/>
  <c r="AI81" i="10" s="1"/>
  <c r="AI61" i="10"/>
  <c r="AI82" i="10" s="1"/>
  <c r="AI62" i="10"/>
  <c r="AI83" i="10" s="1"/>
  <c r="AI63" i="10"/>
  <c r="AI84" i="10" s="1"/>
  <c r="AI64" i="10"/>
  <c r="AI85" i="10" s="1"/>
  <c r="AI65" i="10"/>
  <c r="AI86" i="10" s="1"/>
  <c r="AI66" i="10"/>
  <c r="AI87" i="10" s="1"/>
  <c r="AI67" i="10"/>
  <c r="AI88" i="10" s="1"/>
  <c r="AI68" i="10"/>
  <c r="AI89" i="10" s="1"/>
  <c r="AI69" i="10"/>
  <c r="AI90" i="10" s="1"/>
  <c r="AI70" i="10"/>
  <c r="AI91" i="10" s="1"/>
  <c r="AI71" i="10"/>
  <c r="AI92" i="10" s="1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215" i="10"/>
  <c r="AI216" i="10"/>
  <c r="AI217" i="10"/>
  <c r="AI218" i="10"/>
  <c r="AI9" i="10"/>
  <c r="F130" i="6" l="1"/>
  <c r="E130" i="6"/>
  <c r="D130" i="6"/>
  <c r="C130" i="6"/>
  <c r="E101" i="6"/>
  <c r="F101" i="6"/>
  <c r="D101" i="6"/>
  <c r="C101" i="6"/>
  <c r="F70" i="6"/>
  <c r="E70" i="6"/>
  <c r="D70" i="6"/>
  <c r="C70" i="6"/>
  <c r="F41" i="6"/>
  <c r="E41" i="6"/>
  <c r="D41" i="6"/>
  <c r="C41" i="6"/>
  <c r="D12" i="6"/>
  <c r="E12" i="6"/>
  <c r="F12" i="6"/>
  <c r="C12" i="6"/>
  <c r="AZ151" i="9" l="1"/>
  <c r="AZ152" i="9"/>
  <c r="AZ123" i="9"/>
  <c r="AZ122" i="9"/>
  <c r="AX91" i="9"/>
  <c r="AX101" i="9"/>
  <c r="AZ66" i="9"/>
  <c r="AZ67" i="9"/>
  <c r="AX83" i="9"/>
  <c r="BA89" i="9"/>
  <c r="BA91" i="9"/>
  <c r="BA92" i="9"/>
  <c r="BA104" i="9"/>
  <c r="BA109" i="9"/>
  <c r="AZ37" i="9"/>
  <c r="AZ36" i="9"/>
  <c r="AZ10" i="9"/>
  <c r="AZ9" i="9"/>
  <c r="AX6" i="9"/>
  <c r="AX33" i="9" s="1"/>
  <c r="AX7" i="9"/>
  <c r="AX120" i="9" s="1"/>
  <c r="AX8" i="9"/>
  <c r="AX92" i="9" s="1"/>
  <c r="AX9" i="9"/>
  <c r="AX93" i="9" s="1"/>
  <c r="AX10" i="9"/>
  <c r="AX94" i="9" s="1"/>
  <c r="AX11" i="9"/>
  <c r="AX95" i="9" s="1"/>
  <c r="AX12" i="9"/>
  <c r="AX96" i="9" s="1"/>
  <c r="AX13" i="9"/>
  <c r="AX155" i="9" s="1"/>
  <c r="AX14" i="9"/>
  <c r="AX156" i="9" s="1"/>
  <c r="AX15" i="9"/>
  <c r="AX42" i="9" s="1"/>
  <c r="AX16" i="9"/>
  <c r="AX158" i="9" s="1"/>
  <c r="AX17" i="9"/>
  <c r="AX44" i="9" s="1"/>
  <c r="AX18" i="9"/>
  <c r="AX45" i="9" s="1"/>
  <c r="AX19" i="9"/>
  <c r="AX132" i="9" s="1"/>
  <c r="AX20" i="9"/>
  <c r="AX104" i="9" s="1"/>
  <c r="AX21" i="9"/>
  <c r="AX105" i="9" s="1"/>
  <c r="AX22" i="9"/>
  <c r="AX106" i="9" s="1"/>
  <c r="AX23" i="9"/>
  <c r="AX107" i="9" s="1"/>
  <c r="AX24" i="9"/>
  <c r="AX108" i="9" s="1"/>
  <c r="AX25" i="9"/>
  <c r="AX167" i="9" s="1"/>
  <c r="AX5" i="9"/>
  <c r="AX32" i="9" s="1"/>
  <c r="AX102" i="9" l="1"/>
  <c r="AX76" i="9"/>
  <c r="AX90" i="9"/>
  <c r="AX75" i="9"/>
  <c r="AX74" i="9"/>
  <c r="AX73" i="9"/>
  <c r="AX131" i="9"/>
  <c r="AX64" i="9"/>
  <c r="AX130" i="9"/>
  <c r="AX43" i="9"/>
  <c r="AX63" i="9"/>
  <c r="AX129" i="9"/>
  <c r="AX119" i="9"/>
  <c r="AX103" i="9"/>
  <c r="AX147" i="9"/>
  <c r="AX52" i="9"/>
  <c r="AX40" i="9"/>
  <c r="AX100" i="9"/>
  <c r="AX128" i="9"/>
  <c r="AX166" i="9"/>
  <c r="AX154" i="9"/>
  <c r="AX51" i="9"/>
  <c r="AX39" i="9"/>
  <c r="AX62" i="9"/>
  <c r="AX72" i="9"/>
  <c r="AX99" i="9"/>
  <c r="AX118" i="9"/>
  <c r="AX127" i="9"/>
  <c r="AX165" i="9"/>
  <c r="AX153" i="9"/>
  <c r="AX157" i="9"/>
  <c r="AX41" i="9"/>
  <c r="AX50" i="9"/>
  <c r="AX38" i="9"/>
  <c r="AX71" i="9"/>
  <c r="AX89" i="9"/>
  <c r="AX98" i="9"/>
  <c r="AX138" i="9"/>
  <c r="AX126" i="9"/>
  <c r="AX164" i="9"/>
  <c r="AX152" i="9"/>
  <c r="AX49" i="9"/>
  <c r="AX37" i="9"/>
  <c r="AX82" i="9"/>
  <c r="AX70" i="9"/>
  <c r="AX109" i="9"/>
  <c r="AX97" i="9"/>
  <c r="AX137" i="9"/>
  <c r="AX125" i="9"/>
  <c r="AX163" i="9"/>
  <c r="AX151" i="9"/>
  <c r="AX48" i="9"/>
  <c r="AX36" i="9"/>
  <c r="AX81" i="9"/>
  <c r="AX69" i="9"/>
  <c r="AX136" i="9"/>
  <c r="AX124" i="9"/>
  <c r="AX162" i="9"/>
  <c r="AX150" i="9"/>
  <c r="AX47" i="9"/>
  <c r="AX35" i="9"/>
  <c r="AX80" i="9"/>
  <c r="AX68" i="9"/>
  <c r="AX135" i="9"/>
  <c r="AX123" i="9"/>
  <c r="AX161" i="9"/>
  <c r="AX149" i="9"/>
  <c r="AX46" i="9"/>
  <c r="AX34" i="9"/>
  <c r="AX79" i="9"/>
  <c r="AX67" i="9"/>
  <c r="AX134" i="9"/>
  <c r="AX122" i="9"/>
  <c r="AX160" i="9"/>
  <c r="AX148" i="9"/>
  <c r="AX78" i="9"/>
  <c r="AX66" i="9"/>
  <c r="AX133" i="9"/>
  <c r="AX121" i="9"/>
  <c r="AX159" i="9"/>
  <c r="AX77" i="9"/>
  <c r="AX65" i="9"/>
  <c r="BA108" i="9"/>
  <c r="BC108" i="9" s="1"/>
  <c r="BA107" i="9"/>
  <c r="BC107" i="9" s="1"/>
  <c r="BA106" i="9"/>
  <c r="BC106" i="9" s="1"/>
  <c r="BA103" i="9"/>
  <c r="BC103" i="9" s="1"/>
  <c r="BA102" i="9"/>
  <c r="BA101" i="9"/>
  <c r="BA99" i="9"/>
  <c r="BA98" i="9"/>
  <c r="BA96" i="9"/>
  <c r="BC96" i="9" s="1"/>
  <c r="BC102" i="9"/>
  <c r="BC109" i="9"/>
  <c r="BA105" i="9"/>
  <c r="BC105" i="9" s="1"/>
  <c r="BA100" i="9"/>
  <c r="BC100" i="9" s="1"/>
  <c r="BA97" i="9"/>
  <c r="BC97" i="9" s="1"/>
  <c r="BA95" i="9"/>
  <c r="BC95" i="9" s="1"/>
  <c r="BA93" i="9"/>
  <c r="BC93" i="9" s="1"/>
  <c r="BC92" i="9"/>
  <c r="BC91" i="9"/>
  <c r="BA90" i="9"/>
  <c r="BA94" i="9"/>
  <c r="BC94" i="9" s="1"/>
  <c r="BC99" i="9"/>
  <c r="BC98" i="9"/>
  <c r="BC104" i="9"/>
  <c r="BC101" i="9"/>
  <c r="BC89" i="9"/>
  <c r="BC90" i="9"/>
  <c r="G12" i="11" l="1"/>
  <c r="H12" i="11"/>
  <c r="H18" i="11" s="1"/>
  <c r="G18" i="11"/>
  <c r="G24" i="11" s="1"/>
  <c r="G31" i="11"/>
  <c r="G37" i="11"/>
  <c r="I6" i="11"/>
  <c r="I12" i="11" s="1"/>
  <c r="I18" i="11" s="1"/>
  <c r="I24" i="11" l="1"/>
  <c r="I31" i="11"/>
  <c r="I37" i="11"/>
  <c r="H31" i="11"/>
  <c r="H24" i="11"/>
  <c r="H37" i="11"/>
  <c r="J6" i="11"/>
  <c r="J12" i="11" s="1"/>
  <c r="J18" i="11" s="1"/>
  <c r="J24" i="11" l="1"/>
  <c r="J37" i="11"/>
  <c r="J31" i="11"/>
  <c r="K6" i="11"/>
  <c r="K12" i="11" s="1"/>
  <c r="K18" i="11" s="1"/>
  <c r="K37" i="11" l="1"/>
  <c r="K31" i="11"/>
  <c r="K24" i="11"/>
  <c r="L6" i="11"/>
  <c r="L12" i="11" s="1"/>
  <c r="L18" i="11" s="1"/>
  <c r="L37" i="11" l="1"/>
  <c r="L24" i="11"/>
  <c r="L31" i="11"/>
  <c r="M6" i="11"/>
  <c r="M12" i="11" s="1"/>
  <c r="M18" i="11" s="1"/>
  <c r="M31" i="11" l="1"/>
  <c r="M37" i="11"/>
  <c r="M24" i="11"/>
  <c r="N6" i="11"/>
  <c r="N12" i="11" s="1"/>
  <c r="N18" i="11" s="1"/>
  <c r="N31" i="11" l="1"/>
  <c r="N24" i="11"/>
  <c r="N37" i="11"/>
  <c r="O6" i="11"/>
  <c r="O12" i="11" s="1"/>
  <c r="O18" i="11" s="1"/>
  <c r="O24" i="11" l="1"/>
  <c r="O31" i="11"/>
  <c r="O37" i="11"/>
  <c r="P6" i="11"/>
  <c r="P12" i="11" s="1"/>
  <c r="P18" i="11" s="1"/>
  <c r="P24" i="11" l="1"/>
  <c r="P31" i="11"/>
  <c r="P37" i="11"/>
  <c r="Q6" i="11"/>
  <c r="Q12" i="11" s="1"/>
  <c r="Q18" i="11" s="1"/>
  <c r="Q24" i="11" l="1"/>
  <c r="Q31" i="11"/>
  <c r="Q37" i="11"/>
  <c r="R6" i="11"/>
  <c r="R12" i="11" s="1"/>
  <c r="R18" i="11" s="1"/>
  <c r="R24" i="11" l="1"/>
  <c r="R37" i="11"/>
  <c r="R31" i="11"/>
  <c r="S6" i="11"/>
  <c r="S12" i="11" s="1"/>
  <c r="S18" i="11" s="1"/>
  <c r="S24" i="11" l="1"/>
  <c r="S31" i="11"/>
  <c r="S37" i="11"/>
  <c r="T6" i="11"/>
  <c r="T12" i="11" s="1"/>
  <c r="T18" i="11" s="1"/>
  <c r="T24" i="11" l="1"/>
  <c r="T31" i="11"/>
  <c r="T37" i="11"/>
  <c r="AI117" i="9" l="1"/>
  <c r="AQ119" i="9"/>
  <c r="AS119" i="9"/>
  <c r="AT119" i="9"/>
  <c r="AU119" i="9"/>
  <c r="AQ120" i="9"/>
  <c r="AR120" i="9"/>
  <c r="AS120" i="9"/>
  <c r="AT120" i="9"/>
  <c r="AU120" i="9"/>
  <c r="AQ121" i="9"/>
  <c r="AR121" i="9"/>
  <c r="AS121" i="9"/>
  <c r="AT121" i="9"/>
  <c r="AU121" i="9"/>
  <c r="AQ122" i="9"/>
  <c r="AR122" i="9"/>
  <c r="AS122" i="9"/>
  <c r="AT122" i="9"/>
  <c r="AU122" i="9"/>
  <c r="AQ123" i="9"/>
  <c r="AR123" i="9"/>
  <c r="AS123" i="9"/>
  <c r="AT123" i="9"/>
  <c r="AQ124" i="9"/>
  <c r="AR124" i="9"/>
  <c r="AS124" i="9"/>
  <c r="AT124" i="9"/>
  <c r="AU124" i="9"/>
  <c r="AQ125" i="9"/>
  <c r="AR125" i="9"/>
  <c r="AS125" i="9"/>
  <c r="AT125" i="9"/>
  <c r="AU125" i="9"/>
  <c r="AQ126" i="9"/>
  <c r="AR126" i="9"/>
  <c r="AS126" i="9"/>
  <c r="AT126" i="9"/>
  <c r="AQ127" i="9"/>
  <c r="AR127" i="9"/>
  <c r="AS127" i="9"/>
  <c r="AT127" i="9"/>
  <c r="AU127" i="9"/>
  <c r="AQ128" i="9"/>
  <c r="AR128" i="9"/>
  <c r="AS128" i="9"/>
  <c r="AT128" i="9"/>
  <c r="AU128" i="9"/>
  <c r="AQ129" i="9"/>
  <c r="AR129" i="9"/>
  <c r="AS129" i="9"/>
  <c r="AT129" i="9"/>
  <c r="AU129" i="9"/>
  <c r="AQ130" i="9"/>
  <c r="AR130" i="9"/>
  <c r="AS130" i="9"/>
  <c r="AT130" i="9"/>
  <c r="AU130" i="9"/>
  <c r="AQ131" i="9"/>
  <c r="AR131" i="9"/>
  <c r="AS131" i="9"/>
  <c r="AT131" i="9"/>
  <c r="AU131" i="9"/>
  <c r="AV131" i="9" s="1"/>
  <c r="AQ132" i="9"/>
  <c r="AR132" i="9"/>
  <c r="AS132" i="9"/>
  <c r="AT132" i="9"/>
  <c r="AU132" i="9"/>
  <c r="AQ133" i="9"/>
  <c r="AR133" i="9"/>
  <c r="AS133" i="9"/>
  <c r="AT133" i="9"/>
  <c r="AU133" i="9"/>
  <c r="AQ135" i="9"/>
  <c r="AR135" i="9"/>
  <c r="AS135" i="9"/>
  <c r="AT135" i="9"/>
  <c r="AU135" i="9"/>
  <c r="AQ136" i="9"/>
  <c r="AR136" i="9"/>
  <c r="AS136" i="9"/>
  <c r="AT136" i="9"/>
  <c r="AU136" i="9"/>
  <c r="AQ137" i="9"/>
  <c r="AR137" i="9"/>
  <c r="AS137" i="9"/>
  <c r="AT137" i="9"/>
  <c r="AU137" i="9"/>
  <c r="AQ138" i="9"/>
  <c r="AR138" i="9"/>
  <c r="AS138" i="9"/>
  <c r="AT138" i="9"/>
  <c r="AU138" i="9"/>
  <c r="AQ139" i="9"/>
  <c r="AR139" i="9"/>
  <c r="AS139" i="9"/>
  <c r="AT139" i="9"/>
  <c r="AU139" i="9"/>
  <c r="AU118" i="9"/>
  <c r="AT118" i="9"/>
  <c r="AS118" i="9"/>
  <c r="AR118" i="9"/>
  <c r="AQ118" i="9"/>
  <c r="AQ63" i="9"/>
  <c r="AR63" i="9"/>
  <c r="AS63" i="9"/>
  <c r="AT63" i="9"/>
  <c r="AU63" i="9"/>
  <c r="AQ64" i="9"/>
  <c r="AR64" i="9"/>
  <c r="AS64" i="9"/>
  <c r="AT64" i="9"/>
  <c r="AU64" i="9"/>
  <c r="AQ65" i="9"/>
  <c r="AR65" i="9"/>
  <c r="AS65" i="9"/>
  <c r="AT65" i="9"/>
  <c r="AU65" i="9"/>
  <c r="AQ66" i="9"/>
  <c r="AR66" i="9"/>
  <c r="AS66" i="9"/>
  <c r="AT66" i="9"/>
  <c r="AU66" i="9"/>
  <c r="AQ67" i="9"/>
  <c r="AR67" i="9"/>
  <c r="AS67" i="9"/>
  <c r="AT67" i="9"/>
  <c r="AQ68" i="9"/>
  <c r="AR68" i="9"/>
  <c r="AS68" i="9"/>
  <c r="AT68" i="9"/>
  <c r="AU68" i="9"/>
  <c r="AQ69" i="9"/>
  <c r="AR69" i="9"/>
  <c r="AS69" i="9"/>
  <c r="AT69" i="9"/>
  <c r="AU69" i="9"/>
  <c r="AQ70" i="9"/>
  <c r="AR70" i="9"/>
  <c r="AS70" i="9"/>
  <c r="AT70" i="9"/>
  <c r="AQ71" i="9"/>
  <c r="AR71" i="9"/>
  <c r="AS71" i="9"/>
  <c r="AT71" i="9"/>
  <c r="AU71" i="9"/>
  <c r="AQ72" i="9"/>
  <c r="AR72" i="9"/>
  <c r="AS72" i="9"/>
  <c r="AT72" i="9"/>
  <c r="AU72" i="9"/>
  <c r="AQ73" i="9"/>
  <c r="AR73" i="9"/>
  <c r="AS73" i="9"/>
  <c r="AT73" i="9"/>
  <c r="AU73" i="9"/>
  <c r="AQ74" i="9"/>
  <c r="AR74" i="9"/>
  <c r="AS74" i="9"/>
  <c r="AT74" i="9"/>
  <c r="AU74" i="9"/>
  <c r="AQ75" i="9"/>
  <c r="AR75" i="9"/>
  <c r="AS75" i="9"/>
  <c r="AT75" i="9"/>
  <c r="AU75" i="9"/>
  <c r="AV75" i="9" s="1"/>
  <c r="AQ76" i="9"/>
  <c r="AR76" i="9"/>
  <c r="AS76" i="9"/>
  <c r="AT76" i="9"/>
  <c r="AU76" i="9"/>
  <c r="AQ77" i="9"/>
  <c r="AR77" i="9"/>
  <c r="AS77" i="9"/>
  <c r="AT77" i="9"/>
  <c r="AU77" i="9"/>
  <c r="AU78" i="9"/>
  <c r="AQ79" i="9"/>
  <c r="AR79" i="9"/>
  <c r="AS79" i="9"/>
  <c r="AT79" i="9"/>
  <c r="AU79" i="9"/>
  <c r="AQ80" i="9"/>
  <c r="AR80" i="9"/>
  <c r="AS80" i="9"/>
  <c r="AT80" i="9"/>
  <c r="AU80" i="9"/>
  <c r="AQ81" i="9"/>
  <c r="AR81" i="9"/>
  <c r="AS81" i="9"/>
  <c r="AT81" i="9"/>
  <c r="AU81" i="9"/>
  <c r="AQ82" i="9"/>
  <c r="AR82" i="9"/>
  <c r="AS82" i="9"/>
  <c r="AT82" i="9"/>
  <c r="AU82" i="9"/>
  <c r="AQ83" i="9"/>
  <c r="AR83" i="9"/>
  <c r="AS83" i="9"/>
  <c r="AT83" i="9"/>
  <c r="AU83" i="9"/>
  <c r="AU62" i="9"/>
  <c r="AT62" i="9"/>
  <c r="AS62" i="9"/>
  <c r="AR62" i="9"/>
  <c r="AQ62" i="9"/>
  <c r="AQ33" i="9" l="1"/>
  <c r="AR33" i="9"/>
  <c r="AS33" i="9"/>
  <c r="AT33" i="9"/>
  <c r="AU33" i="9"/>
  <c r="AQ34" i="9"/>
  <c r="AR34" i="9"/>
  <c r="AS34" i="9"/>
  <c r="AT34" i="9"/>
  <c r="AU34" i="9"/>
  <c r="AQ35" i="9"/>
  <c r="AR35" i="9"/>
  <c r="AS35" i="9"/>
  <c r="AT35" i="9"/>
  <c r="AU35" i="9"/>
  <c r="AQ36" i="9"/>
  <c r="AR36" i="9"/>
  <c r="AS36" i="9"/>
  <c r="AT36" i="9"/>
  <c r="AU36" i="9"/>
  <c r="AQ37" i="9"/>
  <c r="AR37" i="9"/>
  <c r="AS37" i="9"/>
  <c r="AT37" i="9"/>
  <c r="AU37" i="9"/>
  <c r="AQ38" i="9"/>
  <c r="AR38" i="9"/>
  <c r="AS38" i="9"/>
  <c r="AT38" i="9"/>
  <c r="AU38" i="9"/>
  <c r="AQ39" i="9"/>
  <c r="AR39" i="9"/>
  <c r="AS39" i="9"/>
  <c r="AT39" i="9"/>
  <c r="AU39" i="9"/>
  <c r="AQ40" i="9"/>
  <c r="AR40" i="9"/>
  <c r="AS40" i="9"/>
  <c r="AT40" i="9"/>
  <c r="AQ41" i="9"/>
  <c r="AR41" i="9"/>
  <c r="AS41" i="9"/>
  <c r="AT41" i="9"/>
  <c r="AU41" i="9"/>
  <c r="AQ42" i="9"/>
  <c r="AR42" i="9"/>
  <c r="AS42" i="9"/>
  <c r="AT42" i="9"/>
  <c r="AU42" i="9"/>
  <c r="AQ43" i="9"/>
  <c r="AR43" i="9"/>
  <c r="AS43" i="9"/>
  <c r="AT43" i="9"/>
  <c r="AU43" i="9"/>
  <c r="AQ44" i="9"/>
  <c r="AR44" i="9"/>
  <c r="AS44" i="9"/>
  <c r="AT44" i="9"/>
  <c r="AU44" i="9"/>
  <c r="AQ45" i="9"/>
  <c r="AR45" i="9"/>
  <c r="AS45" i="9"/>
  <c r="AT45" i="9"/>
  <c r="AU45" i="9"/>
  <c r="AV45" i="9" s="1"/>
  <c r="AQ46" i="9"/>
  <c r="AR46" i="9"/>
  <c r="AS46" i="9"/>
  <c r="AT46" i="9"/>
  <c r="AU46" i="9"/>
  <c r="AQ47" i="9"/>
  <c r="AR47" i="9"/>
  <c r="AS47" i="9"/>
  <c r="AT47" i="9"/>
  <c r="AU47" i="9"/>
  <c r="AQ49" i="9"/>
  <c r="AR49" i="9"/>
  <c r="AS49" i="9"/>
  <c r="AT49" i="9"/>
  <c r="AU49" i="9"/>
  <c r="AQ50" i="9"/>
  <c r="AR50" i="9"/>
  <c r="AS50" i="9"/>
  <c r="AT50" i="9"/>
  <c r="AU50" i="9"/>
  <c r="AQ51" i="9"/>
  <c r="AR51" i="9"/>
  <c r="AS51" i="9"/>
  <c r="AT51" i="9"/>
  <c r="AU51" i="9"/>
  <c r="AQ52" i="9"/>
  <c r="AR52" i="9"/>
  <c r="AS52" i="9"/>
  <c r="AT52" i="9"/>
  <c r="AU52" i="9"/>
  <c r="AQ53" i="9"/>
  <c r="AR53" i="9"/>
  <c r="AS53" i="9"/>
  <c r="AT53" i="9"/>
  <c r="AU53" i="9"/>
  <c r="AU32" i="9"/>
  <c r="AT32" i="9"/>
  <c r="AS32" i="9"/>
  <c r="AQ32" i="9"/>
  <c r="AU5" i="9" l="1"/>
  <c r="AU6" i="9"/>
  <c r="AU7" i="9"/>
  <c r="AU8" i="9"/>
  <c r="AU9" i="9"/>
  <c r="AU10" i="9"/>
  <c r="AU11" i="9"/>
  <c r="AU12" i="9"/>
  <c r="AU14" i="9"/>
  <c r="AU15" i="9"/>
  <c r="AU16" i="9"/>
  <c r="AU17" i="9"/>
  <c r="AU18" i="9"/>
  <c r="AV18" i="9" s="1"/>
  <c r="AU19" i="9"/>
  <c r="AU20" i="9"/>
  <c r="AU22" i="9"/>
  <c r="AU23" i="9"/>
  <c r="AU24" i="9"/>
  <c r="AU25" i="9"/>
  <c r="AU26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2" i="9"/>
  <c r="AT23" i="9"/>
  <c r="AT24" i="9"/>
  <c r="AT25" i="9"/>
  <c r="AT26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2" i="9"/>
  <c r="AS23" i="9"/>
  <c r="AS24" i="9"/>
  <c r="AS25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2" i="9"/>
  <c r="AR23" i="9"/>
  <c r="AR24" i="9"/>
  <c r="AR25" i="9"/>
  <c r="AR26" i="9"/>
  <c r="AQ5" i="9"/>
  <c r="BF5" i="9"/>
  <c r="BG5" i="9"/>
  <c r="BJ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2" i="9"/>
  <c r="AQ23" i="9"/>
  <c r="AQ24" i="9"/>
  <c r="AQ25" i="9"/>
  <c r="AQ26" i="9"/>
  <c r="AG131" i="9"/>
  <c r="AG127" i="9"/>
  <c r="AF127" i="9"/>
  <c r="AE127" i="9"/>
  <c r="AG125" i="9"/>
  <c r="AB124" i="9"/>
  <c r="AB122" i="9"/>
  <c r="AH121" i="9"/>
  <c r="AG121" i="9"/>
  <c r="AF121" i="9"/>
  <c r="AD121" i="9"/>
  <c r="AC121" i="9"/>
  <c r="AB121" i="9"/>
  <c r="AH117" i="9"/>
  <c r="AG117" i="9"/>
  <c r="AF117" i="9"/>
  <c r="AE117" i="9"/>
  <c r="AD117" i="9"/>
  <c r="AC117" i="9"/>
  <c r="AB117" i="9"/>
  <c r="AG71" i="9"/>
  <c r="AF71" i="9"/>
  <c r="AG69" i="9"/>
  <c r="AE69" i="9"/>
  <c r="AB66" i="9"/>
  <c r="AH65" i="9"/>
  <c r="AG65" i="9"/>
  <c r="AF65" i="9"/>
  <c r="AE65" i="9"/>
  <c r="AC65" i="9"/>
  <c r="AB65" i="9"/>
  <c r="AI61" i="9"/>
  <c r="AH61" i="9"/>
  <c r="AG61" i="9"/>
  <c r="AF61" i="9"/>
  <c r="AE61" i="9"/>
  <c r="AD61" i="9"/>
  <c r="AC61" i="9"/>
  <c r="AB61" i="9"/>
  <c r="AE43" i="9"/>
  <c r="AB43" i="9"/>
  <c r="AF38" i="9"/>
  <c r="AB38" i="9"/>
  <c r="AH37" i="9"/>
  <c r="AH36" i="9"/>
  <c r="AI31" i="9"/>
  <c r="AG31" i="9"/>
  <c r="AH9" i="9"/>
  <c r="AH10" i="9"/>
  <c r="AF11" i="9"/>
  <c r="AB11" i="9"/>
  <c r="AG4" i="9"/>
  <c r="AI4" i="9"/>
  <c r="AH135" i="9" l="1"/>
  <c r="AH79" i="9"/>
  <c r="AC82" i="9"/>
  <c r="AH138" i="9"/>
  <c r="AC138" i="9"/>
  <c r="S139" i="9" l="1"/>
  <c r="S137" i="9"/>
  <c r="AE137" i="9" s="1"/>
  <c r="S135" i="9"/>
  <c r="AE135" i="9" s="1"/>
  <c r="S133" i="9"/>
  <c r="S132" i="9"/>
  <c r="S131" i="9"/>
  <c r="AE131" i="9" s="1"/>
  <c r="S130" i="9"/>
  <c r="AE130" i="9" s="1"/>
  <c r="S129" i="9"/>
  <c r="AE129" i="9" s="1"/>
  <c r="S128" i="9"/>
  <c r="AE128" i="9" s="1"/>
  <c r="S125" i="9"/>
  <c r="AE125" i="9" s="1"/>
  <c r="S121" i="9"/>
  <c r="AE121" i="9" s="1"/>
  <c r="S118" i="9"/>
  <c r="W118" i="9" s="1"/>
  <c r="P118" i="9"/>
  <c r="Q118" i="9"/>
  <c r="R118" i="9"/>
  <c r="T118" i="9"/>
  <c r="P119" i="9"/>
  <c r="U119" i="9"/>
  <c r="P120" i="9"/>
  <c r="AB120" i="9" s="1"/>
  <c r="R120" i="9"/>
  <c r="AD120" i="9" s="1"/>
  <c r="T120" i="9"/>
  <c r="AF120" i="9" s="1"/>
  <c r="U120" i="9"/>
  <c r="AG120" i="9" s="1"/>
  <c r="V120" i="9"/>
  <c r="AH120" i="9" s="1"/>
  <c r="Q122" i="9"/>
  <c r="AC122" i="9" s="1"/>
  <c r="R122" i="9"/>
  <c r="U122" i="9"/>
  <c r="AG122" i="9" s="1"/>
  <c r="V122" i="9"/>
  <c r="AH122" i="9" s="1"/>
  <c r="P123" i="9"/>
  <c r="AB123" i="9" s="1"/>
  <c r="T123" i="9"/>
  <c r="AF123" i="9" s="1"/>
  <c r="U123" i="9"/>
  <c r="AG123" i="9" s="1"/>
  <c r="V123" i="9"/>
  <c r="AH123" i="9" s="1"/>
  <c r="Q124" i="9"/>
  <c r="AC124" i="9" s="1"/>
  <c r="R124" i="9"/>
  <c r="AD124" i="9" s="1"/>
  <c r="U124" i="9"/>
  <c r="AG124" i="9" s="1"/>
  <c r="V124" i="9"/>
  <c r="P125" i="9"/>
  <c r="AB125" i="9" s="1"/>
  <c r="Q125" i="9"/>
  <c r="AC125" i="9" s="1"/>
  <c r="R125" i="9"/>
  <c r="AD125" i="9" s="1"/>
  <c r="T125" i="9"/>
  <c r="AF125" i="9" s="1"/>
  <c r="V125" i="9"/>
  <c r="AH125" i="9" s="1"/>
  <c r="R126" i="9"/>
  <c r="AD126" i="9" s="1"/>
  <c r="T126" i="9"/>
  <c r="AF126" i="9" s="1"/>
  <c r="U126" i="9"/>
  <c r="AG126" i="9" s="1"/>
  <c r="V126" i="9"/>
  <c r="AH126" i="9" s="1"/>
  <c r="P127" i="9"/>
  <c r="AB127" i="9" s="1"/>
  <c r="Q127" i="9"/>
  <c r="AC127" i="9" s="1"/>
  <c r="R127" i="9"/>
  <c r="AD127" i="9" s="1"/>
  <c r="V127" i="9"/>
  <c r="AH127" i="9" s="1"/>
  <c r="P128" i="9"/>
  <c r="AB128" i="9" s="1"/>
  <c r="R128" i="9"/>
  <c r="AD128" i="9" s="1"/>
  <c r="T128" i="9"/>
  <c r="AF128" i="9" s="1"/>
  <c r="V128" i="9"/>
  <c r="AH128" i="9" s="1"/>
  <c r="P129" i="9"/>
  <c r="AB129" i="9" s="1"/>
  <c r="Q129" i="9"/>
  <c r="AC129" i="9" s="1"/>
  <c r="R129" i="9"/>
  <c r="AD129" i="9" s="1"/>
  <c r="T129" i="9"/>
  <c r="AF129" i="9" s="1"/>
  <c r="U129" i="9"/>
  <c r="AG129" i="9" s="1"/>
  <c r="V129" i="9"/>
  <c r="AH129" i="9" s="1"/>
  <c r="P130" i="9"/>
  <c r="AB130" i="9" s="1"/>
  <c r="Q130" i="9"/>
  <c r="AC130" i="9" s="1"/>
  <c r="R130" i="9"/>
  <c r="AD130" i="9" s="1"/>
  <c r="T130" i="9"/>
  <c r="AF130" i="9" s="1"/>
  <c r="U130" i="9"/>
  <c r="AG130" i="9" s="1"/>
  <c r="V130" i="9"/>
  <c r="AH130" i="9" s="1"/>
  <c r="P131" i="9"/>
  <c r="AB131" i="9" s="1"/>
  <c r="Q131" i="9"/>
  <c r="AC131" i="9" s="1"/>
  <c r="R131" i="9"/>
  <c r="AD131" i="9" s="1"/>
  <c r="T131" i="9"/>
  <c r="AF131" i="9" s="1"/>
  <c r="V131" i="9"/>
  <c r="AH131" i="9" s="1"/>
  <c r="P132" i="9"/>
  <c r="AB132" i="9" s="1"/>
  <c r="Q132" i="9"/>
  <c r="AC132" i="9" s="1"/>
  <c r="R132" i="9"/>
  <c r="Q133" i="9"/>
  <c r="R133" i="9"/>
  <c r="U133" i="9"/>
  <c r="V133" i="9"/>
  <c r="P134" i="9"/>
  <c r="R134" i="9"/>
  <c r="U134" i="9"/>
  <c r="P135" i="9"/>
  <c r="AB135" i="9" s="1"/>
  <c r="Q135" i="9"/>
  <c r="AC135" i="9" s="1"/>
  <c r="R135" i="9"/>
  <c r="AD135" i="9" s="1"/>
  <c r="T135" i="9"/>
  <c r="AF135" i="9" s="1"/>
  <c r="U135" i="9"/>
  <c r="AG135" i="9" s="1"/>
  <c r="P136" i="9"/>
  <c r="Q136" i="9"/>
  <c r="R136" i="9"/>
  <c r="T136" i="9"/>
  <c r="V136" i="9"/>
  <c r="AH136" i="9" s="1"/>
  <c r="X136" i="9"/>
  <c r="P137" i="9"/>
  <c r="AB137" i="9" s="1"/>
  <c r="Q137" i="9"/>
  <c r="AC137" i="9" s="1"/>
  <c r="R137" i="9"/>
  <c r="AD137" i="9" s="1"/>
  <c r="T137" i="9"/>
  <c r="AF137" i="9" s="1"/>
  <c r="U137" i="9"/>
  <c r="AG137" i="9" s="1"/>
  <c r="V137" i="9"/>
  <c r="AH137" i="9" s="1"/>
  <c r="P138" i="9"/>
  <c r="R138" i="9"/>
  <c r="T138" i="9"/>
  <c r="AF138" i="9" s="1"/>
  <c r="U138" i="9"/>
  <c r="P139" i="9"/>
  <c r="Q139" i="9"/>
  <c r="R139" i="9"/>
  <c r="T139" i="9"/>
  <c r="U139" i="9"/>
  <c r="V139" i="9"/>
  <c r="V111" i="9"/>
  <c r="U111" i="9"/>
  <c r="T111" i="9"/>
  <c r="S111" i="9"/>
  <c r="R111" i="9"/>
  <c r="Q111" i="9"/>
  <c r="P111" i="9"/>
  <c r="U110" i="9"/>
  <c r="T110" i="9"/>
  <c r="R110" i="9"/>
  <c r="P110" i="9"/>
  <c r="V109" i="9"/>
  <c r="U109" i="9"/>
  <c r="T109" i="9"/>
  <c r="S109" i="9"/>
  <c r="R109" i="9"/>
  <c r="Q109" i="9"/>
  <c r="P109" i="9"/>
  <c r="V108" i="9"/>
  <c r="T108" i="9"/>
  <c r="S108" i="9"/>
  <c r="R108" i="9"/>
  <c r="Q108" i="9"/>
  <c r="P108" i="9"/>
  <c r="U107" i="9"/>
  <c r="T107" i="9"/>
  <c r="S107" i="9"/>
  <c r="R107" i="9"/>
  <c r="Q107" i="9"/>
  <c r="P107" i="9"/>
  <c r="V106" i="9"/>
  <c r="U106" i="9"/>
  <c r="S106" i="9"/>
  <c r="R106" i="9"/>
  <c r="P106" i="9"/>
  <c r="V105" i="9"/>
  <c r="U105" i="9"/>
  <c r="T105" i="9"/>
  <c r="S105" i="9"/>
  <c r="R105" i="9"/>
  <c r="Q105" i="9"/>
  <c r="P105" i="9"/>
  <c r="X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S99" i="9"/>
  <c r="R99" i="9"/>
  <c r="Q99" i="9"/>
  <c r="P99" i="9"/>
  <c r="V98" i="9"/>
  <c r="U98" i="9"/>
  <c r="T98" i="9"/>
  <c r="S98" i="9"/>
  <c r="R98" i="9"/>
  <c r="Q98" i="9"/>
  <c r="P98" i="9"/>
  <c r="V97" i="9"/>
  <c r="T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W94" i="9" s="1"/>
  <c r="R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T90" i="9"/>
  <c r="S90" i="9"/>
  <c r="R90" i="9"/>
  <c r="Q90" i="9"/>
  <c r="P90" i="9"/>
  <c r="E140" i="9"/>
  <c r="D140" i="9"/>
  <c r="N139" i="9"/>
  <c r="X139" i="9" s="1"/>
  <c r="M139" i="9"/>
  <c r="N138" i="9"/>
  <c r="X138" i="9" s="1"/>
  <c r="M138" i="9"/>
  <c r="N137" i="9"/>
  <c r="X137" i="9" s="1"/>
  <c r="M137" i="9"/>
  <c r="N136" i="9"/>
  <c r="M136" i="9"/>
  <c r="N135" i="9"/>
  <c r="X135" i="9" s="1"/>
  <c r="M135" i="9"/>
  <c r="N134" i="9"/>
  <c r="X134" i="9" s="1"/>
  <c r="M134" i="9"/>
  <c r="N133" i="9"/>
  <c r="X133" i="9" s="1"/>
  <c r="M133" i="9"/>
  <c r="N132" i="9"/>
  <c r="X132" i="9" s="1"/>
  <c r="M132" i="9"/>
  <c r="N131" i="9"/>
  <c r="X131" i="9" s="1"/>
  <c r="M131" i="9"/>
  <c r="N130" i="9"/>
  <c r="X130" i="9" s="1"/>
  <c r="M130" i="9"/>
  <c r="N129" i="9"/>
  <c r="X129" i="9" s="1"/>
  <c r="M129" i="9"/>
  <c r="N128" i="9"/>
  <c r="X128" i="9" s="1"/>
  <c r="M128" i="9"/>
  <c r="N127" i="9"/>
  <c r="X127" i="9" s="1"/>
  <c r="M127" i="9"/>
  <c r="N126" i="9"/>
  <c r="X126" i="9" s="1"/>
  <c r="M126" i="9"/>
  <c r="N125" i="9"/>
  <c r="X125" i="9" s="1"/>
  <c r="M125" i="9"/>
  <c r="N124" i="9"/>
  <c r="X124" i="9" s="1"/>
  <c r="M124" i="9"/>
  <c r="N123" i="9"/>
  <c r="X123" i="9" s="1"/>
  <c r="M123" i="9"/>
  <c r="N122" i="9"/>
  <c r="X122" i="9" s="1"/>
  <c r="M122" i="9"/>
  <c r="N121" i="9"/>
  <c r="M121" i="9"/>
  <c r="N120" i="9"/>
  <c r="X120" i="9" s="1"/>
  <c r="M120" i="9"/>
  <c r="N119" i="9"/>
  <c r="X119" i="9" s="1"/>
  <c r="M119" i="9"/>
  <c r="N118" i="9"/>
  <c r="X118" i="9" s="1"/>
  <c r="M118" i="9"/>
  <c r="N111" i="9"/>
  <c r="X111" i="9" s="1"/>
  <c r="N110" i="9"/>
  <c r="X110" i="9" s="1"/>
  <c r="N109" i="9"/>
  <c r="X109" i="9" s="1"/>
  <c r="N108" i="9"/>
  <c r="X108" i="9" s="1"/>
  <c r="N107" i="9"/>
  <c r="X107" i="9" s="1"/>
  <c r="N106" i="9"/>
  <c r="X106" i="9" s="1"/>
  <c r="N105" i="9"/>
  <c r="X105" i="9" s="1"/>
  <c r="N104" i="9"/>
  <c r="N103" i="9"/>
  <c r="X103" i="9" s="1"/>
  <c r="N102" i="9"/>
  <c r="X102" i="9" s="1"/>
  <c r="N101" i="9"/>
  <c r="X101" i="9" s="1"/>
  <c r="N100" i="9"/>
  <c r="X100" i="9" s="1"/>
  <c r="N99" i="9"/>
  <c r="X99" i="9" s="1"/>
  <c r="N98" i="9"/>
  <c r="X98" i="9" s="1"/>
  <c r="N97" i="9"/>
  <c r="X97" i="9" s="1"/>
  <c r="N96" i="9"/>
  <c r="X96" i="9" s="1"/>
  <c r="N95" i="9"/>
  <c r="X95" i="9" s="1"/>
  <c r="N94" i="9"/>
  <c r="X94" i="9" s="1"/>
  <c r="N93" i="9"/>
  <c r="N92" i="9"/>
  <c r="X92" i="9" s="1"/>
  <c r="N91" i="9"/>
  <c r="X91" i="9" s="1"/>
  <c r="N90" i="9"/>
  <c r="X90" i="9" s="1"/>
  <c r="L112" i="9"/>
  <c r="K112" i="9"/>
  <c r="J112" i="9"/>
  <c r="I112" i="9"/>
  <c r="H112" i="9"/>
  <c r="G112" i="9"/>
  <c r="F112" i="9"/>
  <c r="E112" i="9"/>
  <c r="D112" i="9"/>
  <c r="N86" i="9"/>
  <c r="X86" i="9" s="1"/>
  <c r="V86" i="9"/>
  <c r="V87" i="9" s="1"/>
  <c r="U86" i="9"/>
  <c r="U87" i="9" s="1"/>
  <c r="T86" i="9"/>
  <c r="S86" i="9"/>
  <c r="R86" i="9"/>
  <c r="Q86" i="9"/>
  <c r="P86" i="9"/>
  <c r="R63" i="9"/>
  <c r="R64" i="9"/>
  <c r="AD64" i="9" s="1"/>
  <c r="R65" i="9"/>
  <c r="AD65" i="9" s="1"/>
  <c r="R66" i="9"/>
  <c r="AD66" i="9" s="1"/>
  <c r="R67" i="9"/>
  <c r="AD67" i="9" s="1"/>
  <c r="R68" i="9"/>
  <c r="AD68" i="9" s="1"/>
  <c r="R69" i="9"/>
  <c r="AD69" i="9" s="1"/>
  <c r="R70" i="9"/>
  <c r="AD70" i="9" s="1"/>
  <c r="R71" i="9"/>
  <c r="AD71" i="9" s="1"/>
  <c r="R72" i="9"/>
  <c r="AD72" i="9" s="1"/>
  <c r="R73" i="9"/>
  <c r="AD73" i="9" s="1"/>
  <c r="R74" i="9"/>
  <c r="AD74" i="9" s="1"/>
  <c r="R75" i="9"/>
  <c r="AD75" i="9" s="1"/>
  <c r="R76" i="9"/>
  <c r="R77" i="9"/>
  <c r="R78" i="9"/>
  <c r="R79" i="9"/>
  <c r="AD79" i="9" s="1"/>
  <c r="R80" i="9"/>
  <c r="R81" i="9"/>
  <c r="AD81" i="9" s="1"/>
  <c r="R82" i="9"/>
  <c r="R83" i="9"/>
  <c r="R62" i="9"/>
  <c r="W105" i="9" l="1"/>
  <c r="W139" i="9"/>
  <c r="W90" i="9"/>
  <c r="AG138" i="9"/>
  <c r="AD138" i="9"/>
  <c r="AC136" i="9"/>
  <c r="AD82" i="9"/>
  <c r="AD80" i="9"/>
  <c r="W99" i="9"/>
  <c r="Y99" i="9" s="1"/>
  <c r="AD132" i="9"/>
  <c r="Y139" i="9"/>
  <c r="Y118" i="9"/>
  <c r="X140" i="9"/>
  <c r="X112" i="9"/>
  <c r="AI125" i="9"/>
  <c r="BL125" i="9"/>
  <c r="I142" i="9"/>
  <c r="W97" i="9"/>
  <c r="Y97" i="9" s="1"/>
  <c r="W102" i="9"/>
  <c r="Y102" i="9" s="1"/>
  <c r="Y94" i="9"/>
  <c r="AD136" i="9"/>
  <c r="AB134" i="9"/>
  <c r="AB133" i="9"/>
  <c r="AI130" i="9"/>
  <c r="BL130" i="9"/>
  <c r="AH124" i="9"/>
  <c r="AB138" i="9"/>
  <c r="AH118" i="9"/>
  <c r="AH62" i="9"/>
  <c r="W86" i="9"/>
  <c r="Q112" i="9"/>
  <c r="AB136" i="9"/>
  <c r="AH134" i="9"/>
  <c r="AH133" i="9"/>
  <c r="AH132" i="9"/>
  <c r="W129" i="9"/>
  <c r="Y129" i="9" s="1"/>
  <c r="AI135" i="9"/>
  <c r="BL135" i="9"/>
  <c r="R112" i="9"/>
  <c r="W92" i="9"/>
  <c r="Y92" i="9" s="1"/>
  <c r="W96" i="9"/>
  <c r="Y96" i="9" s="1"/>
  <c r="W101" i="9"/>
  <c r="Y101" i="9" s="1"/>
  <c r="W104" i="9"/>
  <c r="Y104" i="9" s="1"/>
  <c r="AG133" i="9"/>
  <c r="AG132" i="9"/>
  <c r="AG136" i="9"/>
  <c r="AG134" i="9"/>
  <c r="AE132" i="9"/>
  <c r="AI129" i="9"/>
  <c r="BL129" i="9"/>
  <c r="Y105" i="9"/>
  <c r="F142" i="9"/>
  <c r="R84" i="9"/>
  <c r="R87" i="9"/>
  <c r="AD62" i="9" s="1"/>
  <c r="S112" i="9"/>
  <c r="AG119" i="9"/>
  <c r="T112" i="9"/>
  <c r="W98" i="9"/>
  <c r="Y98" i="9" s="1"/>
  <c r="W106" i="9"/>
  <c r="Y106" i="9" s="1"/>
  <c r="AD134" i="9"/>
  <c r="AD133" i="9"/>
  <c r="AI131" i="9"/>
  <c r="BL131" i="9"/>
  <c r="W127" i="9"/>
  <c r="Y127" i="9" s="1"/>
  <c r="AD122" i="9"/>
  <c r="AI121" i="9"/>
  <c r="BL121" i="9"/>
  <c r="AI127" i="9"/>
  <c r="BL127" i="9"/>
  <c r="U112" i="9"/>
  <c r="BL65" i="9"/>
  <c r="AI65" i="9"/>
  <c r="AD76" i="9"/>
  <c r="W108" i="9"/>
  <c r="Y108" i="9" s="1"/>
  <c r="AC134" i="9"/>
  <c r="AC133" i="9"/>
  <c r="AI137" i="9"/>
  <c r="BL137" i="9"/>
  <c r="V112" i="9"/>
  <c r="AD78" i="9"/>
  <c r="AD77" i="9"/>
  <c r="AD63" i="9"/>
  <c r="AG118" i="9"/>
  <c r="AG62" i="9"/>
  <c r="AG32" i="9"/>
  <c r="W91" i="9"/>
  <c r="Y91" i="9" s="1"/>
  <c r="W95" i="9"/>
  <c r="Y95" i="9" s="1"/>
  <c r="W100" i="9"/>
  <c r="Y100" i="9" s="1"/>
  <c r="W103" i="9"/>
  <c r="Y103" i="9" s="1"/>
  <c r="W107" i="9"/>
  <c r="Y107" i="9" s="1"/>
  <c r="W131" i="9"/>
  <c r="Y131" i="9" s="1"/>
  <c r="W111" i="9"/>
  <c r="Y111" i="9" s="1"/>
  <c r="W125" i="9"/>
  <c r="Y125" i="9" s="1"/>
  <c r="W109" i="9"/>
  <c r="Y109" i="9" s="1"/>
  <c r="W110" i="9"/>
  <c r="Y110" i="9" s="1"/>
  <c r="W130" i="9"/>
  <c r="Y130" i="9" s="1"/>
  <c r="W137" i="9"/>
  <c r="Y137" i="9" s="1"/>
  <c r="W135" i="9"/>
  <c r="Y135" i="9" s="1"/>
  <c r="Y90" i="9"/>
  <c r="P112" i="9"/>
  <c r="Y86" i="9"/>
  <c r="AD118" i="9" l="1"/>
  <c r="AD84" i="9"/>
  <c r="AJ65" i="9"/>
  <c r="AY65" i="9" s="1"/>
  <c r="BK65" i="9"/>
  <c r="Y112" i="9"/>
  <c r="AJ135" i="9"/>
  <c r="BK135" i="9"/>
  <c r="BM135" i="9" s="1"/>
  <c r="AJ131" i="9"/>
  <c r="BK131" i="9"/>
  <c r="BM131" i="9" s="1"/>
  <c r="AJ125" i="9"/>
  <c r="BK125" i="9"/>
  <c r="BM125" i="9" s="1"/>
  <c r="AJ130" i="9"/>
  <c r="BK130" i="9"/>
  <c r="BM130" i="9" s="1"/>
  <c r="AJ137" i="9"/>
  <c r="BK137" i="9"/>
  <c r="BM137" i="9" s="1"/>
  <c r="W112" i="9"/>
  <c r="AJ127" i="9"/>
  <c r="BK127" i="9"/>
  <c r="BM127" i="9" s="1"/>
  <c r="AJ129" i="9"/>
  <c r="BK129" i="9"/>
  <c r="BM129" i="9" s="1"/>
  <c r="AJ121" i="9"/>
  <c r="AY121" i="9" s="1"/>
  <c r="BK121" i="9"/>
  <c r="AY135" i="9" l="1"/>
  <c r="BA135" i="9" s="1"/>
  <c r="BD135" i="9" s="1"/>
  <c r="BS135" i="9"/>
  <c r="BR135" i="9"/>
  <c r="BP135" i="9"/>
  <c r="BQ135" i="9"/>
  <c r="BT135" i="9"/>
  <c r="AY129" i="9"/>
  <c r="BA129" i="9" s="1"/>
  <c r="BD129" i="9" s="1"/>
  <c r="BT129" i="9"/>
  <c r="BP129" i="9"/>
  <c r="BS129" i="9"/>
  <c r="BR129" i="9"/>
  <c r="BQ129" i="9"/>
  <c r="AY137" i="9"/>
  <c r="BA137" i="9" s="1"/>
  <c r="BD137" i="9" s="1"/>
  <c r="BP137" i="9"/>
  <c r="BR137" i="9"/>
  <c r="BT137" i="9"/>
  <c r="BQ137" i="9"/>
  <c r="BS137" i="9"/>
  <c r="AY130" i="9"/>
  <c r="BA130" i="9" s="1"/>
  <c r="BD130" i="9" s="1"/>
  <c r="BS130" i="9"/>
  <c r="BR130" i="9"/>
  <c r="BT130" i="9"/>
  <c r="BP130" i="9"/>
  <c r="BQ130" i="9"/>
  <c r="AY127" i="9"/>
  <c r="BA127" i="9" s="1"/>
  <c r="BD127" i="9" s="1"/>
  <c r="BS127" i="9"/>
  <c r="BT127" i="9"/>
  <c r="BR127" i="9"/>
  <c r="BP127" i="9"/>
  <c r="BQ127" i="9"/>
  <c r="AY125" i="9"/>
  <c r="BA125" i="9" s="1"/>
  <c r="BD125" i="9" s="1"/>
  <c r="BQ125" i="9"/>
  <c r="BR125" i="9"/>
  <c r="BS125" i="9"/>
  <c r="BT125" i="9"/>
  <c r="BP125" i="9"/>
  <c r="AY131" i="9"/>
  <c r="BA131" i="9" s="1"/>
  <c r="BD131" i="9" s="1"/>
  <c r="BU131" i="9"/>
  <c r="V211" i="10" s="1"/>
  <c r="BQ131" i="9"/>
  <c r="BT131" i="9"/>
  <c r="BS131" i="9"/>
  <c r="BR131" i="9"/>
  <c r="BP131" i="9"/>
  <c r="S62" i="9"/>
  <c r="S63" i="9"/>
  <c r="S64" i="9"/>
  <c r="AE64" i="9" s="1"/>
  <c r="S66" i="9"/>
  <c r="AE66" i="9" s="1"/>
  <c r="S67" i="9"/>
  <c r="AE67" i="9" s="1"/>
  <c r="S68" i="9"/>
  <c r="AE68" i="9" s="1"/>
  <c r="S70" i="9"/>
  <c r="AE70" i="9" s="1"/>
  <c r="S71" i="9"/>
  <c r="AE71" i="9" s="1"/>
  <c r="S72" i="9"/>
  <c r="AE72" i="9" s="1"/>
  <c r="S73" i="9"/>
  <c r="AE73" i="9" s="1"/>
  <c r="S74" i="9"/>
  <c r="AE74" i="9" s="1"/>
  <c r="S75" i="9"/>
  <c r="AE75" i="9" s="1"/>
  <c r="S76" i="9"/>
  <c r="S77" i="9"/>
  <c r="S78" i="9"/>
  <c r="AE82" i="9" s="1"/>
  <c r="S79" i="9"/>
  <c r="AE79" i="9" s="1"/>
  <c r="S80" i="9"/>
  <c r="S81" i="9"/>
  <c r="AE81" i="9" s="1"/>
  <c r="S83" i="9"/>
  <c r="N83" i="9"/>
  <c r="N82" i="9"/>
  <c r="I138" i="9" s="1"/>
  <c r="S138" i="9" s="1"/>
  <c r="N81" i="9"/>
  <c r="X81" i="9" s="1"/>
  <c r="N80" i="9"/>
  <c r="I136" i="9" s="1"/>
  <c r="S136" i="9" s="1"/>
  <c r="N79" i="9"/>
  <c r="N78" i="9"/>
  <c r="N77" i="9"/>
  <c r="N76" i="9"/>
  <c r="N75" i="9"/>
  <c r="X75" i="9" s="1"/>
  <c r="N74" i="9"/>
  <c r="N73" i="9"/>
  <c r="X73" i="9" s="1"/>
  <c r="N72" i="9"/>
  <c r="N71" i="9"/>
  <c r="N70" i="9"/>
  <c r="N69" i="9"/>
  <c r="X69" i="9" s="1"/>
  <c r="N68" i="9"/>
  <c r="N67" i="9"/>
  <c r="X67" i="9" s="1"/>
  <c r="N66" i="9"/>
  <c r="N65" i="9"/>
  <c r="N64" i="9"/>
  <c r="X64" i="9" s="1"/>
  <c r="N63" i="9"/>
  <c r="X63" i="9" s="1"/>
  <c r="N62" i="9"/>
  <c r="U80" i="9"/>
  <c r="U81" i="9"/>
  <c r="AG81" i="9" s="1"/>
  <c r="V66" i="9"/>
  <c r="AH66" i="9" s="1"/>
  <c r="V67" i="9"/>
  <c r="AH67" i="9" s="1"/>
  <c r="V68" i="9"/>
  <c r="AH68" i="9" s="1"/>
  <c r="T79" i="9"/>
  <c r="AF79" i="9" s="1"/>
  <c r="T67" i="9"/>
  <c r="AF67" i="9" s="1"/>
  <c r="T68" i="9"/>
  <c r="AF68" i="9" s="1"/>
  <c r="T69" i="9"/>
  <c r="AF69" i="9" s="1"/>
  <c r="Q80" i="9"/>
  <c r="AC80" i="9" s="1"/>
  <c r="P68" i="9"/>
  <c r="AB68" i="9" s="1"/>
  <c r="P69" i="9"/>
  <c r="AB69" i="9" s="1"/>
  <c r="P70" i="9"/>
  <c r="AB70" i="9" s="1"/>
  <c r="P71" i="9"/>
  <c r="AB71" i="9" s="1"/>
  <c r="P72" i="9"/>
  <c r="AB72" i="9" s="1"/>
  <c r="P73" i="9"/>
  <c r="AB73" i="9" s="1"/>
  <c r="P74" i="9"/>
  <c r="AB74" i="9" s="1"/>
  <c r="P75" i="9"/>
  <c r="AB75" i="9" s="1"/>
  <c r="P76" i="9"/>
  <c r="P77" i="9"/>
  <c r="P78" i="9"/>
  <c r="P79" i="9"/>
  <c r="AB79" i="9" s="1"/>
  <c r="Q62" i="9"/>
  <c r="W62" i="9" s="1"/>
  <c r="W87" i="9" s="1"/>
  <c r="P62" i="9"/>
  <c r="X83" i="9"/>
  <c r="V83" i="9"/>
  <c r="U83" i="9"/>
  <c r="T83" i="9"/>
  <c r="Q83" i="9"/>
  <c r="P83" i="9"/>
  <c r="W83" i="9" s="1"/>
  <c r="Y83" i="9" s="1"/>
  <c r="X82" i="9"/>
  <c r="U82" i="9"/>
  <c r="T82" i="9"/>
  <c r="AF82" i="9" s="1"/>
  <c r="P82" i="9"/>
  <c r="V81" i="9"/>
  <c r="AH81" i="9" s="1"/>
  <c r="T81" i="9"/>
  <c r="AF81" i="9" s="1"/>
  <c r="Q81" i="9"/>
  <c r="AC81" i="9" s="1"/>
  <c r="P81" i="9"/>
  <c r="V80" i="9"/>
  <c r="T80" i="9"/>
  <c r="P80" i="9"/>
  <c r="X79" i="9"/>
  <c r="U79" i="9"/>
  <c r="AG79" i="9" s="1"/>
  <c r="Q79" i="9"/>
  <c r="AC79" i="9" s="1"/>
  <c r="V78" i="9"/>
  <c r="AH82" i="9" s="1"/>
  <c r="U78" i="9"/>
  <c r="V77" i="9"/>
  <c r="U77" i="9"/>
  <c r="T77" i="9"/>
  <c r="Q77" i="9"/>
  <c r="T76" i="9"/>
  <c r="Q76" i="9"/>
  <c r="V75" i="9"/>
  <c r="AH75" i="9" s="1"/>
  <c r="U75" i="9"/>
  <c r="AG75" i="9" s="1"/>
  <c r="T75" i="9"/>
  <c r="AF75" i="9" s="1"/>
  <c r="Q75" i="9"/>
  <c r="AC75" i="9" s="1"/>
  <c r="X74" i="9"/>
  <c r="V74" i="9"/>
  <c r="AH74" i="9" s="1"/>
  <c r="U74" i="9"/>
  <c r="AG74" i="9" s="1"/>
  <c r="T74" i="9"/>
  <c r="AF74" i="9" s="1"/>
  <c r="Q74" i="9"/>
  <c r="AC74" i="9" s="1"/>
  <c r="V73" i="9"/>
  <c r="AH73" i="9" s="1"/>
  <c r="U73" i="9"/>
  <c r="AG73" i="9" s="1"/>
  <c r="T73" i="9"/>
  <c r="AF73" i="9" s="1"/>
  <c r="Q73" i="9"/>
  <c r="X72" i="9"/>
  <c r="V72" i="9"/>
  <c r="AH72" i="9" s="1"/>
  <c r="U72" i="9"/>
  <c r="AG72" i="9" s="1"/>
  <c r="T72" i="9"/>
  <c r="AF72" i="9" s="1"/>
  <c r="Q72" i="9"/>
  <c r="AC72" i="9" s="1"/>
  <c r="X71" i="9"/>
  <c r="V71" i="9"/>
  <c r="AH71" i="9" s="1"/>
  <c r="Q71" i="9"/>
  <c r="AC71" i="9" s="1"/>
  <c r="X70" i="9"/>
  <c r="V70" i="9"/>
  <c r="AH70" i="9" s="1"/>
  <c r="U70" i="9"/>
  <c r="AG70" i="9" s="1"/>
  <c r="T70" i="9"/>
  <c r="AF70" i="9" s="1"/>
  <c r="Q70" i="9"/>
  <c r="AC70" i="9" s="1"/>
  <c r="W70" i="9"/>
  <c r="Y70" i="9" s="1"/>
  <c r="V69" i="9"/>
  <c r="AH69" i="9" s="1"/>
  <c r="Q69" i="9"/>
  <c r="AC69" i="9" s="1"/>
  <c r="U68" i="9"/>
  <c r="AG68" i="9" s="1"/>
  <c r="Q68" i="9"/>
  <c r="U67" i="9"/>
  <c r="AG67" i="9" s="1"/>
  <c r="Q67" i="9"/>
  <c r="AC67" i="9" s="1"/>
  <c r="P67" i="9"/>
  <c r="X66" i="9"/>
  <c r="U66" i="9"/>
  <c r="AG66" i="9" s="1"/>
  <c r="T66" i="9"/>
  <c r="AF66" i="9" s="1"/>
  <c r="Q66" i="9"/>
  <c r="AC66" i="9" s="1"/>
  <c r="V64" i="9"/>
  <c r="AH64" i="9" s="1"/>
  <c r="U64" i="9"/>
  <c r="AG64" i="9" s="1"/>
  <c r="T64" i="9"/>
  <c r="AF64" i="9" s="1"/>
  <c r="Q64" i="9"/>
  <c r="AC64" i="9" s="1"/>
  <c r="P64" i="9"/>
  <c r="V63" i="9"/>
  <c r="U63" i="9"/>
  <c r="T63" i="9"/>
  <c r="Q63" i="9"/>
  <c r="P63" i="9"/>
  <c r="X62" i="9"/>
  <c r="T62" i="9"/>
  <c r="J84" i="9"/>
  <c r="I84" i="9"/>
  <c r="H84" i="9"/>
  <c r="G84" i="9"/>
  <c r="F84" i="9"/>
  <c r="E84" i="9"/>
  <c r="D84" i="9"/>
  <c r="L84" i="9"/>
  <c r="K84" i="9"/>
  <c r="N53" i="9"/>
  <c r="X53" i="9" s="1"/>
  <c r="N52" i="9"/>
  <c r="X52" i="9" s="1"/>
  <c r="N51" i="9"/>
  <c r="X51" i="9" s="1"/>
  <c r="N50" i="9"/>
  <c r="N49" i="9"/>
  <c r="X49" i="9" s="1"/>
  <c r="N48" i="9"/>
  <c r="X48" i="9" s="1"/>
  <c r="N47" i="9"/>
  <c r="X47" i="9" s="1"/>
  <c r="N46" i="9"/>
  <c r="X46" i="9" s="1"/>
  <c r="N45" i="9"/>
  <c r="N44" i="9"/>
  <c r="N43" i="9"/>
  <c r="X43" i="9" s="1"/>
  <c r="N42" i="9"/>
  <c r="N41" i="9"/>
  <c r="X41" i="9" s="1"/>
  <c r="N40" i="9"/>
  <c r="X40" i="9" s="1"/>
  <c r="N39" i="9"/>
  <c r="X39" i="9" s="1"/>
  <c r="N38" i="9"/>
  <c r="X38" i="9" s="1"/>
  <c r="N37" i="9"/>
  <c r="N36" i="9"/>
  <c r="X36" i="9" s="1"/>
  <c r="N35" i="9"/>
  <c r="X35" i="9" s="1"/>
  <c r="N34" i="9"/>
  <c r="N33" i="9"/>
  <c r="N32" i="9"/>
  <c r="F54" i="9"/>
  <c r="G54" i="9"/>
  <c r="H54" i="9"/>
  <c r="I54" i="9"/>
  <c r="J54" i="9"/>
  <c r="E54" i="9"/>
  <c r="D54" i="9"/>
  <c r="V53" i="9"/>
  <c r="U53" i="9"/>
  <c r="T53" i="9"/>
  <c r="R53" i="9"/>
  <c r="Q53" i="9"/>
  <c r="P53" i="9"/>
  <c r="V52" i="9"/>
  <c r="AH52" i="9" s="1"/>
  <c r="U52" i="9"/>
  <c r="T52" i="9"/>
  <c r="AF52" i="9" s="1"/>
  <c r="R52" i="9"/>
  <c r="Q52" i="9"/>
  <c r="P52" i="9"/>
  <c r="V51" i="9"/>
  <c r="AH51" i="9" s="1"/>
  <c r="U51" i="9"/>
  <c r="AG51" i="9" s="1"/>
  <c r="T51" i="9"/>
  <c r="AF51" i="9" s="1"/>
  <c r="R51" i="9"/>
  <c r="AD51" i="9" s="1"/>
  <c r="Q51" i="9"/>
  <c r="AC51" i="9" s="1"/>
  <c r="P51" i="9"/>
  <c r="X50" i="9"/>
  <c r="V50" i="9"/>
  <c r="T50" i="9"/>
  <c r="R50" i="9"/>
  <c r="P50" i="9"/>
  <c r="V49" i="9"/>
  <c r="AH49" i="9" s="1"/>
  <c r="U49" i="9"/>
  <c r="AG49" i="9" s="1"/>
  <c r="T49" i="9"/>
  <c r="AF49" i="9" s="1"/>
  <c r="R49" i="9"/>
  <c r="AD49" i="9" s="1"/>
  <c r="Q49" i="9"/>
  <c r="AC49" i="9" s="1"/>
  <c r="P49" i="9"/>
  <c r="V48" i="9"/>
  <c r="U48" i="9"/>
  <c r="R48" i="9"/>
  <c r="Q48" i="9"/>
  <c r="V47" i="9"/>
  <c r="T47" i="9"/>
  <c r="R47" i="9"/>
  <c r="Q47" i="9"/>
  <c r="P47" i="9"/>
  <c r="V46" i="9"/>
  <c r="U46" i="9"/>
  <c r="T46" i="9"/>
  <c r="R46" i="9"/>
  <c r="AD46" i="9" s="1"/>
  <c r="Q46" i="9"/>
  <c r="P46" i="9"/>
  <c r="X45" i="9"/>
  <c r="V45" i="9"/>
  <c r="AH45" i="9" s="1"/>
  <c r="U45" i="9"/>
  <c r="AG45" i="9" s="1"/>
  <c r="T45" i="9"/>
  <c r="AF45" i="9" s="1"/>
  <c r="R45" i="9"/>
  <c r="AD45" i="9" s="1"/>
  <c r="Q45" i="9"/>
  <c r="AC45" i="9" s="1"/>
  <c r="P45" i="9"/>
  <c r="X44" i="9"/>
  <c r="V44" i="9"/>
  <c r="AH44" i="9" s="1"/>
  <c r="U44" i="9"/>
  <c r="AG44" i="9" s="1"/>
  <c r="T44" i="9"/>
  <c r="AF44" i="9" s="1"/>
  <c r="R44" i="9"/>
  <c r="AD44" i="9" s="1"/>
  <c r="Q44" i="9"/>
  <c r="AC44" i="9" s="1"/>
  <c r="P44" i="9"/>
  <c r="T43" i="9"/>
  <c r="AF43" i="9" s="1"/>
  <c r="R43" i="9"/>
  <c r="AD43" i="9" s="1"/>
  <c r="Q43" i="9"/>
  <c r="AC43" i="9" s="1"/>
  <c r="X42" i="9"/>
  <c r="V42" i="9"/>
  <c r="AH42" i="9" s="1"/>
  <c r="U42" i="9"/>
  <c r="AG42" i="9" s="1"/>
  <c r="T42" i="9"/>
  <c r="AF42" i="9" s="1"/>
  <c r="R42" i="9"/>
  <c r="AD42" i="9" s="1"/>
  <c r="Q42" i="9"/>
  <c r="AC42" i="9" s="1"/>
  <c r="P42" i="9"/>
  <c r="V41" i="9"/>
  <c r="AH41" i="9" s="1"/>
  <c r="U41" i="9"/>
  <c r="AG41" i="9" s="1"/>
  <c r="T41" i="9"/>
  <c r="AF41" i="9" s="1"/>
  <c r="R41" i="9"/>
  <c r="AD41" i="9" s="1"/>
  <c r="Q41" i="9"/>
  <c r="AC41" i="9" s="1"/>
  <c r="P41" i="9"/>
  <c r="V40" i="9"/>
  <c r="AH40" i="9" s="1"/>
  <c r="U40" i="9"/>
  <c r="AG40" i="9" s="1"/>
  <c r="T40" i="9"/>
  <c r="AF40" i="9" s="1"/>
  <c r="R40" i="9"/>
  <c r="AD40" i="9" s="1"/>
  <c r="Q40" i="9"/>
  <c r="AC40" i="9" s="1"/>
  <c r="P40" i="9"/>
  <c r="V39" i="9"/>
  <c r="AH39" i="9" s="1"/>
  <c r="U39" i="9"/>
  <c r="AG39" i="9" s="1"/>
  <c r="T39" i="9"/>
  <c r="AF39" i="9" s="1"/>
  <c r="R39" i="9"/>
  <c r="AD39" i="9" s="1"/>
  <c r="Q39" i="9"/>
  <c r="AC39" i="9" s="1"/>
  <c r="P39" i="9"/>
  <c r="V38" i="9"/>
  <c r="AH38" i="9" s="1"/>
  <c r="U38" i="9"/>
  <c r="AG38" i="9" s="1"/>
  <c r="R38" i="9"/>
  <c r="AD38" i="9" s="1"/>
  <c r="Q38" i="9"/>
  <c r="X37" i="9"/>
  <c r="U37" i="9"/>
  <c r="AG37" i="9" s="1"/>
  <c r="T37" i="9"/>
  <c r="AF37" i="9" s="1"/>
  <c r="R37" i="9"/>
  <c r="AD37" i="9" s="1"/>
  <c r="Q37" i="9"/>
  <c r="AC37" i="9" s="1"/>
  <c r="P37" i="9"/>
  <c r="U36" i="9"/>
  <c r="AG36" i="9" s="1"/>
  <c r="T36" i="9"/>
  <c r="AF36" i="9" s="1"/>
  <c r="R36" i="9"/>
  <c r="AD36" i="9" s="1"/>
  <c r="Q36" i="9"/>
  <c r="AC36" i="9" s="1"/>
  <c r="P36" i="9"/>
  <c r="V35" i="9"/>
  <c r="AH35" i="9" s="1"/>
  <c r="U35" i="9"/>
  <c r="AG35" i="9" s="1"/>
  <c r="T35" i="9"/>
  <c r="AF35" i="9" s="1"/>
  <c r="R35" i="9"/>
  <c r="AD35" i="9" s="1"/>
  <c r="Q35" i="9"/>
  <c r="AC35" i="9" s="1"/>
  <c r="P35" i="9"/>
  <c r="V34" i="9"/>
  <c r="AH34" i="9" s="1"/>
  <c r="U34" i="9"/>
  <c r="AG34" i="9" s="1"/>
  <c r="T34" i="9"/>
  <c r="AF34" i="9" s="1"/>
  <c r="R34" i="9"/>
  <c r="AD34" i="9" s="1"/>
  <c r="Q34" i="9"/>
  <c r="AC34" i="9" s="1"/>
  <c r="P34" i="9"/>
  <c r="X33" i="9"/>
  <c r="V33" i="9"/>
  <c r="U33" i="9"/>
  <c r="AG33" i="9" s="1"/>
  <c r="T33" i="9"/>
  <c r="R33" i="9"/>
  <c r="Q33" i="9"/>
  <c r="P33" i="9"/>
  <c r="X32" i="9"/>
  <c r="V32" i="9"/>
  <c r="AH32" i="9" s="1"/>
  <c r="T32" i="9"/>
  <c r="R32" i="9"/>
  <c r="V31" i="9"/>
  <c r="AH31" i="9" s="1"/>
  <c r="T31" i="9"/>
  <c r="AF31" i="9" s="1"/>
  <c r="S31" i="9"/>
  <c r="AE31" i="9" s="1"/>
  <c r="R31" i="9"/>
  <c r="AD31" i="9" s="1"/>
  <c r="Q31" i="9"/>
  <c r="AC31" i="9" s="1"/>
  <c r="P31" i="9"/>
  <c r="AB31" i="9" s="1"/>
  <c r="AH50" i="9" l="1"/>
  <c r="AG52" i="9"/>
  <c r="W66" i="9"/>
  <c r="W78" i="9"/>
  <c r="W77" i="9"/>
  <c r="AG82" i="9"/>
  <c r="Q54" i="9"/>
  <c r="N54" i="9"/>
  <c r="AF80" i="9"/>
  <c r="AD33" i="9"/>
  <c r="AD52" i="9"/>
  <c r="J133" i="9"/>
  <c r="T133" i="9" s="1"/>
  <c r="F133" i="9"/>
  <c r="AB51" i="9"/>
  <c r="W64" i="9"/>
  <c r="Y64" i="9" s="1"/>
  <c r="AB64" i="9"/>
  <c r="AC77" i="9"/>
  <c r="AC78" i="9"/>
  <c r="AB78" i="9"/>
  <c r="AB77" i="9"/>
  <c r="J122" i="9"/>
  <c r="T122" i="9" s="1"/>
  <c r="AF122" i="9" s="1"/>
  <c r="I122" i="9"/>
  <c r="S122" i="9" s="1"/>
  <c r="F122" i="9"/>
  <c r="I134" i="9"/>
  <c r="S134" i="9" s="1"/>
  <c r="L134" i="9"/>
  <c r="AE76" i="9"/>
  <c r="S84" i="9"/>
  <c r="S87" i="9"/>
  <c r="T205" i="10"/>
  <c r="BK12" i="2"/>
  <c r="U210" i="10"/>
  <c r="BL17" i="2"/>
  <c r="T209" i="10"/>
  <c r="BK16" i="2"/>
  <c r="BL79" i="9"/>
  <c r="AI79" i="9"/>
  <c r="Q205" i="10"/>
  <c r="BH12" i="2"/>
  <c r="BW125" i="9"/>
  <c r="AB36" i="9"/>
  <c r="AB41" i="9"/>
  <c r="AB46" i="9"/>
  <c r="AF48" i="9"/>
  <c r="AF47" i="9"/>
  <c r="W75" i="9"/>
  <c r="Y75" i="9" s="1"/>
  <c r="AF78" i="9"/>
  <c r="AF77" i="9"/>
  <c r="W80" i="9"/>
  <c r="AB80" i="9"/>
  <c r="AB76" i="9"/>
  <c r="G123" i="9"/>
  <c r="Q123" i="9" s="1"/>
  <c r="I123" i="9"/>
  <c r="S123" i="9" s="1"/>
  <c r="AE123" i="9" s="1"/>
  <c r="H123" i="9"/>
  <c r="R123" i="9" s="1"/>
  <c r="AD123" i="9" s="1"/>
  <c r="S205" i="10"/>
  <c r="BJ12" i="2"/>
  <c r="S210" i="10"/>
  <c r="BJ17" i="2"/>
  <c r="Q209" i="10"/>
  <c r="BH16" i="2"/>
  <c r="BW129" i="9"/>
  <c r="L132" i="9"/>
  <c r="K132" i="9"/>
  <c r="J132" i="9"/>
  <c r="T132" i="9" s="1"/>
  <c r="AE63" i="9"/>
  <c r="W73" i="9"/>
  <c r="Y73" i="9" s="1"/>
  <c r="AC73" i="9"/>
  <c r="AG76" i="9"/>
  <c r="AG77" i="9"/>
  <c r="AG78" i="9"/>
  <c r="AI75" i="9"/>
  <c r="BL75" i="9"/>
  <c r="J124" i="9"/>
  <c r="T124" i="9" s="1"/>
  <c r="AF124" i="9" s="1"/>
  <c r="I124" i="9"/>
  <c r="S124" i="9" s="1"/>
  <c r="AE136" i="9"/>
  <c r="W136" i="9"/>
  <c r="Y136" i="9" s="1"/>
  <c r="R205" i="10"/>
  <c r="BI12" i="2"/>
  <c r="T210" i="10"/>
  <c r="BK17" i="2"/>
  <c r="U209" i="10"/>
  <c r="BL16" i="2"/>
  <c r="W68" i="9"/>
  <c r="AC68" i="9"/>
  <c r="AI68" i="9" s="1"/>
  <c r="AH78" i="9"/>
  <c r="AH77" i="9"/>
  <c r="AH76" i="9"/>
  <c r="AH80" i="9"/>
  <c r="AI74" i="9"/>
  <c r="BL74" i="9"/>
  <c r="BH18" i="2"/>
  <c r="Q211" i="10"/>
  <c r="BW131" i="9"/>
  <c r="Q210" i="10"/>
  <c r="BH17" i="2"/>
  <c r="BW130" i="9"/>
  <c r="AC46" i="9"/>
  <c r="AC50" i="9"/>
  <c r="X34" i="9"/>
  <c r="X54" i="9" s="1"/>
  <c r="T84" i="9"/>
  <c r="T87" i="9"/>
  <c r="AF118" i="9" s="1"/>
  <c r="W71" i="9"/>
  <c r="Y71" i="9" s="1"/>
  <c r="X77" i="9"/>
  <c r="Y77" i="9" s="1"/>
  <c r="X80" i="9"/>
  <c r="AI73" i="9"/>
  <c r="BL73" i="9"/>
  <c r="F126" i="9"/>
  <c r="P126" i="9" s="1"/>
  <c r="I126" i="9"/>
  <c r="S126" i="9" s="1"/>
  <c r="AE126" i="9" s="1"/>
  <c r="G126" i="9"/>
  <c r="Q126" i="9" s="1"/>
  <c r="AC126" i="9" s="1"/>
  <c r="AE138" i="9"/>
  <c r="W138" i="9"/>
  <c r="Y138" i="9" s="1"/>
  <c r="S211" i="10"/>
  <c r="BJ18" i="2"/>
  <c r="R207" i="10"/>
  <c r="BI14" i="2"/>
  <c r="T217" i="10"/>
  <c r="BK24" i="2"/>
  <c r="BL22" i="2"/>
  <c r="U215" i="10"/>
  <c r="R209" i="10"/>
  <c r="BI16" i="2"/>
  <c r="U205" i="10"/>
  <c r="BL12" i="2"/>
  <c r="AF33" i="9"/>
  <c r="AB35" i="9"/>
  <c r="AB40" i="9"/>
  <c r="BL43" i="9"/>
  <c r="AB45" i="9"/>
  <c r="AF46" i="9"/>
  <c r="X68" i="9"/>
  <c r="X84" i="9" s="1"/>
  <c r="W81" i="9"/>
  <c r="Y81" i="9" s="1"/>
  <c r="AB81" i="9"/>
  <c r="BL72" i="9"/>
  <c r="AI72" i="9"/>
  <c r="K127" i="9"/>
  <c r="J127" i="9"/>
  <c r="I127" i="9"/>
  <c r="BK18" i="2"/>
  <c r="T211" i="10"/>
  <c r="Q207" i="10"/>
  <c r="BH14" i="2"/>
  <c r="BW127" i="9"/>
  <c r="BW137" i="9"/>
  <c r="R217" i="10"/>
  <c r="BI24" i="2"/>
  <c r="BI22" i="2"/>
  <c r="R215" i="10"/>
  <c r="T54" i="9"/>
  <c r="W82" i="9"/>
  <c r="Y82" i="9" s="1"/>
  <c r="AB82" i="9"/>
  <c r="AE77" i="9"/>
  <c r="AE78" i="9"/>
  <c r="AH47" i="9"/>
  <c r="AH48" i="9"/>
  <c r="AB50" i="9"/>
  <c r="W63" i="9"/>
  <c r="Y63" i="9" s="1"/>
  <c r="Y66" i="9"/>
  <c r="W69" i="9"/>
  <c r="Y69" i="9" s="1"/>
  <c r="BL71" i="9"/>
  <c r="AI71" i="9"/>
  <c r="G128" i="9"/>
  <c r="Q128" i="9" s="1"/>
  <c r="K128" i="9"/>
  <c r="U128" i="9" s="1"/>
  <c r="U211" i="10"/>
  <c r="BL18" i="2"/>
  <c r="S207" i="10"/>
  <c r="BJ14" i="2"/>
  <c r="U217" i="10"/>
  <c r="BL24" i="2"/>
  <c r="BH22" i="2"/>
  <c r="BW135" i="9"/>
  <c r="Q215" i="10"/>
  <c r="AB49" i="9"/>
  <c r="G120" i="9"/>
  <c r="Q120" i="9" s="1"/>
  <c r="I120" i="9"/>
  <c r="S120" i="9" s="1"/>
  <c r="AE120" i="9" s="1"/>
  <c r="AC38" i="9"/>
  <c r="W32" i="9"/>
  <c r="AH46" i="9"/>
  <c r="AD50" i="9"/>
  <c r="Q84" i="9"/>
  <c r="AC63" i="9"/>
  <c r="BL66" i="9"/>
  <c r="AI66" i="9"/>
  <c r="W74" i="9"/>
  <c r="Y74" i="9" s="1"/>
  <c r="W76" i="9"/>
  <c r="AI70" i="9"/>
  <c r="AG80" i="9"/>
  <c r="BI18" i="2"/>
  <c r="R211" i="10"/>
  <c r="U207" i="10"/>
  <c r="BL14" i="2"/>
  <c r="S217" i="10"/>
  <c r="BJ24" i="2"/>
  <c r="BJ22" i="2"/>
  <c r="S215" i="10"/>
  <c r="AH63" i="9"/>
  <c r="V84" i="9"/>
  <c r="X76" i="9"/>
  <c r="R210" i="10"/>
  <c r="BI17" i="2"/>
  <c r="S209" i="10"/>
  <c r="BJ16" i="2"/>
  <c r="AH33" i="9"/>
  <c r="R54" i="9"/>
  <c r="AD32" i="9"/>
  <c r="AB37" i="9"/>
  <c r="AB52" i="9"/>
  <c r="W72" i="9"/>
  <c r="Y72" i="9" s="1"/>
  <c r="AC76" i="9"/>
  <c r="X78" i="9"/>
  <c r="Y78" i="9" s="1"/>
  <c r="AB62" i="9"/>
  <c r="P87" i="9"/>
  <c r="AB33" i="9" s="1"/>
  <c r="BL69" i="9"/>
  <c r="AI69" i="9"/>
  <c r="AE80" i="9"/>
  <c r="T207" i="10"/>
  <c r="BK14" i="2"/>
  <c r="Q217" i="10"/>
  <c r="BH24" i="2"/>
  <c r="T215" i="10"/>
  <c r="BK22" i="2"/>
  <c r="AC47" i="9"/>
  <c r="AC48" i="9"/>
  <c r="AD47" i="9"/>
  <c r="AD48" i="9"/>
  <c r="W67" i="9"/>
  <c r="Y67" i="9" s="1"/>
  <c r="AB67" i="9"/>
  <c r="AB34" i="9"/>
  <c r="AB39" i="9"/>
  <c r="AB42" i="9"/>
  <c r="AB44" i="9"/>
  <c r="AB47" i="9"/>
  <c r="AB48" i="9"/>
  <c r="AF50" i="9"/>
  <c r="AC52" i="9"/>
  <c r="AG63" i="9"/>
  <c r="U84" i="9"/>
  <c r="AF76" i="9"/>
  <c r="W79" i="9"/>
  <c r="Y79" i="9" s="1"/>
  <c r="Q87" i="9"/>
  <c r="BL68" i="9"/>
  <c r="L119" i="9"/>
  <c r="H119" i="9"/>
  <c r="I119" i="9"/>
  <c r="J119" i="9"/>
  <c r="G119" i="9"/>
  <c r="Y62" i="9"/>
  <c r="P84" i="9"/>
  <c r="Y32" i="9"/>
  <c r="P54" i="9"/>
  <c r="P6" i="9"/>
  <c r="Q6" i="9"/>
  <c r="R6" i="9"/>
  <c r="T6" i="9"/>
  <c r="U6" i="9"/>
  <c r="V6" i="9"/>
  <c r="P7" i="9"/>
  <c r="AB7" i="9" s="1"/>
  <c r="Q7" i="9"/>
  <c r="AC7" i="9" s="1"/>
  <c r="R7" i="9"/>
  <c r="AD7" i="9" s="1"/>
  <c r="T7" i="9"/>
  <c r="AF7" i="9" s="1"/>
  <c r="U7" i="9"/>
  <c r="AG7" i="9" s="1"/>
  <c r="V7" i="9"/>
  <c r="AH7" i="9" s="1"/>
  <c r="X7" i="9"/>
  <c r="P8" i="9"/>
  <c r="AB8" i="9" s="1"/>
  <c r="Q8" i="9"/>
  <c r="AC8" i="9" s="1"/>
  <c r="R8" i="9"/>
  <c r="AD8" i="9" s="1"/>
  <c r="T8" i="9"/>
  <c r="AF8" i="9" s="1"/>
  <c r="U8" i="9"/>
  <c r="AG8" i="9" s="1"/>
  <c r="V8" i="9"/>
  <c r="AH8" i="9" s="1"/>
  <c r="P9" i="9"/>
  <c r="AB9" i="9" s="1"/>
  <c r="Q9" i="9"/>
  <c r="AC9" i="9" s="1"/>
  <c r="R9" i="9"/>
  <c r="AD9" i="9" s="1"/>
  <c r="T9" i="9"/>
  <c r="AF9" i="9" s="1"/>
  <c r="U9" i="9"/>
  <c r="AG9" i="9" s="1"/>
  <c r="P10" i="9"/>
  <c r="AB10" i="9" s="1"/>
  <c r="Q10" i="9"/>
  <c r="AC10" i="9" s="1"/>
  <c r="R10" i="9"/>
  <c r="AD10" i="9" s="1"/>
  <c r="T10" i="9"/>
  <c r="AF10" i="9" s="1"/>
  <c r="U10" i="9"/>
  <c r="AG10" i="9" s="1"/>
  <c r="Q11" i="9"/>
  <c r="AC11" i="9" s="1"/>
  <c r="R11" i="9"/>
  <c r="AD11" i="9" s="1"/>
  <c r="U11" i="9"/>
  <c r="AG11" i="9" s="1"/>
  <c r="V11" i="9"/>
  <c r="AH11" i="9" s="1"/>
  <c r="P12" i="9"/>
  <c r="AB12" i="9" s="1"/>
  <c r="Q12" i="9"/>
  <c r="AC12" i="9" s="1"/>
  <c r="R12" i="9"/>
  <c r="AD12" i="9" s="1"/>
  <c r="T12" i="9"/>
  <c r="AF12" i="9" s="1"/>
  <c r="U12" i="9"/>
  <c r="AG12" i="9" s="1"/>
  <c r="V12" i="9"/>
  <c r="AH12" i="9" s="1"/>
  <c r="X12" i="9"/>
  <c r="P13" i="9"/>
  <c r="AB13" i="9" s="1"/>
  <c r="Q13" i="9"/>
  <c r="AC13" i="9" s="1"/>
  <c r="R13" i="9"/>
  <c r="AD13" i="9" s="1"/>
  <c r="T13" i="9"/>
  <c r="AF13" i="9" s="1"/>
  <c r="U13" i="9"/>
  <c r="AG13" i="9" s="1"/>
  <c r="V13" i="9"/>
  <c r="AH13" i="9" s="1"/>
  <c r="P14" i="9"/>
  <c r="AB14" i="9" s="1"/>
  <c r="Q14" i="9"/>
  <c r="AC14" i="9" s="1"/>
  <c r="R14" i="9"/>
  <c r="AD14" i="9" s="1"/>
  <c r="T14" i="9"/>
  <c r="AF14" i="9" s="1"/>
  <c r="U14" i="9"/>
  <c r="AG14" i="9" s="1"/>
  <c r="V14" i="9"/>
  <c r="AH14" i="9" s="1"/>
  <c r="P15" i="9"/>
  <c r="AB15" i="9" s="1"/>
  <c r="Q15" i="9"/>
  <c r="AC15" i="9" s="1"/>
  <c r="R15" i="9"/>
  <c r="AD15" i="9" s="1"/>
  <c r="T15" i="9"/>
  <c r="AF15" i="9" s="1"/>
  <c r="U15" i="9"/>
  <c r="AG15" i="9" s="1"/>
  <c r="V15" i="9"/>
  <c r="AH15" i="9" s="1"/>
  <c r="P16" i="9"/>
  <c r="AB16" i="9" s="1"/>
  <c r="Q16" i="9"/>
  <c r="AC16" i="9" s="1"/>
  <c r="R16" i="9"/>
  <c r="AD16" i="9" s="1"/>
  <c r="T16" i="9"/>
  <c r="AF16" i="9" s="1"/>
  <c r="U16" i="9"/>
  <c r="AG16" i="9" s="1"/>
  <c r="V16" i="9"/>
  <c r="AH16" i="9" s="1"/>
  <c r="X16" i="9"/>
  <c r="P17" i="9"/>
  <c r="AB17" i="9" s="1"/>
  <c r="Q17" i="9"/>
  <c r="AC17" i="9" s="1"/>
  <c r="R17" i="9"/>
  <c r="AD17" i="9" s="1"/>
  <c r="T17" i="9"/>
  <c r="AF17" i="9" s="1"/>
  <c r="U17" i="9"/>
  <c r="AG17" i="9" s="1"/>
  <c r="V17" i="9"/>
  <c r="AH17" i="9" s="1"/>
  <c r="P18" i="9"/>
  <c r="AB18" i="9" s="1"/>
  <c r="Q18" i="9"/>
  <c r="AC18" i="9" s="1"/>
  <c r="R18" i="9"/>
  <c r="AD18" i="9" s="1"/>
  <c r="T18" i="9"/>
  <c r="AF18" i="9" s="1"/>
  <c r="U18" i="9"/>
  <c r="AG18" i="9" s="1"/>
  <c r="V18" i="9"/>
  <c r="AH18" i="9" s="1"/>
  <c r="P19" i="9"/>
  <c r="AB19" i="9" s="1"/>
  <c r="Q19" i="9"/>
  <c r="R19" i="9"/>
  <c r="T19" i="9"/>
  <c r="U19" i="9"/>
  <c r="V19" i="9"/>
  <c r="P20" i="9"/>
  <c r="Q20" i="9"/>
  <c r="R20" i="9"/>
  <c r="T20" i="9"/>
  <c r="U20" i="9"/>
  <c r="V20" i="9"/>
  <c r="Q21" i="9"/>
  <c r="R21" i="9"/>
  <c r="P22" i="9"/>
  <c r="AB22" i="9" s="1"/>
  <c r="Q22" i="9"/>
  <c r="AC22" i="9" s="1"/>
  <c r="R22" i="9"/>
  <c r="AD22" i="9" s="1"/>
  <c r="T22" i="9"/>
  <c r="AF22" i="9" s="1"/>
  <c r="U22" i="9"/>
  <c r="AG22" i="9" s="1"/>
  <c r="V22" i="9"/>
  <c r="AH22" i="9" s="1"/>
  <c r="P23" i="9"/>
  <c r="Q23" i="9"/>
  <c r="R23" i="9"/>
  <c r="T23" i="9"/>
  <c r="U23" i="9"/>
  <c r="V23" i="9"/>
  <c r="P24" i="9"/>
  <c r="AB24" i="9" s="1"/>
  <c r="Q24" i="9"/>
  <c r="AC24" i="9" s="1"/>
  <c r="R24" i="9"/>
  <c r="AD24" i="9" s="1"/>
  <c r="T24" i="9"/>
  <c r="AF24" i="9" s="1"/>
  <c r="U24" i="9"/>
  <c r="AG24" i="9" s="1"/>
  <c r="V24" i="9"/>
  <c r="AH24" i="9" s="1"/>
  <c r="X24" i="9"/>
  <c r="P25" i="9"/>
  <c r="AB25" i="9" s="1"/>
  <c r="Q25" i="9"/>
  <c r="R25" i="9"/>
  <c r="AD25" i="9" s="1"/>
  <c r="T25" i="9"/>
  <c r="AF25" i="9" s="1"/>
  <c r="U25" i="9"/>
  <c r="V25" i="9"/>
  <c r="P26" i="9"/>
  <c r="Q26" i="9"/>
  <c r="R26" i="9"/>
  <c r="T26" i="9"/>
  <c r="U26" i="9"/>
  <c r="V26" i="9"/>
  <c r="S2" i="9"/>
  <c r="S6" i="9" s="1"/>
  <c r="V5" i="9"/>
  <c r="AH5" i="9" s="1"/>
  <c r="U5" i="9"/>
  <c r="AG5" i="9" s="1"/>
  <c r="T5" i="9"/>
  <c r="AF5" i="9" s="1"/>
  <c r="Q4" i="9"/>
  <c r="AC4" i="9" s="1"/>
  <c r="R4" i="9"/>
  <c r="AD4" i="9" s="1"/>
  <c r="S4" i="9"/>
  <c r="AE4" i="9" s="1"/>
  <c r="T4" i="9"/>
  <c r="AF4" i="9" s="1"/>
  <c r="V4" i="9"/>
  <c r="AH4" i="9" s="1"/>
  <c r="P4" i="9"/>
  <c r="AB4" i="9" s="1"/>
  <c r="R5" i="9"/>
  <c r="AD5" i="9" s="1"/>
  <c r="Q5" i="9"/>
  <c r="AC5" i="9" s="1"/>
  <c r="P5" i="9"/>
  <c r="AB5" i="9" s="1"/>
  <c r="N8" i="9"/>
  <c r="X8" i="9" s="1"/>
  <c r="N9" i="9"/>
  <c r="X9" i="9" s="1"/>
  <c r="N10" i="9"/>
  <c r="X10" i="9" s="1"/>
  <c r="N11" i="9"/>
  <c r="X11" i="9" s="1"/>
  <c r="N12" i="9"/>
  <c r="N13" i="9"/>
  <c r="X13" i="9" s="1"/>
  <c r="N14" i="9"/>
  <c r="X14" i="9" s="1"/>
  <c r="N15" i="9"/>
  <c r="X15" i="9" s="1"/>
  <c r="N16" i="9"/>
  <c r="N17" i="9"/>
  <c r="X17" i="9" s="1"/>
  <c r="N18" i="9"/>
  <c r="X18" i="9" s="1"/>
  <c r="N19" i="9"/>
  <c r="X19" i="9" s="1"/>
  <c r="N20" i="9"/>
  <c r="X20" i="9" s="1"/>
  <c r="N21" i="9"/>
  <c r="X21" i="9" s="1"/>
  <c r="N22" i="9"/>
  <c r="X22" i="9" s="1"/>
  <c r="N23" i="9"/>
  <c r="X23" i="9" s="1"/>
  <c r="N24" i="9"/>
  <c r="N25" i="9"/>
  <c r="X25" i="9" s="1"/>
  <c r="N26" i="9"/>
  <c r="X26" i="9" s="1"/>
  <c r="N6" i="9"/>
  <c r="X6" i="9" s="1"/>
  <c r="N7" i="9"/>
  <c r="N5" i="9"/>
  <c r="X5" i="9" s="1"/>
  <c r="W6" i="9" l="1"/>
  <c r="S5" i="9"/>
  <c r="AE5" i="9" s="1"/>
  <c r="X217" i="10"/>
  <c r="X27" i="9"/>
  <c r="S11" i="9"/>
  <c r="AE11" i="9" s="1"/>
  <c r="S22" i="9"/>
  <c r="AE22" i="9" s="1"/>
  <c r="S16" i="9"/>
  <c r="S14" i="9"/>
  <c r="AE14" i="9" s="1"/>
  <c r="S10" i="9"/>
  <c r="AE10" i="9" s="1"/>
  <c r="AI10" i="9" s="1"/>
  <c r="AD19" i="9"/>
  <c r="AG23" i="9"/>
  <c r="AC19" i="9"/>
  <c r="AH84" i="9"/>
  <c r="AG84" i="9"/>
  <c r="Y6" i="9"/>
  <c r="R27" i="9"/>
  <c r="R119" i="9"/>
  <c r="H140" i="9"/>
  <c r="AC120" i="9"/>
  <c r="W120" i="9"/>
  <c r="Y120" i="9" s="1"/>
  <c r="AE122" i="9"/>
  <c r="W122" i="9"/>
  <c r="Y122" i="9" s="1"/>
  <c r="BL5" i="9"/>
  <c r="AI5" i="9"/>
  <c r="AF23" i="9"/>
  <c r="AF21" i="9"/>
  <c r="AF20" i="9"/>
  <c r="W11" i="9"/>
  <c r="Y11" i="9" s="1"/>
  <c r="AG6" i="9"/>
  <c r="V119" i="9"/>
  <c r="L140" i="9"/>
  <c r="AJ69" i="9"/>
  <c r="BK69" i="9"/>
  <c r="BM69" i="9" s="1"/>
  <c r="AG128" i="9"/>
  <c r="AG140" i="9" s="1"/>
  <c r="U140" i="9"/>
  <c r="AF32" i="9"/>
  <c r="AJ75" i="9"/>
  <c r="BK75" i="9"/>
  <c r="S37" i="9"/>
  <c r="S50" i="9"/>
  <c r="S45" i="9"/>
  <c r="S40" i="9"/>
  <c r="S35" i="9"/>
  <c r="S53" i="9"/>
  <c r="W53" i="9" s="1"/>
  <c r="Y53" i="9" s="1"/>
  <c r="S51" i="9"/>
  <c r="S48" i="9"/>
  <c r="W48" i="9" s="1"/>
  <c r="Y48" i="9" s="1"/>
  <c r="S38" i="9"/>
  <c r="S46" i="9"/>
  <c r="S41" i="9"/>
  <c r="S36" i="9"/>
  <c r="S33" i="9"/>
  <c r="S49" i="9"/>
  <c r="S47" i="9"/>
  <c r="S44" i="9"/>
  <c r="S42" i="9"/>
  <c r="S39" i="9"/>
  <c r="S34" i="9"/>
  <c r="S52" i="9"/>
  <c r="S23" i="9"/>
  <c r="W23" i="9" s="1"/>
  <c r="Y23" i="9" s="1"/>
  <c r="S20" i="9"/>
  <c r="S15" i="9"/>
  <c r="AE15" i="9" s="1"/>
  <c r="AF6" i="9"/>
  <c r="AC128" i="9"/>
  <c r="W128" i="9"/>
  <c r="Y128" i="9" s="1"/>
  <c r="AJ74" i="9"/>
  <c r="BK74" i="9"/>
  <c r="BM74" i="9" s="1"/>
  <c r="AF132" i="9"/>
  <c r="AF136" i="9"/>
  <c r="AI136" i="9" s="1"/>
  <c r="W132" i="9"/>
  <c r="Y132" i="9" s="1"/>
  <c r="AD21" i="9"/>
  <c r="AD20" i="9"/>
  <c r="AE6" i="9"/>
  <c r="AJ68" i="9"/>
  <c r="BK68" i="9"/>
  <c r="BM68" i="9" s="1"/>
  <c r="AB32" i="9"/>
  <c r="AB118" i="9"/>
  <c r="AB119" i="9"/>
  <c r="AD54" i="9"/>
  <c r="X215" i="10"/>
  <c r="K140" i="9"/>
  <c r="AI77" i="9"/>
  <c r="BL77" i="9"/>
  <c r="AJ70" i="9"/>
  <c r="BK70" i="9"/>
  <c r="AJ71" i="9"/>
  <c r="BK71" i="9"/>
  <c r="BM71" i="9" s="1"/>
  <c r="X210" i="10"/>
  <c r="AC123" i="9"/>
  <c r="W123" i="9"/>
  <c r="Y123" i="9" s="1"/>
  <c r="AI78" i="9"/>
  <c r="AH23" i="9"/>
  <c r="AD23" i="9"/>
  <c r="AC23" i="9"/>
  <c r="S24" i="9"/>
  <c r="AB23" i="9"/>
  <c r="S21" i="9"/>
  <c r="AB20" i="9"/>
  <c r="AB21" i="9"/>
  <c r="AI15" i="9"/>
  <c r="BL15" i="9"/>
  <c r="S7" i="9"/>
  <c r="AC6" i="9"/>
  <c r="AC32" i="9"/>
  <c r="AC118" i="9"/>
  <c r="AC33" i="9"/>
  <c r="AI138" i="9"/>
  <c r="BL138" i="9"/>
  <c r="AE32" i="9"/>
  <c r="AE118" i="9"/>
  <c r="F140" i="9"/>
  <c r="S119" i="9"/>
  <c r="AE119" i="9" s="1"/>
  <c r="I140" i="9"/>
  <c r="S140" i="9" s="1"/>
  <c r="AI22" i="9"/>
  <c r="BL22" i="9"/>
  <c r="AI14" i="9"/>
  <c r="BL14" i="9"/>
  <c r="AC21" i="9"/>
  <c r="AC20" i="9"/>
  <c r="S17" i="9"/>
  <c r="AI11" i="9"/>
  <c r="BL11" i="9"/>
  <c r="AB6" i="9"/>
  <c r="W84" i="9"/>
  <c r="AC62" i="9"/>
  <c r="Y76" i="9"/>
  <c r="AJ72" i="9"/>
  <c r="BK72" i="9"/>
  <c r="BM72" i="9" s="1"/>
  <c r="AF62" i="9"/>
  <c r="AI76" i="9"/>
  <c r="BL76" i="9"/>
  <c r="X205" i="10"/>
  <c r="AF134" i="9"/>
  <c r="AF133" i="9"/>
  <c r="W133" i="9"/>
  <c r="Y133" i="9" s="1"/>
  <c r="AJ73" i="9"/>
  <c r="BK73" i="9"/>
  <c r="BM73" i="9" s="1"/>
  <c r="Q27" i="9"/>
  <c r="S25" i="9"/>
  <c r="AH19" i="9"/>
  <c r="S8" i="9"/>
  <c r="P27" i="9"/>
  <c r="AI67" i="9"/>
  <c r="BL80" i="9"/>
  <c r="AI80" i="9"/>
  <c r="AE62" i="9"/>
  <c r="W22" i="9"/>
  <c r="Y22" i="9" s="1"/>
  <c r="AG19" i="9"/>
  <c r="S18" i="9"/>
  <c r="AE18" i="9" s="1"/>
  <c r="W14" i="9"/>
  <c r="Y14" i="9" s="1"/>
  <c r="S12" i="9"/>
  <c r="AE12" i="9" s="1"/>
  <c r="AI81" i="9"/>
  <c r="BL81" i="9"/>
  <c r="AB126" i="9"/>
  <c r="P140" i="9"/>
  <c r="W126" i="9"/>
  <c r="Y126" i="9" s="1"/>
  <c r="AE124" i="9"/>
  <c r="W124" i="9"/>
  <c r="Y124" i="9" s="1"/>
  <c r="X209" i="10"/>
  <c r="Y80" i="9"/>
  <c r="BK79" i="9"/>
  <c r="BM79" i="9" s="1"/>
  <c r="AJ79" i="9"/>
  <c r="AH6" i="9"/>
  <c r="AC25" i="9"/>
  <c r="AF19" i="9"/>
  <c r="W10" i="9"/>
  <c r="Y10" i="9" s="1"/>
  <c r="S9" i="9"/>
  <c r="AE9" i="9" s="1"/>
  <c r="T27" i="9"/>
  <c r="Q119" i="9"/>
  <c r="G140" i="9"/>
  <c r="AJ66" i="9"/>
  <c r="BK66" i="9"/>
  <c r="BM66" i="9" s="1"/>
  <c r="AB63" i="9"/>
  <c r="X211" i="10"/>
  <c r="BQ68" i="9"/>
  <c r="R141" i="10" s="1"/>
  <c r="AI64" i="9"/>
  <c r="BL64" i="9"/>
  <c r="BM75" i="9"/>
  <c r="AI9" i="9"/>
  <c r="AD6" i="9"/>
  <c r="S26" i="9"/>
  <c r="W26" i="9" s="1"/>
  <c r="Y26" i="9" s="1"/>
  <c r="W20" i="9"/>
  <c r="Y20" i="9" s="1"/>
  <c r="S19" i="9"/>
  <c r="AE19" i="9" s="1"/>
  <c r="BL19" i="9" s="1"/>
  <c r="W15" i="9"/>
  <c r="Y15" i="9" s="1"/>
  <c r="S13" i="9"/>
  <c r="AE13" i="9" s="1"/>
  <c r="AI13" i="9" s="1"/>
  <c r="T119" i="9"/>
  <c r="J140" i="9"/>
  <c r="AF63" i="9"/>
  <c r="BL82" i="9"/>
  <c r="AI82" i="9"/>
  <c r="X207" i="10"/>
  <c r="Y68" i="9"/>
  <c r="AE133" i="9"/>
  <c r="AE134" i="9"/>
  <c r="W134" i="9"/>
  <c r="Y134" i="9" s="1"/>
  <c r="W5" i="9"/>
  <c r="Y5" i="9" s="1"/>
  <c r="E27" i="9"/>
  <c r="F27" i="9"/>
  <c r="G27" i="9"/>
  <c r="H27" i="9"/>
  <c r="I27" i="9"/>
  <c r="J27" i="9"/>
  <c r="D27" i="9"/>
  <c r="M111" i="9"/>
  <c r="BG138" i="9"/>
  <c r="BF138" i="9"/>
  <c r="M110" i="9"/>
  <c r="BJ138" i="9"/>
  <c r="BG137" i="9"/>
  <c r="BF137" i="9"/>
  <c r="BJ137" i="9"/>
  <c r="M109" i="9"/>
  <c r="BG136" i="9"/>
  <c r="BF136" i="9"/>
  <c r="BJ136" i="9"/>
  <c r="M108" i="9"/>
  <c r="BG135" i="9"/>
  <c r="BF135" i="9"/>
  <c r="BJ135" i="9"/>
  <c r="M107" i="9"/>
  <c r="BG134" i="9"/>
  <c r="BF134" i="9"/>
  <c r="M106" i="9"/>
  <c r="BJ134" i="9"/>
  <c r="BG133" i="9"/>
  <c r="BF133" i="9"/>
  <c r="BJ133" i="9"/>
  <c r="M105" i="9"/>
  <c r="BG132" i="9"/>
  <c r="BF132" i="9"/>
  <c r="BJ132" i="9"/>
  <c r="M104" i="9"/>
  <c r="BG131" i="9"/>
  <c r="BF131" i="9"/>
  <c r="BJ131" i="9"/>
  <c r="M103" i="9"/>
  <c r="BG130" i="9"/>
  <c r="BF130" i="9"/>
  <c r="BJ130" i="9"/>
  <c r="M102" i="9"/>
  <c r="BG129" i="9"/>
  <c r="BF129" i="9"/>
  <c r="BJ129" i="9"/>
  <c r="M101" i="9"/>
  <c r="BG128" i="9"/>
  <c r="BF128" i="9"/>
  <c r="BJ128" i="9"/>
  <c r="M100" i="9"/>
  <c r="BG127" i="9"/>
  <c r="BF127" i="9"/>
  <c r="BJ127" i="9"/>
  <c r="M99" i="9"/>
  <c r="BG126" i="9"/>
  <c r="BF126" i="9"/>
  <c r="BJ126" i="9"/>
  <c r="M98" i="9"/>
  <c r="BG125" i="9"/>
  <c r="BF125" i="9"/>
  <c r="BJ125" i="9"/>
  <c r="M97" i="9"/>
  <c r="BG124" i="9"/>
  <c r="BF124" i="9"/>
  <c r="M96" i="9"/>
  <c r="BJ124" i="9"/>
  <c r="BG123" i="9"/>
  <c r="BF123" i="9"/>
  <c r="BJ123" i="9"/>
  <c r="M95" i="9"/>
  <c r="BG122" i="9"/>
  <c r="BF122" i="9"/>
  <c r="BJ122" i="9"/>
  <c r="M94" i="9"/>
  <c r="BG121" i="9"/>
  <c r="BF121" i="9"/>
  <c r="M93" i="9"/>
  <c r="BJ121" i="9"/>
  <c r="BG120" i="9"/>
  <c r="BF120" i="9"/>
  <c r="BJ120" i="9"/>
  <c r="M92" i="9"/>
  <c r="BG119" i="9"/>
  <c r="BF119" i="9"/>
  <c r="M91" i="9"/>
  <c r="BJ119" i="9"/>
  <c r="BG118" i="9"/>
  <c r="BF118" i="9"/>
  <c r="BJ118" i="9"/>
  <c r="M90" i="9"/>
  <c r="N84" i="9"/>
  <c r="BG82" i="9"/>
  <c r="BF82" i="9"/>
  <c r="BJ82" i="9"/>
  <c r="BG81" i="9"/>
  <c r="BF81" i="9"/>
  <c r="BJ81" i="9"/>
  <c r="BG80" i="9"/>
  <c r="BF80" i="9"/>
  <c r="BG79" i="9"/>
  <c r="BF79" i="9"/>
  <c r="BJ79" i="9"/>
  <c r="BG78" i="9"/>
  <c r="BF78" i="9"/>
  <c r="BJ78" i="9"/>
  <c r="BG77" i="9"/>
  <c r="BF77" i="9"/>
  <c r="BJ77" i="9"/>
  <c r="BG76" i="9"/>
  <c r="BF76" i="9"/>
  <c r="BJ76" i="9"/>
  <c r="BG75" i="9"/>
  <c r="BF75" i="9"/>
  <c r="BJ75" i="9"/>
  <c r="BG74" i="9"/>
  <c r="BF74" i="9"/>
  <c r="BJ74" i="9"/>
  <c r="BG73" i="9"/>
  <c r="BF73" i="9"/>
  <c r="BJ73" i="9"/>
  <c r="BG72" i="9"/>
  <c r="BF72" i="9"/>
  <c r="BJ72" i="9"/>
  <c r="BG71" i="9"/>
  <c r="BF71" i="9"/>
  <c r="BJ71" i="9"/>
  <c r="BG70" i="9"/>
  <c r="BF70" i="9"/>
  <c r="BJ70" i="9"/>
  <c r="BG69" i="9"/>
  <c r="BF69" i="9"/>
  <c r="BJ69" i="9"/>
  <c r="BG68" i="9"/>
  <c r="BF68" i="9"/>
  <c r="BJ68" i="9"/>
  <c r="BG67" i="9"/>
  <c r="BF67" i="9"/>
  <c r="BJ67" i="9"/>
  <c r="BG66" i="9"/>
  <c r="BF66" i="9"/>
  <c r="BJ66" i="9"/>
  <c r="BG65" i="9"/>
  <c r="BF65" i="9"/>
  <c r="BJ65" i="9"/>
  <c r="BG64" i="9"/>
  <c r="BF64" i="9"/>
  <c r="BJ64" i="9"/>
  <c r="BG63" i="9"/>
  <c r="BF63" i="9"/>
  <c r="BJ63" i="9"/>
  <c r="BG62" i="9"/>
  <c r="BF62" i="9"/>
  <c r="BJ62" i="9"/>
  <c r="BG52" i="9"/>
  <c r="BF52" i="9"/>
  <c r="BJ52" i="9"/>
  <c r="BG51" i="9"/>
  <c r="BF51" i="9"/>
  <c r="BJ51" i="9"/>
  <c r="BG50" i="9"/>
  <c r="BF50" i="9"/>
  <c r="K50" i="9"/>
  <c r="BJ50" i="9"/>
  <c r="BG49" i="9"/>
  <c r="BF49" i="9"/>
  <c r="BJ49" i="9"/>
  <c r="BG48" i="9"/>
  <c r="BF48" i="9"/>
  <c r="BJ48" i="9"/>
  <c r="BG47" i="9"/>
  <c r="BF47" i="9"/>
  <c r="K47" i="9"/>
  <c r="BJ47" i="9"/>
  <c r="BG46" i="9"/>
  <c r="BF46" i="9"/>
  <c r="BJ46" i="9"/>
  <c r="BG45" i="9"/>
  <c r="BF45" i="9"/>
  <c r="BJ45" i="9"/>
  <c r="BG44" i="9"/>
  <c r="BF44" i="9"/>
  <c r="BJ44" i="9"/>
  <c r="BG43" i="9"/>
  <c r="BF43" i="9"/>
  <c r="L43" i="9"/>
  <c r="K43" i="9"/>
  <c r="BJ43" i="9"/>
  <c r="BG42" i="9"/>
  <c r="BF42" i="9"/>
  <c r="BJ42" i="9"/>
  <c r="BG41" i="9"/>
  <c r="BF41" i="9"/>
  <c r="BJ41" i="9"/>
  <c r="BG40" i="9"/>
  <c r="BF40" i="9"/>
  <c r="BJ40" i="9"/>
  <c r="BG39" i="9"/>
  <c r="BF39" i="9"/>
  <c r="BJ39" i="9"/>
  <c r="BG38" i="9"/>
  <c r="BF38" i="9"/>
  <c r="BJ38" i="9"/>
  <c r="BG37" i="9"/>
  <c r="BF37" i="9"/>
  <c r="BJ37" i="9"/>
  <c r="BG36" i="9"/>
  <c r="BF36" i="9"/>
  <c r="BJ36" i="9"/>
  <c r="BG35" i="9"/>
  <c r="BF35" i="9"/>
  <c r="BJ35" i="9"/>
  <c r="BG34" i="9"/>
  <c r="BF34" i="9"/>
  <c r="BJ34" i="9"/>
  <c r="BG33" i="9"/>
  <c r="BF33" i="9"/>
  <c r="BJ33" i="9"/>
  <c r="BG32" i="9"/>
  <c r="BF32" i="9"/>
  <c r="BJ32" i="9"/>
  <c r="AP29" i="9"/>
  <c r="BG25" i="9"/>
  <c r="BF25" i="9"/>
  <c r="BJ25" i="9"/>
  <c r="BG24" i="9"/>
  <c r="BF24" i="9"/>
  <c r="BJ24" i="9"/>
  <c r="BG23" i="9"/>
  <c r="BF23" i="9"/>
  <c r="BJ23" i="9"/>
  <c r="BG22" i="9"/>
  <c r="BF22" i="9"/>
  <c r="BJ22" i="9"/>
  <c r="BG21" i="9"/>
  <c r="BF21" i="9"/>
  <c r="BJ21" i="9"/>
  <c r="BG20" i="9"/>
  <c r="BF20" i="9"/>
  <c r="BJ20" i="9"/>
  <c r="BG19" i="9"/>
  <c r="BF19" i="9"/>
  <c r="BJ19" i="9"/>
  <c r="BG18" i="9"/>
  <c r="BF18" i="9"/>
  <c r="BJ18" i="9"/>
  <c r="BG17" i="9"/>
  <c r="BF17" i="9"/>
  <c r="BJ17" i="9"/>
  <c r="BG16" i="9"/>
  <c r="BF16" i="9"/>
  <c r="BJ16" i="9"/>
  <c r="BG15" i="9"/>
  <c r="BF15" i="9"/>
  <c r="BJ15" i="9"/>
  <c r="BG14" i="9"/>
  <c r="BF14" i="9"/>
  <c r="BJ14" i="9"/>
  <c r="BG13" i="9"/>
  <c r="BF13" i="9"/>
  <c r="BJ13" i="9"/>
  <c r="BG12" i="9"/>
  <c r="BF12" i="9"/>
  <c r="BJ12" i="9"/>
  <c r="BG11" i="9"/>
  <c r="BF11" i="9"/>
  <c r="BJ11" i="9"/>
  <c r="BG10" i="9"/>
  <c r="BF10" i="9"/>
  <c r="L27" i="9"/>
  <c r="BJ10" i="9"/>
  <c r="BG9" i="9"/>
  <c r="BF9" i="9"/>
  <c r="BJ9" i="9"/>
  <c r="BG8" i="9"/>
  <c r="BF8" i="9"/>
  <c r="BJ8" i="9"/>
  <c r="BG7" i="9"/>
  <c r="BF7" i="9"/>
  <c r="BJ7" i="9"/>
  <c r="BG6" i="9"/>
  <c r="BF6" i="9"/>
  <c r="BJ6" i="9"/>
  <c r="Y84" i="9" l="1"/>
  <c r="AE16" i="9"/>
  <c r="W16" i="9"/>
  <c r="Y16" i="9" s="1"/>
  <c r="BL10" i="9"/>
  <c r="W18" i="9"/>
  <c r="Y18" i="9" s="1"/>
  <c r="AC27" i="9"/>
  <c r="BL136" i="9"/>
  <c r="AF27" i="9"/>
  <c r="BK13" i="9"/>
  <c r="AJ13" i="9"/>
  <c r="AJ76" i="9"/>
  <c r="BK76" i="9"/>
  <c r="BM76" i="9" s="1"/>
  <c r="AE44" i="9"/>
  <c r="W44" i="9"/>
  <c r="Y44" i="9" s="1"/>
  <c r="AE40" i="9"/>
  <c r="W40" i="9"/>
  <c r="Y40" i="9" s="1"/>
  <c r="AH119" i="9"/>
  <c r="AH140" i="9" s="1"/>
  <c r="V140" i="9"/>
  <c r="BK77" i="9"/>
  <c r="AJ77" i="9"/>
  <c r="AD119" i="9"/>
  <c r="R140" i="9"/>
  <c r="AI126" i="9"/>
  <c r="AF84" i="9"/>
  <c r="AC84" i="9"/>
  <c r="AJ138" i="9"/>
  <c r="BK138" i="9"/>
  <c r="BM138" i="9" s="1"/>
  <c r="BK15" i="9"/>
  <c r="BM15" i="9" s="1"/>
  <c r="AJ15" i="9"/>
  <c r="AY71" i="9"/>
  <c r="BA71" i="9" s="1"/>
  <c r="BD71" i="9" s="1"/>
  <c r="BT71" i="9"/>
  <c r="U144" i="10" s="1"/>
  <c r="BR71" i="9"/>
  <c r="S144" i="10" s="1"/>
  <c r="BQ71" i="9"/>
  <c r="R144" i="10" s="1"/>
  <c r="BP71" i="9"/>
  <c r="BS71" i="9"/>
  <c r="T144" i="10" s="1"/>
  <c r="BL132" i="9"/>
  <c r="AI132" i="9"/>
  <c r="AE48" i="9"/>
  <c r="AE47" i="9"/>
  <c r="BL47" i="9" s="1"/>
  <c r="AE45" i="9"/>
  <c r="W45" i="9"/>
  <c r="Y45" i="9" s="1"/>
  <c r="AI134" i="9"/>
  <c r="AF119" i="9"/>
  <c r="T140" i="9"/>
  <c r="BL63" i="9"/>
  <c r="AI63" i="9"/>
  <c r="AY79" i="9"/>
  <c r="BA79" i="9" s="1"/>
  <c r="BD79" i="9" s="1"/>
  <c r="BR79" i="9"/>
  <c r="S152" i="10" s="1"/>
  <c r="BT79" i="9"/>
  <c r="U152" i="10" s="1"/>
  <c r="BS79" i="9"/>
  <c r="T152" i="10" s="1"/>
  <c r="BQ79" i="9"/>
  <c r="R152" i="10" s="1"/>
  <c r="BP79" i="9"/>
  <c r="AE84" i="9"/>
  <c r="BK22" i="9"/>
  <c r="BM22" i="9" s="1"/>
  <c r="AJ22" i="9"/>
  <c r="AE49" i="9"/>
  <c r="W49" i="9"/>
  <c r="Y49" i="9" s="1"/>
  <c r="AE50" i="9"/>
  <c r="BL50" i="9" s="1"/>
  <c r="W50" i="9"/>
  <c r="Y50" i="9" s="1"/>
  <c r="AE8" i="9"/>
  <c r="W8" i="9"/>
  <c r="Y8" i="9" s="1"/>
  <c r="AY68" i="9"/>
  <c r="BA68" i="9" s="1"/>
  <c r="BD68" i="9" s="1"/>
  <c r="BR68" i="9"/>
  <c r="S141" i="10" s="1"/>
  <c r="BT68" i="9"/>
  <c r="U141" i="10" s="1"/>
  <c r="BP68" i="9"/>
  <c r="BS68" i="9"/>
  <c r="T141" i="10" s="1"/>
  <c r="AI133" i="9"/>
  <c r="BL133" i="9"/>
  <c r="S27" i="9"/>
  <c r="AY73" i="9"/>
  <c r="BA73" i="9" s="1"/>
  <c r="BD73" i="9" s="1"/>
  <c r="BR73" i="9"/>
  <c r="S146" i="10" s="1"/>
  <c r="BP73" i="9"/>
  <c r="BT73" i="9"/>
  <c r="U146" i="10" s="1"/>
  <c r="BS73" i="9"/>
  <c r="T146" i="10" s="1"/>
  <c r="BL6" i="9"/>
  <c r="AI6" i="9"/>
  <c r="BL62" i="9"/>
  <c r="AY70" i="9"/>
  <c r="BA70" i="9" s="1"/>
  <c r="BD70" i="9" s="1"/>
  <c r="BR70" i="9"/>
  <c r="S143" i="10" s="1"/>
  <c r="BQ70" i="9"/>
  <c r="R143" i="10" s="1"/>
  <c r="BS70" i="9"/>
  <c r="T143" i="10" s="1"/>
  <c r="BT70" i="9"/>
  <c r="U143" i="10" s="1"/>
  <c r="BP70" i="9"/>
  <c r="BK10" i="9"/>
  <c r="AJ10" i="9"/>
  <c r="AY74" i="9"/>
  <c r="BA74" i="9" s="1"/>
  <c r="BD74" i="9" s="1"/>
  <c r="BR74" i="9"/>
  <c r="S147" i="10" s="1"/>
  <c r="BT74" i="9"/>
  <c r="U147" i="10" s="1"/>
  <c r="BP74" i="9"/>
  <c r="BQ74" i="9"/>
  <c r="R147" i="10" s="1"/>
  <c r="BS74" i="9"/>
  <c r="T147" i="10" s="1"/>
  <c r="AE33" i="9"/>
  <c r="BL33" i="9" s="1"/>
  <c r="S54" i="9"/>
  <c r="W33" i="9"/>
  <c r="Y33" i="9" s="1"/>
  <c r="AE37" i="9"/>
  <c r="W37" i="9"/>
  <c r="Y37" i="9" s="1"/>
  <c r="AJ5" i="9"/>
  <c r="BK5" i="9"/>
  <c r="BM5" i="9" s="1"/>
  <c r="AE35" i="9"/>
  <c r="W35" i="9"/>
  <c r="Y35" i="9" s="1"/>
  <c r="AY66" i="9"/>
  <c r="BA66" i="9" s="1"/>
  <c r="BD66" i="9" s="1"/>
  <c r="BP66" i="9"/>
  <c r="BR66" i="9"/>
  <c r="S139" i="10" s="1"/>
  <c r="BT66" i="9"/>
  <c r="U139" i="10" s="1"/>
  <c r="BS66" i="9"/>
  <c r="T139" i="10" s="1"/>
  <c r="BQ66" i="9"/>
  <c r="R139" i="10" s="1"/>
  <c r="AJ81" i="9"/>
  <c r="BK81" i="9"/>
  <c r="BM81" i="9" s="1"/>
  <c r="BK80" i="9"/>
  <c r="BM80" i="9" s="1"/>
  <c r="AJ80" i="9"/>
  <c r="AI62" i="9"/>
  <c r="BS15" i="9"/>
  <c r="T19" i="10" s="1"/>
  <c r="AE36" i="9"/>
  <c r="W36" i="9"/>
  <c r="Y36" i="9" s="1"/>
  <c r="AB27" i="9"/>
  <c r="AI124" i="9"/>
  <c r="BL124" i="9"/>
  <c r="BK14" i="9"/>
  <c r="BM14" i="9" s="1"/>
  <c r="AJ14" i="9"/>
  <c r="AE42" i="9"/>
  <c r="W42" i="9"/>
  <c r="Y42" i="9" s="1"/>
  <c r="W9" i="9"/>
  <c r="Y9" i="9" s="1"/>
  <c r="AB84" i="9"/>
  <c r="BL12" i="9"/>
  <c r="AJ78" i="9"/>
  <c r="BK78" i="9"/>
  <c r="AE20" i="9"/>
  <c r="BL20" i="9" s="1"/>
  <c r="AE21" i="9"/>
  <c r="AE41" i="9"/>
  <c r="W41" i="9"/>
  <c r="Y41" i="9" s="1"/>
  <c r="BM77" i="9"/>
  <c r="AE39" i="9"/>
  <c r="W39" i="9"/>
  <c r="Y39" i="9" s="1"/>
  <c r="BK9" i="9"/>
  <c r="AJ9" i="9"/>
  <c r="AJ64" i="9"/>
  <c r="BK64" i="9"/>
  <c r="BM64" i="9" s="1"/>
  <c r="BM65" i="9" s="1"/>
  <c r="AC119" i="9"/>
  <c r="AC140" i="9" s="1"/>
  <c r="Q140" i="9"/>
  <c r="W119" i="9"/>
  <c r="BQ73" i="9"/>
  <c r="R146" i="10" s="1"/>
  <c r="AJ67" i="9"/>
  <c r="BK67" i="9"/>
  <c r="W19" i="9"/>
  <c r="Y19" i="9" s="1"/>
  <c r="AC54" i="9"/>
  <c r="AE46" i="9"/>
  <c r="BL46" i="9" s="1"/>
  <c r="W46" i="9"/>
  <c r="Y46" i="9" s="1"/>
  <c r="AE140" i="9"/>
  <c r="AY72" i="9"/>
  <c r="BA72" i="9" s="1"/>
  <c r="BD72" i="9" s="1"/>
  <c r="BR72" i="9"/>
  <c r="S145" i="10" s="1"/>
  <c r="BQ72" i="9"/>
  <c r="R145" i="10" s="1"/>
  <c r="BT72" i="9"/>
  <c r="U145" i="10" s="1"/>
  <c r="BP72" i="9"/>
  <c r="BS72" i="9"/>
  <c r="T145" i="10" s="1"/>
  <c r="BK11" i="9"/>
  <c r="BM11" i="9" s="1"/>
  <c r="AJ11" i="9"/>
  <c r="AI12" i="9"/>
  <c r="AD27" i="9"/>
  <c r="AB140" i="9"/>
  <c r="AI118" i="9"/>
  <c r="BL118" i="9"/>
  <c r="BL18" i="9"/>
  <c r="AE23" i="9"/>
  <c r="BL23" i="9" s="1"/>
  <c r="AE38" i="9"/>
  <c r="W38" i="9"/>
  <c r="Y38" i="9" s="1"/>
  <c r="AY75" i="9"/>
  <c r="BA75" i="9" s="1"/>
  <c r="BD75" i="9" s="1"/>
  <c r="BR75" i="9"/>
  <c r="S148" i="10" s="1"/>
  <c r="BT75" i="9"/>
  <c r="U148" i="10" s="1"/>
  <c r="BP75" i="9"/>
  <c r="BQ75" i="9"/>
  <c r="R148" i="10" s="1"/>
  <c r="BU75" i="9"/>
  <c r="V148" i="10" s="1"/>
  <c r="BS75" i="9"/>
  <c r="T148" i="10" s="1"/>
  <c r="AY69" i="9"/>
  <c r="BA69" i="9" s="1"/>
  <c r="BD69" i="9" s="1"/>
  <c r="BS69" i="9"/>
  <c r="T142" i="10" s="1"/>
  <c r="BR69" i="9"/>
  <c r="S142" i="10" s="1"/>
  <c r="BP69" i="9"/>
  <c r="BQ69" i="9"/>
  <c r="R142" i="10" s="1"/>
  <c r="BT69" i="9"/>
  <c r="U142" i="10" s="1"/>
  <c r="BL122" i="9"/>
  <c r="AI122" i="9"/>
  <c r="BS13" i="9"/>
  <c r="T17" i="10" s="1"/>
  <c r="AJ136" i="9"/>
  <c r="BT136" i="9" s="1"/>
  <c r="BK136" i="9"/>
  <c r="BM136" i="9" s="1"/>
  <c r="AE25" i="9"/>
  <c r="BL25" i="9" s="1"/>
  <c r="W25" i="9"/>
  <c r="Y25" i="9" s="1"/>
  <c r="AE24" i="9"/>
  <c r="W24" i="9"/>
  <c r="Y24" i="9" s="1"/>
  <c r="AI123" i="9"/>
  <c r="AB54" i="9"/>
  <c r="AI32" i="9"/>
  <c r="AI128" i="9"/>
  <c r="BL128" i="9"/>
  <c r="AE52" i="9"/>
  <c r="W52" i="9"/>
  <c r="Y52" i="9" s="1"/>
  <c r="AE17" i="9"/>
  <c r="W17" i="9"/>
  <c r="Y17" i="9" s="1"/>
  <c r="AJ82" i="9"/>
  <c r="BK82" i="9"/>
  <c r="BM82" i="9" s="1"/>
  <c r="BL9" i="9"/>
  <c r="BM9" i="9" s="1"/>
  <c r="W13" i="9"/>
  <c r="Y13" i="9" s="1"/>
  <c r="AE7" i="9"/>
  <c r="W7" i="9"/>
  <c r="Y7" i="9" s="1"/>
  <c r="W12" i="9"/>
  <c r="Y12" i="9" s="1"/>
  <c r="AI18" i="9"/>
  <c r="AE34" i="9"/>
  <c r="W34" i="9"/>
  <c r="Y34" i="9" s="1"/>
  <c r="AE51" i="9"/>
  <c r="W51" i="9"/>
  <c r="Y51" i="9" s="1"/>
  <c r="AF54" i="9"/>
  <c r="AI19" i="9"/>
  <c r="AI120" i="9"/>
  <c r="BL120" i="9"/>
  <c r="BA110" i="9"/>
  <c r="K27" i="9"/>
  <c r="U21" i="9"/>
  <c r="V43" i="9"/>
  <c r="L54" i="9"/>
  <c r="U47" i="9"/>
  <c r="V21" i="9"/>
  <c r="K54" i="9"/>
  <c r="U43" i="9"/>
  <c r="AG43" i="9" s="1"/>
  <c r="BJ80" i="9"/>
  <c r="AI33" i="9" l="1"/>
  <c r="BM10" i="9"/>
  <c r="AI16" i="9"/>
  <c r="BL16" i="9"/>
  <c r="AI23" i="9"/>
  <c r="AJ118" i="9"/>
  <c r="BK118" i="9"/>
  <c r="AI35" i="9"/>
  <c r="BL35" i="9"/>
  <c r="U216" i="10"/>
  <c r="BL23" i="2"/>
  <c r="BL34" i="9"/>
  <c r="AI34" i="9"/>
  <c r="AJ122" i="9"/>
  <c r="BK122" i="9"/>
  <c r="BM122" i="9" s="1"/>
  <c r="Q148" i="10"/>
  <c r="BW75" i="9"/>
  <c r="AJ124" i="9"/>
  <c r="BK124" i="9"/>
  <c r="AE54" i="9"/>
  <c r="S168" i="10"/>
  <c r="S189" i="10"/>
  <c r="BK6" i="9"/>
  <c r="BM6" i="9" s="1"/>
  <c r="AJ6" i="9"/>
  <c r="AY22" i="9"/>
  <c r="BA22" i="9" s="1"/>
  <c r="BD22" i="9" s="1"/>
  <c r="BQ22" i="9"/>
  <c r="R26" i="10" s="1"/>
  <c r="BT22" i="9"/>
  <c r="U26" i="10" s="1"/>
  <c r="BR22" i="9"/>
  <c r="S26" i="10" s="1"/>
  <c r="BP22" i="9"/>
  <c r="BS22" i="9"/>
  <c r="T26" i="10" s="1"/>
  <c r="AY15" i="9"/>
  <c r="BA15" i="9" s="1"/>
  <c r="BD15" i="9" s="1"/>
  <c r="BT15" i="9"/>
  <c r="U19" i="10" s="1"/>
  <c r="BR15" i="9"/>
  <c r="S19" i="10" s="1"/>
  <c r="BQ15" i="9"/>
  <c r="R19" i="10" s="1"/>
  <c r="BP15" i="9"/>
  <c r="AD140" i="9"/>
  <c r="U190" i="10"/>
  <c r="U169" i="10"/>
  <c r="AY81" i="9"/>
  <c r="BA81" i="9" s="1"/>
  <c r="BD81" i="9" s="1"/>
  <c r="BR81" i="9"/>
  <c r="S154" i="10" s="1"/>
  <c r="BQ81" i="9"/>
  <c r="R154" i="10" s="1"/>
  <c r="BT81" i="9"/>
  <c r="U154" i="10" s="1"/>
  <c r="BS81" i="9"/>
  <c r="T154" i="10" s="1"/>
  <c r="BP81" i="9"/>
  <c r="Q141" i="10"/>
  <c r="BW68" i="9"/>
  <c r="AY77" i="9"/>
  <c r="BA77" i="9" s="1"/>
  <c r="BD77" i="9" s="1"/>
  <c r="BR77" i="9"/>
  <c r="S150" i="10" s="1"/>
  <c r="BP77" i="9"/>
  <c r="BQ77" i="9"/>
  <c r="R150" i="10" s="1"/>
  <c r="BT77" i="9"/>
  <c r="U150" i="10" s="1"/>
  <c r="BS77" i="9"/>
  <c r="T150" i="10" s="1"/>
  <c r="BL49" i="9"/>
  <c r="AI49" i="9"/>
  <c r="BK23" i="9"/>
  <c r="AJ23" i="9"/>
  <c r="AI39" i="9"/>
  <c r="BL39" i="9"/>
  <c r="AY5" i="9"/>
  <c r="BS5" i="9"/>
  <c r="T9" i="10" s="1"/>
  <c r="BR5" i="9"/>
  <c r="S9" i="10" s="1"/>
  <c r="BQ5" i="9"/>
  <c r="R9" i="10" s="1"/>
  <c r="BT5" i="9"/>
  <c r="U9" i="10" s="1"/>
  <c r="BP5" i="9"/>
  <c r="AY10" i="9"/>
  <c r="BA10" i="9" s="1"/>
  <c r="BD10" i="9" s="1"/>
  <c r="BQ10" i="9"/>
  <c r="R14" i="10" s="1"/>
  <c r="BP10" i="9"/>
  <c r="BT10" i="9"/>
  <c r="U14" i="10" s="1"/>
  <c r="BS10" i="9"/>
  <c r="T14" i="10" s="1"/>
  <c r="BR10" i="9"/>
  <c r="S14" i="10" s="1"/>
  <c r="T167" i="10"/>
  <c r="T188" i="10"/>
  <c r="BK63" i="9"/>
  <c r="BM63" i="9" s="1"/>
  <c r="AJ63" i="9"/>
  <c r="AJ132" i="9"/>
  <c r="BK132" i="9"/>
  <c r="BM132" i="9" s="1"/>
  <c r="AY76" i="9"/>
  <c r="BA76" i="9" s="1"/>
  <c r="BD76" i="9" s="1"/>
  <c r="BR76" i="9"/>
  <c r="S149" i="10" s="1"/>
  <c r="BQ76" i="9"/>
  <c r="R149" i="10" s="1"/>
  <c r="BT76" i="9"/>
  <c r="U149" i="10" s="1"/>
  <c r="BP76" i="9"/>
  <c r="BS76" i="9"/>
  <c r="T149" i="10" s="1"/>
  <c r="U186" i="10"/>
  <c r="U165" i="10"/>
  <c r="AI17" i="9"/>
  <c r="BL17" i="9"/>
  <c r="U189" i="10"/>
  <c r="U168" i="10"/>
  <c r="AY67" i="9"/>
  <c r="BA67" i="9" s="1"/>
  <c r="BD67" i="9" s="1"/>
  <c r="BR67" i="9"/>
  <c r="S140" i="10" s="1"/>
  <c r="BS67" i="9"/>
  <c r="T140" i="10" s="1"/>
  <c r="BQ67" i="9"/>
  <c r="R140" i="10" s="1"/>
  <c r="BT67" i="9"/>
  <c r="U140" i="10" s="1"/>
  <c r="BP67" i="9"/>
  <c r="U188" i="10"/>
  <c r="U167" i="10"/>
  <c r="AY138" i="9"/>
  <c r="BA138" i="9" s="1"/>
  <c r="BD138" i="9" s="1"/>
  <c r="BQ138" i="9"/>
  <c r="BT138" i="9"/>
  <c r="BR138" i="9"/>
  <c r="BP138" i="9"/>
  <c r="BS138" i="9"/>
  <c r="Q147" i="10"/>
  <c r="BW74" i="9"/>
  <c r="AI24" i="9"/>
  <c r="BL24" i="9"/>
  <c r="U163" i="10"/>
  <c r="U184" i="10"/>
  <c r="AJ120" i="9"/>
  <c r="BK120" i="9"/>
  <c r="BM120" i="9" s="1"/>
  <c r="BM121" i="9" s="1"/>
  <c r="AE27" i="9"/>
  <c r="BL7" i="9"/>
  <c r="AI7" i="9"/>
  <c r="AJ128" i="9"/>
  <c r="BK128" i="9"/>
  <c r="R163" i="10"/>
  <c r="R184" i="10"/>
  <c r="BK12" i="9"/>
  <c r="BM12" i="9" s="1"/>
  <c r="AJ12" i="9"/>
  <c r="BK33" i="9"/>
  <c r="BM33" i="9" s="1"/>
  <c r="AJ33" i="9"/>
  <c r="BS33" i="9" s="1"/>
  <c r="T73" i="10" s="1"/>
  <c r="R167" i="10"/>
  <c r="R188" i="10"/>
  <c r="BL36" i="9"/>
  <c r="AI36" i="9"/>
  <c r="AI37" i="9"/>
  <c r="BL37" i="9"/>
  <c r="Q143" i="10"/>
  <c r="BW70" i="9"/>
  <c r="BW73" i="9"/>
  <c r="Q146" i="10"/>
  <c r="BL51" i="9"/>
  <c r="AI51" i="9"/>
  <c r="S173" i="10"/>
  <c r="S194" i="10"/>
  <c r="BM23" i="9"/>
  <c r="BW69" i="9"/>
  <c r="Q142" i="10"/>
  <c r="BL38" i="9"/>
  <c r="AI38" i="9"/>
  <c r="AY11" i="9"/>
  <c r="BA11" i="9" s="1"/>
  <c r="BD11" i="9" s="1"/>
  <c r="BP11" i="9"/>
  <c r="BT11" i="9"/>
  <c r="U15" i="10" s="1"/>
  <c r="BQ11" i="9"/>
  <c r="R15" i="10" s="1"/>
  <c r="BS11" i="9"/>
  <c r="T15" i="10" s="1"/>
  <c r="BR11" i="9"/>
  <c r="S15" i="10" s="1"/>
  <c r="W140" i="9"/>
  <c r="Y119" i="9"/>
  <c r="Y140" i="9" s="1"/>
  <c r="AI41" i="9"/>
  <c r="BL41" i="9"/>
  <c r="N19" i="10"/>
  <c r="O143" i="10"/>
  <c r="S167" i="10"/>
  <c r="S188" i="10"/>
  <c r="AF140" i="9"/>
  <c r="V169" i="10"/>
  <c r="V190" i="10"/>
  <c r="AJ126" i="9"/>
  <c r="BK126" i="9"/>
  <c r="R190" i="10"/>
  <c r="R169" i="10"/>
  <c r="AY9" i="9"/>
  <c r="BA9" i="9" s="1"/>
  <c r="BD9" i="9" s="1"/>
  <c r="BQ9" i="9"/>
  <c r="R13" i="10" s="1"/>
  <c r="BR9" i="9"/>
  <c r="S13" i="10" s="1"/>
  <c r="BT9" i="9"/>
  <c r="U13" i="10" s="1"/>
  <c r="BP9" i="9"/>
  <c r="AI52" i="9"/>
  <c r="BL52" i="9"/>
  <c r="BK19" i="9"/>
  <c r="BM19" i="9" s="1"/>
  <c r="AJ19" i="9"/>
  <c r="S184" i="10"/>
  <c r="S163" i="10"/>
  <c r="BS23" i="9"/>
  <c r="T27" i="10" s="1"/>
  <c r="N27" i="10" s="1"/>
  <c r="N143" i="10"/>
  <c r="AI8" i="9"/>
  <c r="BL8" i="9"/>
  <c r="AJ134" i="9"/>
  <c r="BK134" i="9"/>
  <c r="T186" i="10"/>
  <c r="T165" i="10"/>
  <c r="AY80" i="9"/>
  <c r="BA80" i="9" s="1"/>
  <c r="BD80" i="9" s="1"/>
  <c r="BR80" i="9"/>
  <c r="S153" i="10" s="1"/>
  <c r="BQ80" i="9"/>
  <c r="R153" i="10" s="1"/>
  <c r="BT80" i="9"/>
  <c r="U153" i="10" s="1"/>
  <c r="BP80" i="9"/>
  <c r="BS80" i="9"/>
  <c r="T153" i="10" s="1"/>
  <c r="BL45" i="9"/>
  <c r="AI45" i="9"/>
  <c r="BM124" i="9"/>
  <c r="BK18" i="9"/>
  <c r="AJ18" i="9"/>
  <c r="S169" i="10"/>
  <c r="S190" i="10"/>
  <c r="AY136" i="9"/>
  <c r="BA136" i="9" s="1"/>
  <c r="BD136" i="9" s="1"/>
  <c r="BQ136" i="9"/>
  <c r="BR136" i="9"/>
  <c r="BP136" i="9"/>
  <c r="BS136" i="9"/>
  <c r="BM18" i="9"/>
  <c r="Q139" i="10"/>
  <c r="BW66" i="9"/>
  <c r="L143" i="10"/>
  <c r="Q152" i="10"/>
  <c r="BW79" i="9"/>
  <c r="Q144" i="10"/>
  <c r="BW71" i="9"/>
  <c r="AI40" i="9"/>
  <c r="U173" i="10"/>
  <c r="U194" i="10"/>
  <c r="AJ123" i="9"/>
  <c r="BK123" i="9"/>
  <c r="BM128" i="9"/>
  <c r="T163" i="10"/>
  <c r="T184" i="10"/>
  <c r="AJ32" i="9"/>
  <c r="BK32" i="9"/>
  <c r="BS9" i="9"/>
  <c r="T13" i="10" s="1"/>
  <c r="Q145" i="10"/>
  <c r="BW72" i="9"/>
  <c r="AI119" i="9"/>
  <c r="AI42" i="9"/>
  <c r="BL42" i="9"/>
  <c r="T168" i="10"/>
  <c r="T189" i="10"/>
  <c r="M143" i="10"/>
  <c r="R194" i="10"/>
  <c r="R173" i="10"/>
  <c r="R165" i="10"/>
  <c r="R186" i="10"/>
  <c r="AY13" i="9"/>
  <c r="BA13" i="9" s="1"/>
  <c r="BD13" i="9" s="1"/>
  <c r="BT13" i="9"/>
  <c r="U17" i="10" s="1"/>
  <c r="BR13" i="9"/>
  <c r="S17" i="10" s="1"/>
  <c r="BP13" i="9"/>
  <c r="BQ13" i="9"/>
  <c r="R17" i="10" s="1"/>
  <c r="BK133" i="9"/>
  <c r="BM133" i="9" s="1"/>
  <c r="AJ133" i="9"/>
  <c r="AY82" i="9"/>
  <c r="BA82" i="9" s="1"/>
  <c r="BD82" i="9" s="1"/>
  <c r="BQ82" i="9"/>
  <c r="R155" i="10" s="1"/>
  <c r="BR82" i="9"/>
  <c r="S155" i="10" s="1"/>
  <c r="BS82" i="9"/>
  <c r="T155" i="10" s="1"/>
  <c r="BT82" i="9"/>
  <c r="U155" i="10" s="1"/>
  <c r="BP82" i="9"/>
  <c r="N17" i="10"/>
  <c r="T190" i="10"/>
  <c r="T169" i="10"/>
  <c r="BM118" i="9"/>
  <c r="AY64" i="9"/>
  <c r="BA64" i="9" s="1"/>
  <c r="BR64" i="9"/>
  <c r="BQ64" i="9"/>
  <c r="BT64" i="9"/>
  <c r="BS64" i="9"/>
  <c r="BP64" i="9"/>
  <c r="AY78" i="9"/>
  <c r="BA78" i="9" s="1"/>
  <c r="BD78" i="9" s="1"/>
  <c r="BR78" i="9"/>
  <c r="S151" i="10" s="1"/>
  <c r="BQ78" i="9"/>
  <c r="R151" i="10" s="1"/>
  <c r="BT78" i="9"/>
  <c r="U151" i="10" s="1"/>
  <c r="BP78" i="9"/>
  <c r="BS78" i="9"/>
  <c r="T151" i="10" s="1"/>
  <c r="AY14" i="9"/>
  <c r="BA14" i="9" s="1"/>
  <c r="BD14" i="9" s="1"/>
  <c r="BS14" i="9"/>
  <c r="T18" i="10" s="1"/>
  <c r="BR14" i="9"/>
  <c r="S18" i="10" s="1"/>
  <c r="BT14" i="9"/>
  <c r="U18" i="10" s="1"/>
  <c r="BQ14" i="9"/>
  <c r="R18" i="10" s="1"/>
  <c r="BP14" i="9"/>
  <c r="AJ62" i="9"/>
  <c r="AI84" i="9"/>
  <c r="BK62" i="9"/>
  <c r="BM62" i="9" s="1"/>
  <c r="R189" i="10"/>
  <c r="R168" i="10"/>
  <c r="T173" i="10"/>
  <c r="T194" i="10"/>
  <c r="S186" i="10"/>
  <c r="S165" i="10"/>
  <c r="BL44" i="9"/>
  <c r="AI44" i="9"/>
  <c r="AH25" i="9"/>
  <c r="AH20" i="9"/>
  <c r="AH21" i="9"/>
  <c r="W47" i="9"/>
  <c r="Y47" i="9" s="1"/>
  <c r="AG48" i="9"/>
  <c r="AI48" i="9" s="1"/>
  <c r="BK48" i="9" s="1"/>
  <c r="AG47" i="9"/>
  <c r="AI47" i="9" s="1"/>
  <c r="BK47" i="9" s="1"/>
  <c r="BM47" i="9" s="1"/>
  <c r="AG50" i="9"/>
  <c r="AI50" i="9" s="1"/>
  <c r="BK50" i="9" s="1"/>
  <c r="BM50" i="9" s="1"/>
  <c r="AG46" i="9"/>
  <c r="AG25" i="9"/>
  <c r="AG21" i="9"/>
  <c r="AG20" i="9"/>
  <c r="V54" i="9"/>
  <c r="AH43" i="9"/>
  <c r="AH54" i="9" s="1"/>
  <c r="V27" i="9"/>
  <c r="U27" i="9"/>
  <c r="W21" i="9"/>
  <c r="U54" i="9"/>
  <c r="W43" i="9"/>
  <c r="BL112" i="9"/>
  <c r="BK16" i="9" l="1"/>
  <c r="BM16" i="9" s="1"/>
  <c r="AJ16" i="9"/>
  <c r="AI25" i="9"/>
  <c r="M18" i="10"/>
  <c r="BK49" i="9"/>
  <c r="BM49" i="9" s="1"/>
  <c r="AJ49" i="9"/>
  <c r="Q13" i="10"/>
  <c r="BW9" i="9"/>
  <c r="BR65" i="9"/>
  <c r="S138" i="10" s="1"/>
  <c r="S137" i="10"/>
  <c r="BK119" i="9"/>
  <c r="AJ119" i="9"/>
  <c r="M13" i="10"/>
  <c r="X142" i="10"/>
  <c r="Q163" i="10"/>
  <c r="X163" i="10" s="1"/>
  <c r="Q184" i="10"/>
  <c r="X184" i="10" s="1"/>
  <c r="AY12" i="9"/>
  <c r="BA12" i="9" s="1"/>
  <c r="BD12" i="9" s="1"/>
  <c r="BQ12" i="9"/>
  <c r="R16" i="10" s="1"/>
  <c r="BP12" i="9"/>
  <c r="BR12" i="9"/>
  <c r="S16" i="10" s="1"/>
  <c r="BT12" i="9"/>
  <c r="U16" i="10" s="1"/>
  <c r="BS12" i="9"/>
  <c r="T16" i="10" s="1"/>
  <c r="M9" i="10"/>
  <c r="U196" i="10"/>
  <c r="U175" i="10"/>
  <c r="Q19" i="10"/>
  <c r="BW15" i="9"/>
  <c r="BK34" i="9"/>
  <c r="BM34" i="9" s="1"/>
  <c r="BM35" i="9" s="1"/>
  <c r="AJ34" i="9"/>
  <c r="Q155" i="10"/>
  <c r="BW82" i="9"/>
  <c r="Q153" i="10"/>
  <c r="BW80" i="9"/>
  <c r="Q154" i="10"/>
  <c r="BW81" i="9"/>
  <c r="X143" i="10"/>
  <c r="K143" i="10"/>
  <c r="K13" i="10"/>
  <c r="BK37" i="9"/>
  <c r="BM37" i="9" s="1"/>
  <c r="AJ37" i="9"/>
  <c r="R196" i="10"/>
  <c r="R175" i="10"/>
  <c r="AY6" i="9"/>
  <c r="BR6" i="9"/>
  <c r="S10" i="10" s="1"/>
  <c r="BP6" i="9"/>
  <c r="BQ6" i="9"/>
  <c r="R10" i="10" s="1"/>
  <c r="BT6" i="9"/>
  <c r="U10" i="10" s="1"/>
  <c r="BS6" i="9"/>
  <c r="T10" i="10" s="1"/>
  <c r="S216" i="10"/>
  <c r="S174" i="10" s="1"/>
  <c r="BJ23" i="2"/>
  <c r="U218" i="10"/>
  <c r="U176" i="10" s="1"/>
  <c r="BL25" i="2"/>
  <c r="U174" i="10"/>
  <c r="U195" i="10"/>
  <c r="BM24" i="9"/>
  <c r="S30" i="10"/>
  <c r="S51" i="10"/>
  <c r="K9" i="10"/>
  <c r="S196" i="10"/>
  <c r="S175" i="10"/>
  <c r="K19" i="10"/>
  <c r="Q149" i="10"/>
  <c r="BW76" i="9"/>
  <c r="X145" i="10"/>
  <c r="Q151" i="10"/>
  <c r="BW78" i="9"/>
  <c r="X139" i="10"/>
  <c r="AY18" i="9"/>
  <c r="BA18" i="9" s="1"/>
  <c r="BD18" i="9" s="1"/>
  <c r="BQ18" i="9"/>
  <c r="R22" i="10" s="1"/>
  <c r="BP18" i="9"/>
  <c r="BT18" i="9"/>
  <c r="U22" i="10" s="1"/>
  <c r="BR18" i="9"/>
  <c r="S22" i="10" s="1"/>
  <c r="BU18" i="9"/>
  <c r="V22" i="10" s="1"/>
  <c r="BS18" i="9"/>
  <c r="T22" i="10" s="1"/>
  <c r="K15" i="10"/>
  <c r="AJ24" i="9"/>
  <c r="BK24" i="9"/>
  <c r="N9" i="10"/>
  <c r="M19" i="10"/>
  <c r="AY123" i="9"/>
  <c r="BA123" i="9" s="1"/>
  <c r="BD123" i="9" s="1"/>
  <c r="BP123" i="9"/>
  <c r="BT123" i="9"/>
  <c r="BR123" i="9"/>
  <c r="BS123" i="9"/>
  <c r="BQ123" i="9"/>
  <c r="R216" i="10"/>
  <c r="R195" i="10" s="1"/>
  <c r="BI23" i="2"/>
  <c r="N18" i="10"/>
  <c r="BK40" i="9"/>
  <c r="AJ40" i="9"/>
  <c r="AY133" i="9"/>
  <c r="BA133" i="9" s="1"/>
  <c r="BD133" i="9" s="1"/>
  <c r="BP133" i="9"/>
  <c r="BQ133" i="9"/>
  <c r="BR133" i="9"/>
  <c r="BS133" i="9"/>
  <c r="BT133" i="9"/>
  <c r="N15" i="10"/>
  <c r="AY132" i="9"/>
  <c r="BA132" i="9" s="1"/>
  <c r="BD132" i="9" s="1"/>
  <c r="BQ132" i="9"/>
  <c r="BP132" i="9"/>
  <c r="BR132" i="9"/>
  <c r="BS132" i="9"/>
  <c r="BT132" i="9"/>
  <c r="BA5" i="9"/>
  <c r="K18" i="10"/>
  <c r="AY122" i="9"/>
  <c r="BA122" i="9" s="1"/>
  <c r="BD122" i="9" s="1"/>
  <c r="BP122" i="9"/>
  <c r="BQ122" i="9"/>
  <c r="BR122" i="9"/>
  <c r="BT122" i="9"/>
  <c r="BS122" i="9"/>
  <c r="AY32" i="9"/>
  <c r="BR32" i="9"/>
  <c r="S72" i="10" s="1"/>
  <c r="BQ32" i="9"/>
  <c r="R72" i="10" s="1"/>
  <c r="BP32" i="9"/>
  <c r="BT32" i="9"/>
  <c r="U72" i="10" s="1"/>
  <c r="U51" i="10" s="1"/>
  <c r="BS32" i="9"/>
  <c r="T72" i="10" s="1"/>
  <c r="AY19" i="9"/>
  <c r="BA19" i="9" s="1"/>
  <c r="BD19" i="9" s="1"/>
  <c r="BQ19" i="9"/>
  <c r="R23" i="10" s="1"/>
  <c r="BP19" i="9"/>
  <c r="BR19" i="9"/>
  <c r="S23" i="10" s="1"/>
  <c r="K23" i="10" s="1"/>
  <c r="BT19" i="9"/>
  <c r="U23" i="10" s="1"/>
  <c r="M23" i="10" s="1"/>
  <c r="BS19" i="9"/>
  <c r="T23" i="10" s="1"/>
  <c r="N23" i="10" s="1"/>
  <c r="BK51" i="9"/>
  <c r="BM51" i="9" s="1"/>
  <c r="AJ51" i="9"/>
  <c r="BK36" i="9"/>
  <c r="BM36" i="9" s="1"/>
  <c r="AJ36" i="9"/>
  <c r="AY128" i="9"/>
  <c r="BA128" i="9" s="1"/>
  <c r="BD128" i="9" s="1"/>
  <c r="BS128" i="9"/>
  <c r="BR128" i="9"/>
  <c r="BT128" i="9"/>
  <c r="BP128" i="9"/>
  <c r="BQ128" i="9"/>
  <c r="BK17" i="9"/>
  <c r="BM17" i="9" s="1"/>
  <c r="AJ17" i="9"/>
  <c r="AY63" i="9"/>
  <c r="BR63" i="9"/>
  <c r="S136" i="10" s="1"/>
  <c r="BQ63" i="9"/>
  <c r="R136" i="10" s="1"/>
  <c r="BS63" i="9"/>
  <c r="T136" i="10" s="1"/>
  <c r="BT63" i="9"/>
  <c r="U136" i="10" s="1"/>
  <c r="BP63" i="9"/>
  <c r="K14" i="10"/>
  <c r="BW77" i="9"/>
  <c r="Q150" i="10"/>
  <c r="N26" i="10"/>
  <c r="AJ45" i="9"/>
  <c r="BK45" i="9"/>
  <c r="AY134" i="9"/>
  <c r="BA134" i="9" s="1"/>
  <c r="BD134" i="9" s="1"/>
  <c r="BP134" i="9"/>
  <c r="BR134" i="9"/>
  <c r="BQ134" i="9"/>
  <c r="BS134" i="9"/>
  <c r="BT134" i="9"/>
  <c r="M15" i="10"/>
  <c r="BK7" i="9"/>
  <c r="BM7" i="9" s="1"/>
  <c r="BM8" i="9" s="1"/>
  <c r="AJ7" i="9"/>
  <c r="X147" i="10"/>
  <c r="Q189" i="10"/>
  <c r="X189" i="10" s="1"/>
  <c r="Q168" i="10"/>
  <c r="X168" i="10" s="1"/>
  <c r="N14" i="10"/>
  <c r="BK39" i="9"/>
  <c r="BM39" i="9" s="1"/>
  <c r="AJ39" i="9"/>
  <c r="Q26" i="10"/>
  <c r="BW22" i="9"/>
  <c r="BK35" i="9"/>
  <c r="AJ35" i="9"/>
  <c r="AY35" i="9" s="1"/>
  <c r="BK41" i="9"/>
  <c r="BM41" i="9" s="1"/>
  <c r="AJ41" i="9"/>
  <c r="T196" i="10"/>
  <c r="T175" i="10"/>
  <c r="Q17" i="10"/>
  <c r="BW13" i="9"/>
  <c r="X144" i="10"/>
  <c r="Q165" i="10"/>
  <c r="X165" i="10" s="1"/>
  <c r="Q186" i="10"/>
  <c r="X186" i="10" s="1"/>
  <c r="BM45" i="9"/>
  <c r="AY126" i="9"/>
  <c r="BA126" i="9" s="1"/>
  <c r="BD126" i="9" s="1"/>
  <c r="BR126" i="9"/>
  <c r="BT126" i="9"/>
  <c r="BQ126" i="9"/>
  <c r="BS126" i="9"/>
  <c r="BP126" i="9"/>
  <c r="Q15" i="10"/>
  <c r="BW11" i="9"/>
  <c r="BK25" i="2"/>
  <c r="T218" i="10"/>
  <c r="T197" i="10" s="1"/>
  <c r="M14" i="10"/>
  <c r="K26" i="10"/>
  <c r="AY124" i="9"/>
  <c r="BA124" i="9" s="1"/>
  <c r="BD124" i="9" s="1"/>
  <c r="BP124" i="9"/>
  <c r="BQ124" i="9"/>
  <c r="BR124" i="9"/>
  <c r="BT124" i="9"/>
  <c r="BS124" i="9"/>
  <c r="AI140" i="9"/>
  <c r="BT65" i="9"/>
  <c r="U138" i="10" s="1"/>
  <c r="U137" i="10"/>
  <c r="AY33" i="9"/>
  <c r="BR33" i="9"/>
  <c r="S73" i="10" s="1"/>
  <c r="BP33" i="9"/>
  <c r="BT33" i="9"/>
  <c r="U73" i="10" s="1"/>
  <c r="BQ33" i="9"/>
  <c r="R73" i="10" s="1"/>
  <c r="AY120" i="9"/>
  <c r="BA120" i="9" s="1"/>
  <c r="BR120" i="9"/>
  <c r="BP120" i="9"/>
  <c r="BT120" i="9"/>
  <c r="BS120" i="9"/>
  <c r="BQ120" i="9"/>
  <c r="N13" i="10"/>
  <c r="BK44" i="9"/>
  <c r="BM44" i="9" s="1"/>
  <c r="AJ44" i="9"/>
  <c r="Q18" i="10"/>
  <c r="BW14" i="9"/>
  <c r="BW64" i="9"/>
  <c r="Q137" i="10"/>
  <c r="BP65" i="9"/>
  <c r="K17" i="10"/>
  <c r="T216" i="10"/>
  <c r="T174" i="10" s="1"/>
  <c r="BK23" i="2"/>
  <c r="BK8" i="9"/>
  <c r="AJ8" i="9"/>
  <c r="AY8" i="9" s="1"/>
  <c r="X146" i="10"/>
  <c r="Q188" i="10"/>
  <c r="X188" i="10" s="1"/>
  <c r="Q167" i="10"/>
  <c r="X167" i="10" s="1"/>
  <c r="Q218" i="10"/>
  <c r="BH25" i="2"/>
  <c r="BW138" i="9"/>
  <c r="Q140" i="10"/>
  <c r="BW67" i="9"/>
  <c r="Q14" i="10"/>
  <c r="BW10" i="9"/>
  <c r="AY23" i="9"/>
  <c r="BA23" i="9" s="1"/>
  <c r="BD23" i="9" s="1"/>
  <c r="BT23" i="9"/>
  <c r="U27" i="10" s="1"/>
  <c r="M27" i="10" s="1"/>
  <c r="BQ23" i="9"/>
  <c r="R27" i="10" s="1"/>
  <c r="BP23" i="9"/>
  <c r="BR23" i="9"/>
  <c r="S27" i="10" s="1"/>
  <c r="K27" i="10" s="1"/>
  <c r="M26" i="10"/>
  <c r="BQ65" i="9"/>
  <c r="R138" i="10" s="1"/>
  <c r="R137" i="10"/>
  <c r="R218" i="10"/>
  <c r="R197" i="10" s="1"/>
  <c r="BI25" i="2"/>
  <c r="Q9" i="10"/>
  <c r="BW5" i="9"/>
  <c r="BD64" i="9"/>
  <c r="BA65" i="9"/>
  <c r="AY62" i="9"/>
  <c r="BA62" i="9" s="1"/>
  <c r="BR62" i="9"/>
  <c r="S135" i="10" s="1"/>
  <c r="BP62" i="9"/>
  <c r="BT62" i="9"/>
  <c r="U135" i="10" s="1"/>
  <c r="BQ62" i="9"/>
  <c r="R135" i="10" s="1"/>
  <c r="BS62" i="9"/>
  <c r="T135" i="10" s="1"/>
  <c r="BS65" i="9"/>
  <c r="T138" i="10" s="1"/>
  <c r="T137" i="10"/>
  <c r="M17" i="10"/>
  <c r="BK42" i="9"/>
  <c r="BM42" i="9" s="1"/>
  <c r="AJ42" i="9"/>
  <c r="Q173" i="10"/>
  <c r="X173" i="10" s="1"/>
  <c r="X152" i="10"/>
  <c r="Q194" i="10"/>
  <c r="X194" i="10" s="1"/>
  <c r="BH23" i="2"/>
  <c r="BW136" i="9"/>
  <c r="Q216" i="10"/>
  <c r="BK52" i="9"/>
  <c r="BM52" i="9" s="1"/>
  <c r="AJ52" i="9"/>
  <c r="BK38" i="9"/>
  <c r="BM38" i="9" s="1"/>
  <c r="AJ38" i="9"/>
  <c r="S218" i="10"/>
  <c r="S176" i="10" s="1"/>
  <c r="BJ25" i="2"/>
  <c r="X141" i="10"/>
  <c r="X148" i="10"/>
  <c r="Q169" i="10"/>
  <c r="X169" i="10" s="1"/>
  <c r="Q190" i="10"/>
  <c r="X190" i="10" s="1"/>
  <c r="AY118" i="9"/>
  <c r="BR118" i="9"/>
  <c r="BT118" i="9"/>
  <c r="BP118" i="9"/>
  <c r="BS118" i="9"/>
  <c r="BQ118" i="9"/>
  <c r="AJ50" i="9"/>
  <c r="AY50" i="9" s="1"/>
  <c r="BA50" i="9" s="1"/>
  <c r="AJ48" i="9"/>
  <c r="AY48" i="9" s="1"/>
  <c r="BA48" i="9" s="1"/>
  <c r="AJ47" i="9"/>
  <c r="AY47" i="9" s="1"/>
  <c r="BA47" i="9" s="1"/>
  <c r="BK25" i="9"/>
  <c r="BM25" i="9" s="1"/>
  <c r="AJ25" i="9"/>
  <c r="AY25" i="9" s="1"/>
  <c r="BA25" i="9" s="1"/>
  <c r="AI21" i="9"/>
  <c r="AH27" i="9"/>
  <c r="AI43" i="9"/>
  <c r="BK43" i="9" s="1"/>
  <c r="BM43" i="9" s="1"/>
  <c r="AG54" i="9"/>
  <c r="AI46" i="9"/>
  <c r="BK46" i="9" s="1"/>
  <c r="BM46" i="9" s="1"/>
  <c r="AG27" i="9"/>
  <c r="AI20" i="9"/>
  <c r="Y43" i="9"/>
  <c r="Y54" i="9" s="1"/>
  <c r="W54" i="9"/>
  <c r="Y21" i="9"/>
  <c r="Y27" i="9" s="1"/>
  <c r="W27" i="9"/>
  <c r="U30" i="10" l="1"/>
  <c r="AY16" i="9"/>
  <c r="BA16" i="9" s="1"/>
  <c r="BD16" i="9" s="1"/>
  <c r="BQ16" i="9"/>
  <c r="R20" i="10" s="1"/>
  <c r="BS16" i="9"/>
  <c r="T20" i="10" s="1"/>
  <c r="N20" i="10" s="1"/>
  <c r="BR16" i="9"/>
  <c r="S20" i="10" s="1"/>
  <c r="K20" i="10" s="1"/>
  <c r="BT16" i="9"/>
  <c r="U20" i="10" s="1"/>
  <c r="M20" i="10" s="1"/>
  <c r="BP16" i="9"/>
  <c r="U197" i="10"/>
  <c r="T195" i="10"/>
  <c r="X216" i="10"/>
  <c r="R176" i="10"/>
  <c r="X218" i="10"/>
  <c r="S195" i="10"/>
  <c r="S208" i="10"/>
  <c r="BJ15" i="2"/>
  <c r="BA63" i="9"/>
  <c r="BD63" i="9" s="1"/>
  <c r="BD62" i="9"/>
  <c r="BS121" i="9"/>
  <c r="T200" i="10"/>
  <c r="BK7" i="2"/>
  <c r="S206" i="10"/>
  <c r="BJ13" i="2"/>
  <c r="BJ21" i="2"/>
  <c r="S214" i="10"/>
  <c r="Q136" i="10"/>
  <c r="BW63" i="9"/>
  <c r="T208" i="10"/>
  <c r="BK15" i="2"/>
  <c r="S202" i="10"/>
  <c r="BJ9" i="2"/>
  <c r="BL19" i="2"/>
  <c r="U212" i="10"/>
  <c r="BK20" i="2"/>
  <c r="T213" i="10"/>
  <c r="M22" i="10"/>
  <c r="S31" i="10"/>
  <c r="S52" i="10"/>
  <c r="K10" i="10"/>
  <c r="Q174" i="10"/>
  <c r="Q195" i="10"/>
  <c r="X153" i="10"/>
  <c r="AY41" i="9"/>
  <c r="BA41" i="9" s="1"/>
  <c r="BD41" i="9" s="1"/>
  <c r="BQ41" i="9"/>
  <c r="R81" i="10" s="1"/>
  <c r="BT41" i="9"/>
  <c r="U81" i="10" s="1"/>
  <c r="BR41" i="9"/>
  <c r="S81" i="10" s="1"/>
  <c r="BP41" i="9"/>
  <c r="BS41" i="9"/>
  <c r="T81" i="10" s="1"/>
  <c r="R31" i="10"/>
  <c r="R52" i="10"/>
  <c r="T198" i="10"/>
  <c r="BK5" i="2"/>
  <c r="BW65" i="9"/>
  <c r="Q138" i="10"/>
  <c r="BT121" i="9"/>
  <c r="U200" i="10"/>
  <c r="U158" i="10" s="1"/>
  <c r="BL7" i="2"/>
  <c r="T204" i="10"/>
  <c r="BK11" i="2"/>
  <c r="Q214" i="10"/>
  <c r="Q193" i="10" s="1"/>
  <c r="BH21" i="2"/>
  <c r="BW134" i="9"/>
  <c r="R202" i="10"/>
  <c r="BI9" i="2"/>
  <c r="T212" i="10"/>
  <c r="BK19" i="2"/>
  <c r="S213" i="10"/>
  <c r="BJ20" i="2"/>
  <c r="Q22" i="10"/>
  <c r="BW18" i="9"/>
  <c r="X149" i="10"/>
  <c r="L13" i="10"/>
  <c r="X13" i="10"/>
  <c r="U206" i="10"/>
  <c r="BL13" i="2"/>
  <c r="AY7" i="9"/>
  <c r="BA7" i="9" s="1"/>
  <c r="BT7" i="9"/>
  <c r="BQ7" i="9"/>
  <c r="BP7" i="9"/>
  <c r="BR7" i="9"/>
  <c r="BS7" i="9"/>
  <c r="AY36" i="9"/>
  <c r="BA36" i="9" s="1"/>
  <c r="BD36" i="9" s="1"/>
  <c r="BQ36" i="9"/>
  <c r="R76" i="10" s="1"/>
  <c r="BT36" i="9"/>
  <c r="U76" i="10" s="1"/>
  <c r="BR36" i="9"/>
  <c r="S76" i="10" s="1"/>
  <c r="BP36" i="9"/>
  <c r="BS36" i="9"/>
  <c r="T76" i="10" s="1"/>
  <c r="T93" i="10"/>
  <c r="N93" i="10" s="1"/>
  <c r="T114" i="10"/>
  <c r="Q202" i="10"/>
  <c r="BH9" i="2"/>
  <c r="BW122" i="9"/>
  <c r="BJ19" i="2"/>
  <c r="S212" i="10"/>
  <c r="BI20" i="2"/>
  <c r="R213" i="10"/>
  <c r="R203" i="10"/>
  <c r="BI10" i="2"/>
  <c r="T51" i="10"/>
  <c r="Q176" i="10"/>
  <c r="Q197" i="10"/>
  <c r="X155" i="10"/>
  <c r="AY49" i="9"/>
  <c r="BA49" i="9" s="1"/>
  <c r="BD49" i="9" s="1"/>
  <c r="BT49" i="9"/>
  <c r="U89" i="10" s="1"/>
  <c r="BR49" i="9"/>
  <c r="S89" i="10" s="1"/>
  <c r="BQ49" i="9"/>
  <c r="R89" i="10" s="1"/>
  <c r="BP49" i="9"/>
  <c r="BS49" i="9"/>
  <c r="T89" i="10" s="1"/>
  <c r="X26" i="10"/>
  <c r="L26" i="10"/>
  <c r="U114" i="10"/>
  <c r="U93" i="10"/>
  <c r="M93" i="10" s="1"/>
  <c r="BH19" i="2"/>
  <c r="Q212" i="10"/>
  <c r="BW132" i="9"/>
  <c r="BW133" i="9"/>
  <c r="Q213" i="10"/>
  <c r="Q192" i="10" s="1"/>
  <c r="BH20" i="2"/>
  <c r="T203" i="10"/>
  <c r="BK10" i="2"/>
  <c r="T30" i="10"/>
  <c r="AY34" i="9"/>
  <c r="BA34" i="9" s="1"/>
  <c r="BR34" i="9"/>
  <c r="BQ34" i="9"/>
  <c r="BT34" i="9"/>
  <c r="BP34" i="9"/>
  <c r="BS34" i="9"/>
  <c r="BW62" i="9"/>
  <c r="Q135" i="10"/>
  <c r="BW19" i="9"/>
  <c r="Q23" i="10"/>
  <c r="Q10" i="10"/>
  <c r="BW6" i="9"/>
  <c r="Q198" i="10"/>
  <c r="BH5" i="2"/>
  <c r="BW118" i="9"/>
  <c r="BR121" i="9"/>
  <c r="S200" i="10"/>
  <c r="S158" i="10" s="1"/>
  <c r="BJ7" i="2"/>
  <c r="BJ5" i="2"/>
  <c r="S198" i="10"/>
  <c r="S177" i="10" s="1"/>
  <c r="BA121" i="9"/>
  <c r="BD120" i="9"/>
  <c r="R204" i="10"/>
  <c r="BI11" i="2"/>
  <c r="AY45" i="9"/>
  <c r="BA45" i="9" s="1"/>
  <c r="BD45" i="9" s="1"/>
  <c r="BT45" i="9"/>
  <c r="U85" i="10" s="1"/>
  <c r="U64" i="10" s="1"/>
  <c r="BR45" i="9"/>
  <c r="S85" i="10" s="1"/>
  <c r="BQ45" i="9"/>
  <c r="R85" i="10" s="1"/>
  <c r="R64" i="10" s="1"/>
  <c r="BU45" i="9"/>
  <c r="V85" i="10" s="1"/>
  <c r="V43" i="10" s="1"/>
  <c r="BP45" i="9"/>
  <c r="BS45" i="9"/>
  <c r="T85" i="10" s="1"/>
  <c r="AY51" i="9"/>
  <c r="BA51" i="9" s="1"/>
  <c r="BD51" i="9" s="1"/>
  <c r="BT51" i="9"/>
  <c r="U91" i="10" s="1"/>
  <c r="BR51" i="9"/>
  <c r="S91" i="10" s="1"/>
  <c r="BQ51" i="9"/>
  <c r="R91" i="10" s="1"/>
  <c r="BP51" i="9"/>
  <c r="BS51" i="9"/>
  <c r="T91" i="10" s="1"/>
  <c r="BW32" i="9"/>
  <c r="Q72" i="10"/>
  <c r="Q30" i="10" s="1"/>
  <c r="R212" i="10"/>
  <c r="BI19" i="2"/>
  <c r="S203" i="10"/>
  <c r="BJ10" i="2"/>
  <c r="S197" i="10"/>
  <c r="N16" i="10"/>
  <c r="T37" i="10"/>
  <c r="X154" i="10"/>
  <c r="Q175" i="10"/>
  <c r="X175" i="10" s="1"/>
  <c r="Q196" i="10"/>
  <c r="X196" i="10" s="1"/>
  <c r="BD5" i="9"/>
  <c r="BA6" i="9"/>
  <c r="BD6" i="9" s="1"/>
  <c r="T158" i="10"/>
  <c r="T179" i="10"/>
  <c r="X137" i="10"/>
  <c r="Q158" i="10"/>
  <c r="Q179" i="10"/>
  <c r="U198" i="10"/>
  <c r="BL5" i="2"/>
  <c r="L9" i="10"/>
  <c r="X9" i="10"/>
  <c r="Q51" i="10"/>
  <c r="X18" i="10"/>
  <c r="L18" i="10"/>
  <c r="R115" i="10"/>
  <c r="R94" i="10"/>
  <c r="BW124" i="9"/>
  <c r="Q204" i="10"/>
  <c r="BH11" i="2"/>
  <c r="R93" i="10"/>
  <c r="R114" i="10"/>
  <c r="U203" i="10"/>
  <c r="BL10" i="2"/>
  <c r="AY24" i="9"/>
  <c r="BA24" i="9" s="1"/>
  <c r="BD24" i="9" s="1"/>
  <c r="BP24" i="9"/>
  <c r="BT24" i="9"/>
  <c r="U28" i="10" s="1"/>
  <c r="BQ24" i="9"/>
  <c r="R28" i="10" s="1"/>
  <c r="BR24" i="9"/>
  <c r="S28" i="10" s="1"/>
  <c r="BS24" i="9"/>
  <c r="T28" i="10" s="1"/>
  <c r="M16" i="10"/>
  <c r="R174" i="10"/>
  <c r="T202" i="10"/>
  <c r="BK9" i="2"/>
  <c r="U213" i="10"/>
  <c r="BL20" i="2"/>
  <c r="K22" i="10"/>
  <c r="S43" i="10"/>
  <c r="S64" i="10"/>
  <c r="U204" i="10"/>
  <c r="BL11" i="2"/>
  <c r="AY44" i="9"/>
  <c r="BA44" i="9" s="1"/>
  <c r="BD44" i="9" s="1"/>
  <c r="BQ44" i="9"/>
  <c r="R84" i="10" s="1"/>
  <c r="BT44" i="9"/>
  <c r="U84" i="10" s="1"/>
  <c r="BR44" i="9"/>
  <c r="S84" i="10" s="1"/>
  <c r="BP44" i="9"/>
  <c r="BS44" i="9"/>
  <c r="T84" i="10" s="1"/>
  <c r="U115" i="10"/>
  <c r="U94" i="10"/>
  <c r="M94" i="10" s="1"/>
  <c r="AY39" i="9"/>
  <c r="BA39" i="9" s="1"/>
  <c r="BD39" i="9" s="1"/>
  <c r="BT39" i="9"/>
  <c r="U79" i="10" s="1"/>
  <c r="U37" i="10" s="1"/>
  <c r="BR39" i="9"/>
  <c r="S79" i="10" s="1"/>
  <c r="S58" i="10" s="1"/>
  <c r="BQ39" i="9"/>
  <c r="R79" i="10" s="1"/>
  <c r="R37" i="10" s="1"/>
  <c r="BP39" i="9"/>
  <c r="BS39" i="9"/>
  <c r="T79" i="10" s="1"/>
  <c r="T58" i="10" s="1"/>
  <c r="X150" i="10"/>
  <c r="AY17" i="9"/>
  <c r="BA17" i="9" s="1"/>
  <c r="BD17" i="9" s="1"/>
  <c r="BQ17" i="9"/>
  <c r="R21" i="10" s="1"/>
  <c r="BT17" i="9"/>
  <c r="U21" i="10" s="1"/>
  <c r="BR17" i="9"/>
  <c r="S21" i="10" s="1"/>
  <c r="BP17" i="9"/>
  <c r="BS17" i="9"/>
  <c r="T21" i="10" s="1"/>
  <c r="S93" i="10"/>
  <c r="K93" i="10" s="1"/>
  <c r="S114" i="10"/>
  <c r="AY40" i="9"/>
  <c r="BA40" i="9" s="1"/>
  <c r="BD40" i="9" s="1"/>
  <c r="BT40" i="9"/>
  <c r="U80" i="10" s="1"/>
  <c r="BR40" i="9"/>
  <c r="S80" i="10" s="1"/>
  <c r="BQ40" i="9"/>
  <c r="R80" i="10" s="1"/>
  <c r="BP40" i="9"/>
  <c r="BS40" i="9"/>
  <c r="T80" i="10" s="1"/>
  <c r="Q203" i="10"/>
  <c r="Q182" i="10" s="1"/>
  <c r="BH10" i="2"/>
  <c r="BW123" i="9"/>
  <c r="R51" i="10"/>
  <c r="X19" i="10"/>
  <c r="L19" i="10"/>
  <c r="K16" i="10"/>
  <c r="S37" i="10"/>
  <c r="R198" i="10"/>
  <c r="R177" i="10" s="1"/>
  <c r="BI5" i="2"/>
  <c r="Q200" i="10"/>
  <c r="BH7" i="2"/>
  <c r="BP121" i="9"/>
  <c r="BW120" i="9"/>
  <c r="T177" i="10"/>
  <c r="T156" i="10"/>
  <c r="X14" i="10"/>
  <c r="L14" i="10"/>
  <c r="BW33" i="9"/>
  <c r="Q73" i="10"/>
  <c r="L15" i="10"/>
  <c r="X15" i="10"/>
  <c r="L17" i="10"/>
  <c r="X17" i="10"/>
  <c r="BA32" i="9"/>
  <c r="R30" i="10"/>
  <c r="Q16" i="10"/>
  <c r="BW12" i="9"/>
  <c r="AY119" i="9"/>
  <c r="BA118" i="9" s="1"/>
  <c r="BS119" i="9"/>
  <c r="BP119" i="9"/>
  <c r="BR119" i="9"/>
  <c r="BT119" i="9"/>
  <c r="BQ119" i="9"/>
  <c r="R206" i="10"/>
  <c r="BI13" i="2"/>
  <c r="U208" i="10"/>
  <c r="BL15" i="2"/>
  <c r="BQ121" i="9"/>
  <c r="R200" i="10"/>
  <c r="R158" i="10" s="1"/>
  <c r="BI7" i="2"/>
  <c r="U202" i="10"/>
  <c r="BL9" i="2"/>
  <c r="Q27" i="10"/>
  <c r="BW23" i="9"/>
  <c r="S115" i="10"/>
  <c r="S94" i="10"/>
  <c r="K94" i="10" s="1"/>
  <c r="Q206" i="10"/>
  <c r="BH13" i="2"/>
  <c r="BW126" i="9"/>
  <c r="R208" i="10"/>
  <c r="BI15" i="2"/>
  <c r="X151" i="10"/>
  <c r="T31" i="10"/>
  <c r="T52" i="10"/>
  <c r="N10" i="10"/>
  <c r="T94" i="10"/>
  <c r="N94" i="10" s="1"/>
  <c r="T214" i="10"/>
  <c r="BK21" i="2"/>
  <c r="AY52" i="9"/>
  <c r="BA52" i="9" s="1"/>
  <c r="BD52" i="9" s="1"/>
  <c r="BR52" i="9"/>
  <c r="S92" i="10" s="1"/>
  <c r="BT52" i="9"/>
  <c r="U92" i="10" s="1"/>
  <c r="BQ52" i="9"/>
  <c r="R92" i="10" s="1"/>
  <c r="BP52" i="9"/>
  <c r="BS52" i="9"/>
  <c r="T92" i="10" s="1"/>
  <c r="BI21" i="2"/>
  <c r="R214" i="10"/>
  <c r="S204" i="10"/>
  <c r="BJ11" i="2"/>
  <c r="AY38" i="9"/>
  <c r="BA38" i="9" s="1"/>
  <c r="BD38" i="9" s="1"/>
  <c r="BT38" i="9"/>
  <c r="U78" i="10" s="1"/>
  <c r="BP38" i="9"/>
  <c r="BR38" i="9"/>
  <c r="S78" i="10" s="1"/>
  <c r="BQ38" i="9"/>
  <c r="R78" i="10" s="1"/>
  <c r="BS38" i="9"/>
  <c r="T78" i="10" s="1"/>
  <c r="AY42" i="9"/>
  <c r="BA42" i="9" s="1"/>
  <c r="BD42" i="9" s="1"/>
  <c r="BR42" i="9"/>
  <c r="S82" i="10" s="1"/>
  <c r="BT42" i="9"/>
  <c r="U82" i="10" s="1"/>
  <c r="BQ42" i="9"/>
  <c r="R82" i="10" s="1"/>
  <c r="BP42" i="9"/>
  <c r="BS42" i="9"/>
  <c r="T82" i="10" s="1"/>
  <c r="U156" i="10"/>
  <c r="U177" i="10"/>
  <c r="X140" i="10"/>
  <c r="Q161" i="10"/>
  <c r="T206" i="10"/>
  <c r="BK13" i="2"/>
  <c r="BL21" i="2"/>
  <c r="U214" i="10"/>
  <c r="BW128" i="9"/>
  <c r="Q208" i="10"/>
  <c r="BH15" i="2"/>
  <c r="N22" i="10"/>
  <c r="T43" i="10"/>
  <c r="T64" i="10"/>
  <c r="M10" i="10"/>
  <c r="U31" i="10"/>
  <c r="U52" i="10"/>
  <c r="AY37" i="9"/>
  <c r="BA37" i="9" s="1"/>
  <c r="BD37" i="9" s="1"/>
  <c r="BR37" i="9"/>
  <c r="S77" i="10" s="1"/>
  <c r="BT37" i="9"/>
  <c r="U77" i="10" s="1"/>
  <c r="BQ37" i="9"/>
  <c r="R77" i="10" s="1"/>
  <c r="BP37" i="9"/>
  <c r="BS37" i="9"/>
  <c r="T77" i="10" s="1"/>
  <c r="T176" i="10"/>
  <c r="T115" i="10"/>
  <c r="BD25" i="9"/>
  <c r="BD48" i="9"/>
  <c r="BD47" i="9"/>
  <c r="BD50" i="9"/>
  <c r="BQ48" i="9"/>
  <c r="R88" i="10" s="1"/>
  <c r="BS48" i="9"/>
  <c r="T88" i="10" s="1"/>
  <c r="BR48" i="9"/>
  <c r="S88" i="10" s="1"/>
  <c r="BT48" i="9"/>
  <c r="U88" i="10" s="1"/>
  <c r="BP48" i="9"/>
  <c r="BP47" i="9"/>
  <c r="BR47" i="9"/>
  <c r="S87" i="10" s="1"/>
  <c r="BT47" i="9"/>
  <c r="U87" i="10" s="1"/>
  <c r="BS47" i="9"/>
  <c r="T87" i="10" s="1"/>
  <c r="BQ47" i="9"/>
  <c r="R87" i="10" s="1"/>
  <c r="BQ50" i="9"/>
  <c r="R90" i="10" s="1"/>
  <c r="BS50" i="9"/>
  <c r="T90" i="10" s="1"/>
  <c r="BR50" i="9"/>
  <c r="S90" i="10" s="1"/>
  <c r="BT50" i="9"/>
  <c r="U90" i="10" s="1"/>
  <c r="BP50" i="9"/>
  <c r="AI54" i="9"/>
  <c r="AJ46" i="9"/>
  <c r="AY46" i="9" s="1"/>
  <c r="BA46" i="9" s="1"/>
  <c r="AJ43" i="9"/>
  <c r="AY43" i="9" s="1"/>
  <c r="BA43" i="9" s="1"/>
  <c r="BD43" i="9" s="1"/>
  <c r="BQ25" i="9"/>
  <c r="R29" i="10" s="1"/>
  <c r="BS25" i="9"/>
  <c r="T29" i="10" s="1"/>
  <c r="BP25" i="9"/>
  <c r="Q29" i="10" s="1"/>
  <c r="BR25" i="9"/>
  <c r="S29" i="10" s="1"/>
  <c r="BT25" i="9"/>
  <c r="U29" i="10" s="1"/>
  <c r="BK20" i="9"/>
  <c r="BM20" i="9" s="1"/>
  <c r="AJ20" i="9"/>
  <c r="AY20" i="9" s="1"/>
  <c r="BA20" i="9" s="1"/>
  <c r="BK21" i="9"/>
  <c r="AJ21" i="9"/>
  <c r="AY21" i="9" s="1"/>
  <c r="BA21" i="9" s="1"/>
  <c r="AD111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Q172" i="10" l="1"/>
  <c r="Q20" i="10"/>
  <c r="BW16" i="9"/>
  <c r="R58" i="10"/>
  <c r="X51" i="10"/>
  <c r="R179" i="10"/>
  <c r="S179" i="10"/>
  <c r="X195" i="10"/>
  <c r="X212" i="10"/>
  <c r="Q171" i="10"/>
  <c r="BA119" i="9"/>
  <c r="BD119" i="9" s="1"/>
  <c r="BD118" i="9"/>
  <c r="BW40" i="9"/>
  <c r="Q80" i="10"/>
  <c r="R97" i="10"/>
  <c r="R118" i="10"/>
  <c r="R34" i="10"/>
  <c r="R55" i="10"/>
  <c r="R99" i="10"/>
  <c r="R120" i="10"/>
  <c r="R36" i="10"/>
  <c r="R57" i="10"/>
  <c r="BW52" i="9"/>
  <c r="Q92" i="10"/>
  <c r="U166" i="10"/>
  <c r="U187" i="10"/>
  <c r="BD32" i="9"/>
  <c r="BA33" i="9"/>
  <c r="BD33" i="9" s="1"/>
  <c r="L142" i="10"/>
  <c r="R101" i="10"/>
  <c r="R122" i="10"/>
  <c r="R38" i="10"/>
  <c r="R59" i="10"/>
  <c r="BW44" i="9"/>
  <c r="Q84" i="10"/>
  <c r="Q28" i="10"/>
  <c r="BW24" i="9"/>
  <c r="U133" i="10"/>
  <c r="U112" i="10"/>
  <c r="M112" i="10" s="1"/>
  <c r="R183" i="10"/>
  <c r="R162" i="10"/>
  <c r="X198" i="10"/>
  <c r="BQ35" i="9"/>
  <c r="R75" i="10" s="1"/>
  <c r="R74" i="10"/>
  <c r="U131" i="10"/>
  <c r="U110" i="10"/>
  <c r="M110" i="10" s="1"/>
  <c r="U47" i="10"/>
  <c r="U68" i="10"/>
  <c r="S191" i="10"/>
  <c r="S170" i="10"/>
  <c r="X138" i="10"/>
  <c r="R123" i="10"/>
  <c r="R102" i="10"/>
  <c r="R60" i="10"/>
  <c r="R39" i="10"/>
  <c r="M144" i="10"/>
  <c r="S185" i="10"/>
  <c r="S164" i="10"/>
  <c r="R171" i="10"/>
  <c r="R192" i="10"/>
  <c r="S133" i="10"/>
  <c r="S112" i="10"/>
  <c r="K112" i="10" s="1"/>
  <c r="U201" i="10"/>
  <c r="BL8" i="2"/>
  <c r="S120" i="10"/>
  <c r="S99" i="10"/>
  <c r="K99" i="10" s="1"/>
  <c r="S36" i="10"/>
  <c r="S57" i="10"/>
  <c r="R113" i="10"/>
  <c r="R134" i="10"/>
  <c r="M142" i="10"/>
  <c r="S122" i="10"/>
  <c r="S101" i="10"/>
  <c r="K101" i="10" s="1"/>
  <c r="S59" i="10"/>
  <c r="S38" i="10"/>
  <c r="S105" i="10"/>
  <c r="K105" i="10" s="1"/>
  <c r="S126" i="10"/>
  <c r="BR35" i="9"/>
  <c r="S75" i="10" s="1"/>
  <c r="S74" i="10"/>
  <c r="R181" i="10"/>
  <c r="R160" i="10"/>
  <c r="U191" i="10"/>
  <c r="U170" i="10"/>
  <c r="R131" i="10"/>
  <c r="R110" i="10"/>
  <c r="R47" i="10"/>
  <c r="R68" i="10"/>
  <c r="U101" i="10"/>
  <c r="M101" i="10" s="1"/>
  <c r="O142" i="10"/>
  <c r="U122" i="10"/>
  <c r="U59" i="10"/>
  <c r="U38" i="10"/>
  <c r="U126" i="10"/>
  <c r="U105" i="10"/>
  <c r="M105" i="10" s="1"/>
  <c r="Q52" i="10"/>
  <c r="X52" i="10" s="1"/>
  <c r="Q31" i="10"/>
  <c r="X31" i="10" s="1"/>
  <c r="L10" i="10"/>
  <c r="X10" i="10"/>
  <c r="BA35" i="9"/>
  <c r="BD34" i="9"/>
  <c r="K144" i="10"/>
  <c r="X206" i="10"/>
  <c r="Q164" i="10"/>
  <c r="Q185" i="10"/>
  <c r="U102" i="10"/>
  <c r="M102" i="10" s="1"/>
  <c r="U123" i="10"/>
  <c r="U60" i="10"/>
  <c r="U39" i="10"/>
  <c r="T121" i="10"/>
  <c r="T100" i="10"/>
  <c r="N100" i="10" s="1"/>
  <c r="R105" i="10"/>
  <c r="R126" i="10"/>
  <c r="T160" i="10"/>
  <c r="T181" i="10"/>
  <c r="U182" i="10"/>
  <c r="U161" i="10"/>
  <c r="S161" i="10"/>
  <c r="S182" i="10"/>
  <c r="X23" i="10"/>
  <c r="L23" i="10"/>
  <c r="X197" i="10"/>
  <c r="T11" i="10"/>
  <c r="BS8" i="9"/>
  <c r="T12" i="10" s="1"/>
  <c r="T201" i="10"/>
  <c r="BK8" i="2"/>
  <c r="X158" i="10"/>
  <c r="L144" i="10"/>
  <c r="R185" i="10"/>
  <c r="R164" i="10"/>
  <c r="R199" i="10"/>
  <c r="BI6" i="2"/>
  <c r="BW37" i="9"/>
  <c r="Q77" i="10"/>
  <c r="U199" i="10"/>
  <c r="BL6" i="2"/>
  <c r="BW39" i="9"/>
  <c r="Q79" i="10"/>
  <c r="X30" i="10"/>
  <c r="T127" i="10"/>
  <c r="T106" i="10"/>
  <c r="N106" i="10" s="1"/>
  <c r="X176" i="10"/>
  <c r="X202" i="10"/>
  <c r="Q181" i="10"/>
  <c r="Q160" i="10"/>
  <c r="S11" i="10"/>
  <c r="BR8" i="9"/>
  <c r="S12" i="10" s="1"/>
  <c r="Q191" i="10"/>
  <c r="X174" i="10"/>
  <c r="S160" i="10"/>
  <c r="S181" i="10"/>
  <c r="X16" i="10"/>
  <c r="Q58" i="10"/>
  <c r="L16" i="10"/>
  <c r="Q37" i="10"/>
  <c r="X37" i="10" s="1"/>
  <c r="R112" i="10"/>
  <c r="R133" i="10"/>
  <c r="S123" i="10"/>
  <c r="S102" i="10"/>
  <c r="K102" i="10" s="1"/>
  <c r="S60" i="10"/>
  <c r="S39" i="10"/>
  <c r="T170" i="10"/>
  <c r="T191" i="10"/>
  <c r="R156" i="10"/>
  <c r="X208" i="10"/>
  <c r="Q187" i="10"/>
  <c r="Q166" i="10"/>
  <c r="R119" i="10"/>
  <c r="R98" i="10"/>
  <c r="R35" i="10"/>
  <c r="R56" i="10"/>
  <c r="T103" i="10"/>
  <c r="N103" i="10" s="1"/>
  <c r="T124" i="10"/>
  <c r="T40" i="10"/>
  <c r="T61" i="10"/>
  <c r="X27" i="10"/>
  <c r="L27" i="10"/>
  <c r="S199" i="10"/>
  <c r="BJ6" i="2"/>
  <c r="R121" i="10"/>
  <c r="R100" i="10"/>
  <c r="U58" i="10"/>
  <c r="R191" i="10"/>
  <c r="R170" i="10"/>
  <c r="BW45" i="9"/>
  <c r="Q85" i="10"/>
  <c r="Q43" i="10" s="1"/>
  <c r="T182" i="10"/>
  <c r="T161" i="10"/>
  <c r="R43" i="10"/>
  <c r="Q11" i="10"/>
  <c r="BW7" i="9"/>
  <c r="BP8" i="9"/>
  <c r="Q170" i="10"/>
  <c r="BT35" i="9"/>
  <c r="U75" i="10" s="1"/>
  <c r="U74" i="10"/>
  <c r="U134" i="10"/>
  <c r="U113" i="10"/>
  <c r="M113" i="10" s="1"/>
  <c r="S113" i="10"/>
  <c r="K113" i="10" s="1"/>
  <c r="S134" i="10"/>
  <c r="U98" i="10"/>
  <c r="M98" i="10" s="1"/>
  <c r="U119" i="10"/>
  <c r="U56" i="10"/>
  <c r="U35" i="10"/>
  <c r="U172" i="10"/>
  <c r="U193" i="10"/>
  <c r="BW42" i="9"/>
  <c r="Q82" i="10"/>
  <c r="S162" i="10"/>
  <c r="S183" i="10"/>
  <c r="T193" i="10"/>
  <c r="T172" i="10"/>
  <c r="BW119" i="9"/>
  <c r="Q199" i="10"/>
  <c r="Q178" i="10" s="1"/>
  <c r="BH6" i="2"/>
  <c r="BW121" i="9"/>
  <c r="Q201" i="10"/>
  <c r="Q159" i="10" s="1"/>
  <c r="BH8" i="2"/>
  <c r="N21" i="10"/>
  <c r="T42" i="10"/>
  <c r="T63" i="10"/>
  <c r="S121" i="10"/>
  <c r="S100" i="10"/>
  <c r="K100" i="10" s="1"/>
  <c r="U183" i="10"/>
  <c r="U162" i="10"/>
  <c r="Q114" i="10"/>
  <c r="X114" i="10" s="1"/>
  <c r="X72" i="10"/>
  <c r="Q93" i="10"/>
  <c r="V127" i="10"/>
  <c r="V106" i="10"/>
  <c r="V64" i="10"/>
  <c r="R11" i="10"/>
  <c r="BQ8" i="9"/>
  <c r="R12" i="10" s="1"/>
  <c r="X214" i="10"/>
  <c r="T187" i="10"/>
  <c r="T166" i="10"/>
  <c r="N142" i="10"/>
  <c r="T101" i="10"/>
  <c r="N101" i="10" s="1"/>
  <c r="T122" i="10"/>
  <c r="T38" i="10"/>
  <c r="T59" i="10"/>
  <c r="O144" i="10"/>
  <c r="U164" i="10"/>
  <c r="U185" i="10"/>
  <c r="T126" i="10"/>
  <c r="T105" i="10"/>
  <c r="N105" i="10" s="1"/>
  <c r="S110" i="10"/>
  <c r="K110" i="10" s="1"/>
  <c r="S131" i="10"/>
  <c r="S47" i="10"/>
  <c r="S68" i="10"/>
  <c r="U99" i="10"/>
  <c r="M99" i="10" s="1"/>
  <c r="U120" i="10"/>
  <c r="U57" i="10"/>
  <c r="U36" i="10"/>
  <c r="S98" i="10"/>
  <c r="K98" i="10" s="1"/>
  <c r="S119" i="10"/>
  <c r="S56" i="10"/>
  <c r="S35" i="10"/>
  <c r="R103" i="10"/>
  <c r="R124" i="10"/>
  <c r="R40" i="10"/>
  <c r="R61" i="10"/>
  <c r="U179" i="10"/>
  <c r="X179" i="10" s="1"/>
  <c r="R187" i="10"/>
  <c r="R166" i="10"/>
  <c r="U160" i="10"/>
  <c r="U181" i="10"/>
  <c r="T199" i="10"/>
  <c r="BK6" i="2"/>
  <c r="Q21" i="10"/>
  <c r="BW17" i="9"/>
  <c r="U100" i="10"/>
  <c r="M100" i="10" s="1"/>
  <c r="U121" i="10"/>
  <c r="X204" i="10"/>
  <c r="Q162" i="10"/>
  <c r="Q183" i="10"/>
  <c r="X183" i="10" s="1"/>
  <c r="R127" i="10"/>
  <c r="R106" i="10"/>
  <c r="S201" i="10"/>
  <c r="BJ8" i="2"/>
  <c r="Q156" i="10"/>
  <c r="Q177" i="10"/>
  <c r="X177" i="10" s="1"/>
  <c r="X135" i="10"/>
  <c r="X213" i="10"/>
  <c r="T118" i="10"/>
  <c r="T97" i="10"/>
  <c r="N97" i="10" s="1"/>
  <c r="T34" i="10"/>
  <c r="T55" i="10"/>
  <c r="U11" i="10"/>
  <c r="BT8" i="9"/>
  <c r="U12" i="10" s="1"/>
  <c r="L22" i="10"/>
  <c r="Q64" i="10"/>
  <c r="X22" i="10"/>
  <c r="S187" i="10"/>
  <c r="S166" i="10"/>
  <c r="R201" i="10"/>
  <c r="BI8" i="2"/>
  <c r="R49" i="10"/>
  <c r="R70" i="10"/>
  <c r="U118" i="10"/>
  <c r="U97" i="10"/>
  <c r="M97" i="10" s="1"/>
  <c r="U55" i="10"/>
  <c r="U34" i="10"/>
  <c r="T99" i="10"/>
  <c r="N99" i="10" s="1"/>
  <c r="T120" i="10"/>
  <c r="T36" i="10"/>
  <c r="T57" i="10"/>
  <c r="U49" i="10"/>
  <c r="M28" i="10"/>
  <c r="U70" i="10"/>
  <c r="T171" i="10"/>
  <c r="T192" i="10"/>
  <c r="BW38" i="9"/>
  <c r="Q78" i="10"/>
  <c r="T119" i="10"/>
  <c r="T98" i="10"/>
  <c r="N98" i="10" s="1"/>
  <c r="T35" i="10"/>
  <c r="T56" i="10"/>
  <c r="U124" i="10"/>
  <c r="U103" i="10"/>
  <c r="M103" i="10" s="1"/>
  <c r="U40" i="10"/>
  <c r="U61" i="10"/>
  <c r="X200" i="10"/>
  <c r="K21" i="10"/>
  <c r="S42" i="10"/>
  <c r="S63" i="10"/>
  <c r="T49" i="10"/>
  <c r="T70" i="10"/>
  <c r="N28" i="10"/>
  <c r="T133" i="10"/>
  <c r="T112" i="10"/>
  <c r="N112" i="10" s="1"/>
  <c r="S127" i="10"/>
  <c r="S106" i="10"/>
  <c r="K106" i="10" s="1"/>
  <c r="T131" i="10"/>
  <c r="T110" i="10"/>
  <c r="N110" i="10" s="1"/>
  <c r="T47" i="10"/>
  <c r="T68" i="10"/>
  <c r="BW36" i="9"/>
  <c r="Q76" i="10"/>
  <c r="BD7" i="9"/>
  <c r="BA8" i="9"/>
  <c r="T162" i="10"/>
  <c r="T183" i="10"/>
  <c r="T123" i="10"/>
  <c r="T102" i="10"/>
  <c r="N102" i="10" s="1"/>
  <c r="T39" i="10"/>
  <c r="T60" i="10"/>
  <c r="X136" i="10"/>
  <c r="Q157" i="10"/>
  <c r="S156" i="10"/>
  <c r="R42" i="10"/>
  <c r="R63" i="10"/>
  <c r="BW34" i="9"/>
  <c r="Q74" i="10"/>
  <c r="BP35" i="9"/>
  <c r="T113" i="10"/>
  <c r="N113" i="10" s="1"/>
  <c r="T134" i="10"/>
  <c r="U171" i="10"/>
  <c r="U192" i="10"/>
  <c r="N144" i="10"/>
  <c r="T164" i="10"/>
  <c r="T185" i="10"/>
  <c r="S124" i="10"/>
  <c r="S103" i="10"/>
  <c r="K103" i="10" s="1"/>
  <c r="S40" i="10"/>
  <c r="S61" i="10"/>
  <c r="R193" i="10"/>
  <c r="X193" i="10" s="1"/>
  <c r="R172" i="10"/>
  <c r="Q94" i="10"/>
  <c r="X73" i="10"/>
  <c r="Q115" i="10"/>
  <c r="X115" i="10" s="1"/>
  <c r="X203" i="10"/>
  <c r="M21" i="10"/>
  <c r="U42" i="10"/>
  <c r="U63" i="10"/>
  <c r="S70" i="10"/>
  <c r="K28" i="10"/>
  <c r="S49" i="10"/>
  <c r="BW51" i="9"/>
  <c r="Q91" i="10"/>
  <c r="U127" i="10"/>
  <c r="U106" i="10"/>
  <c r="M106" i="10" s="1"/>
  <c r="BS35" i="9"/>
  <c r="T75" i="10" s="1"/>
  <c r="T74" i="10"/>
  <c r="BW49" i="9"/>
  <c r="Q89" i="10"/>
  <c r="R161" i="10"/>
  <c r="X161" i="10" s="1"/>
  <c r="R182" i="10"/>
  <c r="S97" i="10"/>
  <c r="K97" i="10" s="1"/>
  <c r="S118" i="10"/>
  <c r="S34" i="10"/>
  <c r="S55" i="10"/>
  <c r="S171" i="10"/>
  <c r="S192" i="10"/>
  <c r="BW41" i="9"/>
  <c r="Q81" i="10"/>
  <c r="U43" i="10"/>
  <c r="S172" i="10"/>
  <c r="S193" i="10"/>
  <c r="AD94" i="2"/>
  <c r="AF94" i="2" s="1"/>
  <c r="AD93" i="2"/>
  <c r="BD21" i="9"/>
  <c r="BD20" i="9"/>
  <c r="BD46" i="9"/>
  <c r="BT43" i="9"/>
  <c r="U83" i="10" s="1"/>
  <c r="BR43" i="9"/>
  <c r="S83" i="10" s="1"/>
  <c r="BP43" i="9"/>
  <c r="BS43" i="9"/>
  <c r="T83" i="10" s="1"/>
  <c r="BQ43" i="9"/>
  <c r="R83" i="10" s="1"/>
  <c r="S50" i="10"/>
  <c r="S71" i="10"/>
  <c r="K29" i="10"/>
  <c r="T50" i="10"/>
  <c r="T71" i="10"/>
  <c r="N29" i="10"/>
  <c r="U132" i="10"/>
  <c r="U111" i="10"/>
  <c r="M111" i="10" s="1"/>
  <c r="U48" i="10"/>
  <c r="U69" i="10"/>
  <c r="T111" i="10"/>
  <c r="N111" i="10" s="1"/>
  <c r="T132" i="10"/>
  <c r="T69" i="10"/>
  <c r="T48" i="10"/>
  <c r="R129" i="10"/>
  <c r="R108" i="10"/>
  <c r="U108" i="10"/>
  <c r="M108" i="10" s="1"/>
  <c r="U129" i="10"/>
  <c r="BW47" i="9"/>
  <c r="Q87" i="10"/>
  <c r="U130" i="10"/>
  <c r="U109" i="10"/>
  <c r="M109" i="10" s="1"/>
  <c r="T109" i="10"/>
  <c r="N109" i="10" s="1"/>
  <c r="T130" i="10"/>
  <c r="U50" i="10"/>
  <c r="U71" i="10"/>
  <c r="M29" i="10"/>
  <c r="X29" i="10"/>
  <c r="Q71" i="10"/>
  <c r="Q50" i="10"/>
  <c r="L29" i="10"/>
  <c r="R50" i="10"/>
  <c r="R71" i="10"/>
  <c r="BQ46" i="9"/>
  <c r="R86" i="10" s="1"/>
  <c r="BS46" i="9"/>
  <c r="T86" i="10" s="1"/>
  <c r="BR46" i="9"/>
  <c r="S86" i="10" s="1"/>
  <c r="BT46" i="9"/>
  <c r="U86" i="10" s="1"/>
  <c r="BP46" i="9"/>
  <c r="BW50" i="9"/>
  <c r="Q90" i="10"/>
  <c r="S132" i="10"/>
  <c r="S111" i="10"/>
  <c r="K111" i="10" s="1"/>
  <c r="S48" i="10"/>
  <c r="S69" i="10"/>
  <c r="R111" i="10"/>
  <c r="R132" i="10"/>
  <c r="R69" i="10"/>
  <c r="R48" i="10"/>
  <c r="T129" i="10"/>
  <c r="T108" i="10"/>
  <c r="N108" i="10" s="1"/>
  <c r="S108" i="10"/>
  <c r="K108" i="10" s="1"/>
  <c r="S129" i="10"/>
  <c r="BW48" i="9"/>
  <c r="Q88" i="10"/>
  <c r="S130" i="10"/>
  <c r="S109" i="10"/>
  <c r="K109" i="10" s="1"/>
  <c r="R109" i="10"/>
  <c r="R130" i="10"/>
  <c r="AD92" i="2"/>
  <c r="AF92" i="2" s="1"/>
  <c r="AD91" i="2"/>
  <c r="AF91" i="2" s="1"/>
  <c r="AD90" i="2"/>
  <c r="AF90" i="2" s="1"/>
  <c r="AF110" i="2"/>
  <c r="AF108" i="2"/>
  <c r="AF106" i="2"/>
  <c r="AF104" i="2"/>
  <c r="AF102" i="2"/>
  <c r="AF100" i="2"/>
  <c r="AF98" i="2"/>
  <c r="AF96" i="2"/>
  <c r="AF109" i="2"/>
  <c r="AF107" i="2"/>
  <c r="AF105" i="2"/>
  <c r="AF103" i="2"/>
  <c r="AF101" i="2"/>
  <c r="AF99" i="2"/>
  <c r="AF97" i="2"/>
  <c r="AF95" i="2"/>
  <c r="AF93" i="2"/>
  <c r="BQ21" i="9"/>
  <c r="R25" i="10" s="1"/>
  <c r="BS21" i="9"/>
  <c r="T25" i="10" s="1"/>
  <c r="BP21" i="9"/>
  <c r="Q25" i="10" s="1"/>
  <c r="BR21" i="9"/>
  <c r="S25" i="10" s="1"/>
  <c r="BT21" i="9"/>
  <c r="U25" i="10" s="1"/>
  <c r="BQ20" i="9"/>
  <c r="R24" i="10" s="1"/>
  <c r="BS20" i="9"/>
  <c r="T24" i="10" s="1"/>
  <c r="BP20" i="9"/>
  <c r="Q24" i="10" s="1"/>
  <c r="BR20" i="9"/>
  <c r="S24" i="10" s="1"/>
  <c r="BT20" i="9"/>
  <c r="U24" i="10" s="1"/>
  <c r="BW25" i="9"/>
  <c r="X162" i="10" l="1"/>
  <c r="X172" i="10"/>
  <c r="X182" i="10"/>
  <c r="X20" i="10"/>
  <c r="L20" i="10"/>
  <c r="X170" i="10"/>
  <c r="X192" i="10"/>
  <c r="X171" i="10"/>
  <c r="X191" i="10"/>
  <c r="N12" i="10"/>
  <c r="T33" i="10"/>
  <c r="T54" i="10"/>
  <c r="M11" i="10"/>
  <c r="U32" i="10"/>
  <c r="U53" i="10"/>
  <c r="K11" i="10"/>
  <c r="S32" i="10"/>
  <c r="S53" i="10"/>
  <c r="N11" i="10"/>
  <c r="T32" i="10"/>
  <c r="T53" i="10"/>
  <c r="U159" i="10"/>
  <c r="U180" i="10"/>
  <c r="R117" i="10"/>
  <c r="R96" i="10"/>
  <c r="U157" i="10"/>
  <c r="U178" i="10"/>
  <c r="X94" i="10"/>
  <c r="L94" i="10"/>
  <c r="X201" i="10"/>
  <c r="BW8" i="9"/>
  <c r="Q12" i="10"/>
  <c r="X160" i="10"/>
  <c r="Q119" i="10"/>
  <c r="X119" i="10" s="1"/>
  <c r="Q98" i="10"/>
  <c r="X77" i="10"/>
  <c r="Q56" i="10"/>
  <c r="X56" i="10" s="1"/>
  <c r="Q35" i="10"/>
  <c r="X35" i="10" s="1"/>
  <c r="Q180" i="10"/>
  <c r="S159" i="10"/>
  <c r="S180" i="10"/>
  <c r="K12" i="10"/>
  <c r="S33" i="10"/>
  <c r="S54" i="10"/>
  <c r="X93" i="10"/>
  <c r="L93" i="10"/>
  <c r="X181" i="10"/>
  <c r="T159" i="10"/>
  <c r="T180" i="10"/>
  <c r="X11" i="10"/>
  <c r="Q32" i="10"/>
  <c r="Q53" i="10"/>
  <c r="L11" i="10"/>
  <c r="S178" i="10"/>
  <c r="S157" i="10"/>
  <c r="X166" i="10"/>
  <c r="BW35" i="9"/>
  <c r="Q75" i="10"/>
  <c r="R159" i="10"/>
  <c r="X159" i="10" s="1"/>
  <c r="R180" i="10"/>
  <c r="X199" i="10"/>
  <c r="X187" i="10"/>
  <c r="R178" i="10"/>
  <c r="R157" i="10"/>
  <c r="K142" i="10"/>
  <c r="Q122" i="10"/>
  <c r="X122" i="10" s="1"/>
  <c r="Q101" i="10"/>
  <c r="X80" i="10"/>
  <c r="Q38" i="10"/>
  <c r="X38" i="10" s="1"/>
  <c r="Q59" i="10"/>
  <c r="X59" i="10" s="1"/>
  <c r="Q95" i="10"/>
  <c r="Q116" i="10"/>
  <c r="X74" i="10"/>
  <c r="X58" i="10"/>
  <c r="X28" i="10"/>
  <c r="Q49" i="10"/>
  <c r="X49" i="10" s="1"/>
  <c r="Q70" i="10"/>
  <c r="X70" i="10" s="1"/>
  <c r="L28" i="10"/>
  <c r="T116" i="10"/>
  <c r="T95" i="10"/>
  <c r="N95" i="10" s="1"/>
  <c r="Q103" i="10"/>
  <c r="Q124" i="10"/>
  <c r="X124" i="10" s="1"/>
  <c r="X82" i="10"/>
  <c r="Q40" i="10"/>
  <c r="X40" i="10" s="1"/>
  <c r="Q61" i="10"/>
  <c r="X61" i="10" s="1"/>
  <c r="T117" i="10"/>
  <c r="T96" i="10"/>
  <c r="N96" i="10" s="1"/>
  <c r="M12" i="10"/>
  <c r="U33" i="10"/>
  <c r="U54" i="10"/>
  <c r="Q133" i="10"/>
  <c r="X133" i="10" s="1"/>
  <c r="Q112" i="10"/>
  <c r="X91" i="10"/>
  <c r="X185" i="10"/>
  <c r="Q126" i="10"/>
  <c r="X126" i="10" s="1"/>
  <c r="Q105" i="10"/>
  <c r="X84" i="10"/>
  <c r="Q113" i="10"/>
  <c r="X92" i="10"/>
  <c r="Q134" i="10"/>
  <c r="X134" i="10" s="1"/>
  <c r="U96" i="10"/>
  <c r="M96" i="10" s="1"/>
  <c r="U117" i="10"/>
  <c r="Q42" i="10"/>
  <c r="X42" i="10" s="1"/>
  <c r="L21" i="10"/>
  <c r="Q63" i="10"/>
  <c r="X63" i="10" s="1"/>
  <c r="X21" i="10"/>
  <c r="X85" i="10"/>
  <c r="Q127" i="10"/>
  <c r="X127" i="10" s="1"/>
  <c r="Q106" i="10"/>
  <c r="X164" i="10"/>
  <c r="R32" i="10"/>
  <c r="R53" i="10"/>
  <c r="Q131" i="10"/>
  <c r="X131" i="10" s="1"/>
  <c r="Q110" i="10"/>
  <c r="X89" i="10"/>
  <c r="Q68" i="10"/>
  <c r="X68" i="10" s="1"/>
  <c r="Q47" i="10"/>
  <c r="X47" i="10" s="1"/>
  <c r="X64" i="10"/>
  <c r="X156" i="10"/>
  <c r="Q121" i="10"/>
  <c r="X121" i="10" s="1"/>
  <c r="Q100" i="10"/>
  <c r="X79" i="10"/>
  <c r="S95" i="10"/>
  <c r="K95" i="10" s="1"/>
  <c r="S116" i="10"/>
  <c r="Q102" i="10"/>
  <c r="Q123" i="10"/>
  <c r="X123" i="10" s="1"/>
  <c r="X81" i="10"/>
  <c r="Q60" i="10"/>
  <c r="X60" i="10" s="1"/>
  <c r="Q39" i="10"/>
  <c r="X39" i="10" s="1"/>
  <c r="Q120" i="10"/>
  <c r="X120" i="10" s="1"/>
  <c r="Q99" i="10"/>
  <c r="X78" i="10"/>
  <c r="Q36" i="10"/>
  <c r="X36" i="10" s="1"/>
  <c r="Q57" i="10"/>
  <c r="X57" i="10" s="1"/>
  <c r="U116" i="10"/>
  <c r="U95" i="10"/>
  <c r="M95" i="10" s="1"/>
  <c r="Q118" i="10"/>
  <c r="X118" i="10" s="1"/>
  <c r="Q97" i="10"/>
  <c r="X76" i="10"/>
  <c r="Q55" i="10"/>
  <c r="X55" i="10" s="1"/>
  <c r="Q34" i="10"/>
  <c r="X34" i="10" s="1"/>
  <c r="X43" i="10"/>
  <c r="T157" i="10"/>
  <c r="T178" i="10"/>
  <c r="R33" i="10"/>
  <c r="R54" i="10"/>
  <c r="S117" i="10"/>
  <c r="S96" i="10"/>
  <c r="K96" i="10" s="1"/>
  <c r="R95" i="10"/>
  <c r="R116" i="10"/>
  <c r="AD83" i="2"/>
  <c r="AD82" i="2"/>
  <c r="AF82" i="2" s="1"/>
  <c r="AD81" i="2"/>
  <c r="AF81" i="2" s="1"/>
  <c r="AD80" i="2"/>
  <c r="AF80" i="2" s="1"/>
  <c r="AD79" i="2"/>
  <c r="AF79" i="2" s="1"/>
  <c r="AD78" i="2"/>
  <c r="AF78" i="2" s="1"/>
  <c r="AD77" i="2"/>
  <c r="AF77" i="2" s="1"/>
  <c r="AD76" i="2"/>
  <c r="AF76" i="2" s="1"/>
  <c r="AD75" i="2"/>
  <c r="AF75" i="2" s="1"/>
  <c r="T125" i="10"/>
  <c r="T104" i="10"/>
  <c r="N104" i="10" s="1"/>
  <c r="T62" i="10"/>
  <c r="T41" i="10"/>
  <c r="S104" i="10"/>
  <c r="K104" i="10" s="1"/>
  <c r="S125" i="10"/>
  <c r="S62" i="10"/>
  <c r="S41" i="10"/>
  <c r="R125" i="10"/>
  <c r="R104" i="10"/>
  <c r="R62" i="10"/>
  <c r="R41" i="10"/>
  <c r="BW43" i="9"/>
  <c r="Q83" i="10"/>
  <c r="U104" i="10"/>
  <c r="M104" i="10" s="1"/>
  <c r="U125" i="10"/>
  <c r="U62" i="10"/>
  <c r="U41" i="10"/>
  <c r="T45" i="10"/>
  <c r="T66" i="10"/>
  <c r="N24" i="10"/>
  <c r="U45" i="10"/>
  <c r="U66" i="10"/>
  <c r="M24" i="10"/>
  <c r="X24" i="10"/>
  <c r="Q45" i="10"/>
  <c r="Q66" i="10"/>
  <c r="L24" i="10"/>
  <c r="R45" i="10"/>
  <c r="R66" i="10"/>
  <c r="S46" i="10"/>
  <c r="S67" i="10"/>
  <c r="K25" i="10"/>
  <c r="T46" i="10"/>
  <c r="T67" i="10"/>
  <c r="N25" i="10"/>
  <c r="U128" i="10"/>
  <c r="U107" i="10"/>
  <c r="M107" i="10" s="1"/>
  <c r="U65" i="10"/>
  <c r="U44" i="10"/>
  <c r="T107" i="10"/>
  <c r="N107" i="10" s="1"/>
  <c r="T128" i="10"/>
  <c r="T44" i="10"/>
  <c r="T65" i="10"/>
  <c r="X50" i="10"/>
  <c r="Q108" i="10"/>
  <c r="Q129" i="10"/>
  <c r="X87" i="10"/>
  <c r="S45" i="10"/>
  <c r="S66" i="10"/>
  <c r="K24" i="10"/>
  <c r="U46" i="10"/>
  <c r="U67" i="10"/>
  <c r="M25" i="10"/>
  <c r="X25" i="10"/>
  <c r="Q67" i="10"/>
  <c r="Q46" i="10"/>
  <c r="L25" i="10"/>
  <c r="R46" i="10"/>
  <c r="R67" i="10"/>
  <c r="Q130" i="10"/>
  <c r="Q109" i="10"/>
  <c r="X88" i="10"/>
  <c r="Q132" i="10"/>
  <c r="Q111" i="10"/>
  <c r="X90" i="10"/>
  <c r="Q69" i="10"/>
  <c r="Q48" i="10"/>
  <c r="BW46" i="9"/>
  <c r="Q86" i="10"/>
  <c r="S128" i="10"/>
  <c r="S107" i="10"/>
  <c r="K107" i="10" s="1"/>
  <c r="S44" i="10"/>
  <c r="S65" i="10"/>
  <c r="R107" i="10"/>
  <c r="R128" i="10"/>
  <c r="R44" i="10"/>
  <c r="R65" i="10"/>
  <c r="X71" i="10"/>
  <c r="AD74" i="2"/>
  <c r="AF74" i="2" s="1"/>
  <c r="AD73" i="2"/>
  <c r="AF73" i="2" s="1"/>
  <c r="AD72" i="2"/>
  <c r="AF72" i="2" s="1"/>
  <c r="AD71" i="2"/>
  <c r="AF71" i="2" s="1"/>
  <c r="AD70" i="2"/>
  <c r="AF70" i="2" s="1"/>
  <c r="AD69" i="2"/>
  <c r="AF69" i="2" s="1"/>
  <c r="AD68" i="2"/>
  <c r="AF68" i="2" s="1"/>
  <c r="AD67" i="2"/>
  <c r="AF67" i="2" s="1"/>
  <c r="AD66" i="2"/>
  <c r="AF66" i="2" s="1"/>
  <c r="AD65" i="2"/>
  <c r="AF65" i="2" s="1"/>
  <c r="AD64" i="2"/>
  <c r="AF64" i="2" s="1"/>
  <c r="AD63" i="2"/>
  <c r="AD62" i="2"/>
  <c r="AF62" i="2" s="1"/>
  <c r="BW20" i="9"/>
  <c r="BW21" i="9"/>
  <c r="X178" i="10" l="1"/>
  <c r="X157" i="10"/>
  <c r="X53" i="10"/>
  <c r="X32" i="10"/>
  <c r="X100" i="10"/>
  <c r="L100" i="10"/>
  <c r="X113" i="10"/>
  <c r="L113" i="10"/>
  <c r="X180" i="10"/>
  <c r="X106" i="10"/>
  <c r="L106" i="10"/>
  <c r="X102" i="10"/>
  <c r="L102" i="10"/>
  <c r="X99" i="10"/>
  <c r="L99" i="10"/>
  <c r="X105" i="10"/>
  <c r="L105" i="10"/>
  <c r="X116" i="10"/>
  <c r="X95" i="10"/>
  <c r="L95" i="10"/>
  <c r="Q96" i="10"/>
  <c r="Q117" i="10"/>
  <c r="X117" i="10" s="1"/>
  <c r="X75" i="10"/>
  <c r="X98" i="10"/>
  <c r="L98" i="10"/>
  <c r="X103" i="10"/>
  <c r="L103" i="10"/>
  <c r="X112" i="10"/>
  <c r="L112" i="10"/>
  <c r="X97" i="10"/>
  <c r="L97" i="10"/>
  <c r="X110" i="10"/>
  <c r="L110" i="10"/>
  <c r="X101" i="10"/>
  <c r="L101" i="10"/>
  <c r="Q33" i="10"/>
  <c r="X33" i="10" s="1"/>
  <c r="Q54" i="10"/>
  <c r="X54" i="10" s="1"/>
  <c r="X12" i="10"/>
  <c r="L12" i="10"/>
  <c r="AF63" i="2"/>
  <c r="Q104" i="10"/>
  <c r="Q125" i="10"/>
  <c r="Q62" i="10"/>
  <c r="Q41" i="10"/>
  <c r="X83" i="10"/>
  <c r="Q128" i="10"/>
  <c r="Q107" i="10"/>
  <c r="X86" i="10"/>
  <c r="Q65" i="10"/>
  <c r="Q44" i="10"/>
  <c r="X48" i="10"/>
  <c r="X111" i="10"/>
  <c r="L111" i="10"/>
  <c r="X109" i="10"/>
  <c r="L109" i="10"/>
  <c r="X46" i="10"/>
  <c r="X108" i="10"/>
  <c r="L108" i="10"/>
  <c r="X45" i="10"/>
  <c r="X69" i="10"/>
  <c r="X132" i="10"/>
  <c r="X130" i="10"/>
  <c r="X67" i="10"/>
  <c r="X129" i="10"/>
  <c r="X66" i="10"/>
  <c r="H12" i="7"/>
  <c r="H18" i="7" s="1"/>
  <c r="H24" i="7" l="1"/>
  <c r="H37" i="7"/>
  <c r="H31" i="7"/>
  <c r="X96" i="10"/>
  <c r="L96" i="10"/>
  <c r="X41" i="10"/>
  <c r="X125" i="10"/>
  <c r="X62" i="10"/>
  <c r="X104" i="10"/>
  <c r="L104" i="10"/>
  <c r="X44" i="10"/>
  <c r="X107" i="10"/>
  <c r="L107" i="10"/>
  <c r="X65" i="10"/>
  <c r="X128" i="10"/>
  <c r="I6" i="7"/>
  <c r="I12" i="7" s="1"/>
  <c r="I18" i="7" s="1"/>
  <c r="G6" i="7"/>
  <c r="G12" i="7" s="1"/>
  <c r="G18" i="7" s="1"/>
  <c r="J6" i="7" l="1"/>
  <c r="G24" i="7"/>
  <c r="G37" i="7"/>
  <c r="G31" i="7"/>
  <c r="I31" i="7"/>
  <c r="I24" i="7"/>
  <c r="I37" i="7"/>
  <c r="I206" i="6"/>
  <c r="I191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7" i="6"/>
  <c r="I208" i="6"/>
  <c r="I209" i="6"/>
  <c r="I210" i="6"/>
  <c r="I211" i="6"/>
  <c r="I212" i="6"/>
  <c r="F216" i="6"/>
  <c r="E216" i="6"/>
  <c r="D216" i="6"/>
  <c r="C216" i="6"/>
  <c r="I216" i="6" l="1"/>
  <c r="K6" i="7"/>
  <c r="J12" i="7"/>
  <c r="J18" i="7" s="1"/>
  <c r="F185" i="6"/>
  <c r="E185" i="6"/>
  <c r="D185" i="6"/>
  <c r="C185" i="6"/>
  <c r="L6" i="7" l="1"/>
  <c r="K12" i="7"/>
  <c r="K18" i="7" s="1"/>
  <c r="J31" i="7"/>
  <c r="J24" i="7"/>
  <c r="J37" i="7"/>
  <c r="J137" i="6"/>
  <c r="D137" i="6"/>
  <c r="AU40" i="9" s="1"/>
  <c r="BL40" i="9" s="1"/>
  <c r="BM40" i="9" s="1"/>
  <c r="C137" i="6"/>
  <c r="AU13" i="9" s="1"/>
  <c r="BL13" i="9" s="1"/>
  <c r="BM13" i="9" s="1"/>
  <c r="F134" i="6"/>
  <c r="AU123" i="9" s="1"/>
  <c r="BL123" i="9" s="1"/>
  <c r="BM123" i="9" s="1"/>
  <c r="J134" i="6"/>
  <c r="E134" i="6"/>
  <c r="AU67" i="9" s="1"/>
  <c r="BL67" i="9" s="1"/>
  <c r="BM67" i="9" s="1"/>
  <c r="K24" i="7" l="1"/>
  <c r="K37" i="7"/>
  <c r="K31" i="7"/>
  <c r="M6" i="7"/>
  <c r="L12" i="7"/>
  <c r="L18" i="7" s="1"/>
  <c r="D154" i="6"/>
  <c r="E154" i="6"/>
  <c r="F154" i="6"/>
  <c r="J154" i="6"/>
  <c r="C154" i="6"/>
  <c r="F145" i="6"/>
  <c r="AU134" i="9" s="1"/>
  <c r="D145" i="6"/>
  <c r="AU48" i="9" s="1"/>
  <c r="C145" i="6"/>
  <c r="AU21" i="9" s="1"/>
  <c r="L24" i="7" l="1"/>
  <c r="L37" i="7"/>
  <c r="L31" i="7"/>
  <c r="N6" i="7"/>
  <c r="M12" i="7"/>
  <c r="M18" i="7" s="1"/>
  <c r="I117" i="6"/>
  <c r="F116" i="6"/>
  <c r="AQ134" i="9" s="1"/>
  <c r="D116" i="6"/>
  <c r="AQ48" i="9" s="1"/>
  <c r="E116" i="6"/>
  <c r="AQ78" i="9" s="1"/>
  <c r="C116" i="6"/>
  <c r="AQ21" i="9" s="1"/>
  <c r="T32" i="2"/>
  <c r="H69" i="6" s="1"/>
  <c r="T33" i="2"/>
  <c r="H70" i="6" s="1"/>
  <c r="T34" i="2"/>
  <c r="H71" i="6" s="1"/>
  <c r="T35" i="2"/>
  <c r="T36" i="2"/>
  <c r="H73" i="6" s="1"/>
  <c r="T37" i="2"/>
  <c r="H74" i="6" s="1"/>
  <c r="T38" i="2"/>
  <c r="H75" i="6" s="1"/>
  <c r="T39" i="2"/>
  <c r="H76" i="6" s="1"/>
  <c r="T40" i="2"/>
  <c r="H77" i="6" s="1"/>
  <c r="T41" i="2"/>
  <c r="H78" i="6" s="1"/>
  <c r="T42" i="2"/>
  <c r="H79" i="6" s="1"/>
  <c r="T43" i="2"/>
  <c r="H80" i="6" s="1"/>
  <c r="T44" i="2"/>
  <c r="H81" i="6" s="1"/>
  <c r="T45" i="2"/>
  <c r="H82" i="6" s="1"/>
  <c r="T46" i="2"/>
  <c r="H83" i="6" s="1"/>
  <c r="T47" i="2"/>
  <c r="T48" i="2"/>
  <c r="H85" i="6" s="1"/>
  <c r="T49" i="2"/>
  <c r="H86" i="6" s="1"/>
  <c r="T50" i="2"/>
  <c r="H87" i="6" s="1"/>
  <c r="T51" i="2"/>
  <c r="H88" i="6" s="1"/>
  <c r="T52" i="2"/>
  <c r="H89" i="6" s="1"/>
  <c r="T53" i="2"/>
  <c r="H90" i="6" s="1"/>
  <c r="H72" i="6"/>
  <c r="H84" i="6"/>
  <c r="D69" i="6"/>
  <c r="AR32" i="9" s="1"/>
  <c r="BL32" i="9" s="1"/>
  <c r="BM32" i="9" s="1"/>
  <c r="E94" i="6"/>
  <c r="C94" i="6"/>
  <c r="F85" i="6"/>
  <c r="AR134" i="9" s="1"/>
  <c r="E85" i="6"/>
  <c r="AR78" i="9" s="1"/>
  <c r="D85" i="6"/>
  <c r="AR48" i="9" s="1"/>
  <c r="C85" i="6"/>
  <c r="AR21" i="9" s="1"/>
  <c r="M24" i="7" l="1"/>
  <c r="M37" i="7"/>
  <c r="M31" i="7"/>
  <c r="O6" i="7"/>
  <c r="N12" i="7"/>
  <c r="N18" i="7" s="1"/>
  <c r="F56" i="6"/>
  <c r="AT134" i="9" s="1"/>
  <c r="E56" i="6"/>
  <c r="AT78" i="9" s="1"/>
  <c r="D56" i="6"/>
  <c r="AT48" i="9" s="1"/>
  <c r="C56" i="6"/>
  <c r="AT21" i="9" s="1"/>
  <c r="N31" i="7" l="1"/>
  <c r="N24" i="7"/>
  <c r="N37" i="7"/>
  <c r="P6" i="7"/>
  <c r="O12" i="7"/>
  <c r="O18" i="7" s="1"/>
  <c r="F27" i="6"/>
  <c r="AS134" i="9" s="1"/>
  <c r="BL134" i="9" s="1"/>
  <c r="BM134" i="9" s="1"/>
  <c r="D27" i="6"/>
  <c r="AS48" i="9" s="1"/>
  <c r="BL48" i="9" s="1"/>
  <c r="BM48" i="9" s="1"/>
  <c r="C27" i="6"/>
  <c r="AS21" i="9" s="1"/>
  <c r="BL21" i="9" s="1"/>
  <c r="BM21" i="9" s="1"/>
  <c r="E27" i="6"/>
  <c r="AS78" i="9" s="1"/>
  <c r="BL78" i="9" s="1"/>
  <c r="BM78" i="9" s="1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O31" i="7" l="1"/>
  <c r="O37" i="7"/>
  <c r="O24" i="7"/>
  <c r="P12" i="7"/>
  <c r="P18" i="7" s="1"/>
  <c r="Q6" i="7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R6" i="7" l="1"/>
  <c r="Q12" i="7"/>
  <c r="Q18" i="7" s="1"/>
  <c r="P31" i="7"/>
  <c r="P24" i="7"/>
  <c r="P37" i="7"/>
  <c r="AU48" i="2"/>
  <c r="T109" i="3" s="1"/>
  <c r="Q37" i="7" l="1"/>
  <c r="Q31" i="7"/>
  <c r="Q24" i="7"/>
  <c r="S6" i="7"/>
  <c r="R12" i="7"/>
  <c r="R18" i="7" s="1"/>
  <c r="R29" i="2"/>
  <c r="AI25" i="2"/>
  <c r="AH25" i="2"/>
  <c r="AI24" i="2"/>
  <c r="AH24" i="2"/>
  <c r="AI23" i="2"/>
  <c r="AH23" i="2"/>
  <c r="AI22" i="2"/>
  <c r="AH22" i="2"/>
  <c r="AI21" i="2"/>
  <c r="AH21" i="2"/>
  <c r="AI20" i="2"/>
  <c r="AH20" i="2"/>
  <c r="AI19" i="2"/>
  <c r="AH19" i="2"/>
  <c r="AI18" i="2"/>
  <c r="AH18" i="2"/>
  <c r="AI17" i="2"/>
  <c r="AH17" i="2"/>
  <c r="AI16" i="2"/>
  <c r="AH16" i="2"/>
  <c r="AI15" i="2"/>
  <c r="AH15" i="2"/>
  <c r="AI14" i="2"/>
  <c r="AH14" i="2"/>
  <c r="AI13" i="2"/>
  <c r="AH13" i="2"/>
  <c r="AI12" i="2"/>
  <c r="AH12" i="2"/>
  <c r="AI11" i="2"/>
  <c r="AH11" i="2"/>
  <c r="AI10" i="2"/>
  <c r="AH10" i="2"/>
  <c r="AI9" i="2"/>
  <c r="AH9" i="2"/>
  <c r="AI8" i="2"/>
  <c r="AH8" i="2"/>
  <c r="AI7" i="2"/>
  <c r="AH7" i="2"/>
  <c r="AI6" i="2"/>
  <c r="AH6" i="2"/>
  <c r="AI5" i="2"/>
  <c r="AH5" i="2"/>
  <c r="Y5" i="2"/>
  <c r="G191" i="6" s="1"/>
  <c r="Y6" i="2"/>
  <c r="G192" i="6" s="1"/>
  <c r="Y7" i="2"/>
  <c r="G193" i="6" s="1"/>
  <c r="Y8" i="2"/>
  <c r="G194" i="6" s="1"/>
  <c r="Y9" i="2"/>
  <c r="Y10" i="2"/>
  <c r="G196" i="6" s="1"/>
  <c r="Y11" i="2"/>
  <c r="G197" i="6" s="1"/>
  <c r="Y12" i="2"/>
  <c r="G198" i="6" s="1"/>
  <c r="Y13" i="2"/>
  <c r="G199" i="6" s="1"/>
  <c r="Y14" i="2"/>
  <c r="G200" i="6" s="1"/>
  <c r="Y15" i="2"/>
  <c r="G201" i="6" s="1"/>
  <c r="Y16" i="2"/>
  <c r="G202" i="6" s="1"/>
  <c r="Y17" i="2"/>
  <c r="G203" i="6" s="1"/>
  <c r="Y18" i="2"/>
  <c r="G204" i="6" s="1"/>
  <c r="Y19" i="2"/>
  <c r="G205" i="6" s="1"/>
  <c r="Y20" i="2"/>
  <c r="G206" i="6" s="1"/>
  <c r="Y21" i="2"/>
  <c r="G207" i="6" s="1"/>
  <c r="Y22" i="2"/>
  <c r="G208" i="6" s="1"/>
  <c r="Y23" i="2"/>
  <c r="G209" i="6" s="1"/>
  <c r="Y24" i="2"/>
  <c r="G210" i="6" s="1"/>
  <c r="Y25" i="2"/>
  <c r="G211" i="6" s="1"/>
  <c r="Y26" i="2"/>
  <c r="G212" i="6" s="1"/>
  <c r="G216" i="6" s="1"/>
  <c r="Y27" i="2"/>
  <c r="G213" i="6" s="1"/>
  <c r="R5" i="2"/>
  <c r="AL5" i="2" s="1"/>
  <c r="T5" i="2"/>
  <c r="G69" i="6" s="1"/>
  <c r="S5" i="2"/>
  <c r="G100" i="6" s="1"/>
  <c r="U5" i="2"/>
  <c r="G11" i="6" s="1"/>
  <c r="V5" i="2"/>
  <c r="G40" i="6" s="1"/>
  <c r="W5" i="2"/>
  <c r="G129" i="6" s="1"/>
  <c r="X5" i="2"/>
  <c r="G160" i="6" s="1"/>
  <c r="R6" i="2"/>
  <c r="AL6" i="2" s="1"/>
  <c r="T6" i="2"/>
  <c r="G70" i="6" s="1"/>
  <c r="S6" i="2"/>
  <c r="G101" i="6" s="1"/>
  <c r="U6" i="2"/>
  <c r="G12" i="6" s="1"/>
  <c r="V6" i="2"/>
  <c r="G41" i="6" s="1"/>
  <c r="W6" i="2"/>
  <c r="G130" i="6" s="1"/>
  <c r="X6" i="2"/>
  <c r="R7" i="2"/>
  <c r="T7" i="2"/>
  <c r="G71" i="6" s="1"/>
  <c r="S7" i="2"/>
  <c r="G102" i="6" s="1"/>
  <c r="U7" i="2"/>
  <c r="G13" i="6" s="1"/>
  <c r="V7" i="2"/>
  <c r="G42" i="6" s="1"/>
  <c r="W7" i="2"/>
  <c r="G131" i="6" s="1"/>
  <c r="X7" i="2"/>
  <c r="R8" i="2"/>
  <c r="T8" i="2"/>
  <c r="G72" i="6" s="1"/>
  <c r="S8" i="2"/>
  <c r="G103" i="6" s="1"/>
  <c r="U8" i="2"/>
  <c r="G14" i="6" s="1"/>
  <c r="V8" i="2"/>
  <c r="G43" i="6" s="1"/>
  <c r="W8" i="2"/>
  <c r="G132" i="6" s="1"/>
  <c r="X8" i="2"/>
  <c r="R9" i="2"/>
  <c r="T9" i="2"/>
  <c r="G73" i="6" s="1"/>
  <c r="S9" i="2"/>
  <c r="G104" i="6" s="1"/>
  <c r="U9" i="2"/>
  <c r="G15" i="6" s="1"/>
  <c r="V9" i="2"/>
  <c r="G44" i="6" s="1"/>
  <c r="W9" i="2"/>
  <c r="G133" i="6" s="1"/>
  <c r="X9" i="2"/>
  <c r="R10" i="2"/>
  <c r="AL10" i="2" s="1"/>
  <c r="T10" i="2"/>
  <c r="G74" i="6" s="1"/>
  <c r="S10" i="2"/>
  <c r="G105" i="6" s="1"/>
  <c r="U10" i="2"/>
  <c r="G16" i="6" s="1"/>
  <c r="V10" i="2"/>
  <c r="G45" i="6" s="1"/>
  <c r="W10" i="2"/>
  <c r="X10" i="2"/>
  <c r="R11" i="2"/>
  <c r="AL11" i="2" s="1"/>
  <c r="T11" i="2"/>
  <c r="G75" i="6" s="1"/>
  <c r="S11" i="2"/>
  <c r="G106" i="6" s="1"/>
  <c r="U11" i="2"/>
  <c r="G17" i="6" s="1"/>
  <c r="V11" i="2"/>
  <c r="G46" i="6" s="1"/>
  <c r="W11" i="2"/>
  <c r="G135" i="6" s="1"/>
  <c r="X11" i="2"/>
  <c r="R12" i="2"/>
  <c r="T12" i="2"/>
  <c r="G76" i="6" s="1"/>
  <c r="S12" i="2"/>
  <c r="G107" i="6" s="1"/>
  <c r="U12" i="2"/>
  <c r="G18" i="6" s="1"/>
  <c r="V12" i="2"/>
  <c r="G47" i="6" s="1"/>
  <c r="W12" i="2"/>
  <c r="G136" i="6" s="1"/>
  <c r="X12" i="2"/>
  <c r="R13" i="2"/>
  <c r="AL13" i="2" s="1"/>
  <c r="T13" i="2"/>
  <c r="G77" i="6" s="1"/>
  <c r="S13" i="2"/>
  <c r="G108" i="6" s="1"/>
  <c r="U13" i="2"/>
  <c r="G19" i="6" s="1"/>
  <c r="V13" i="2"/>
  <c r="G48" i="6" s="1"/>
  <c r="W13" i="2"/>
  <c r="G137" i="6" s="1"/>
  <c r="X13" i="2"/>
  <c r="R14" i="2"/>
  <c r="T14" i="2"/>
  <c r="G78" i="6" s="1"/>
  <c r="S14" i="2"/>
  <c r="G109" i="6" s="1"/>
  <c r="U14" i="2"/>
  <c r="G20" i="6" s="1"/>
  <c r="V14" i="2"/>
  <c r="G49" i="6" s="1"/>
  <c r="W14" i="2"/>
  <c r="G138" i="6" s="1"/>
  <c r="X14" i="2"/>
  <c r="R15" i="2"/>
  <c r="AL15" i="2" s="1"/>
  <c r="T15" i="2"/>
  <c r="G79" i="6" s="1"/>
  <c r="S15" i="2"/>
  <c r="G110" i="6" s="1"/>
  <c r="U15" i="2"/>
  <c r="G21" i="6" s="1"/>
  <c r="V15" i="2"/>
  <c r="G50" i="6" s="1"/>
  <c r="W15" i="2"/>
  <c r="G139" i="6" s="1"/>
  <c r="X15" i="2"/>
  <c r="G170" i="6" s="1"/>
  <c r="R16" i="2"/>
  <c r="AL16" i="2" s="1"/>
  <c r="T16" i="2"/>
  <c r="G80" i="6" s="1"/>
  <c r="S16" i="2"/>
  <c r="G111" i="6" s="1"/>
  <c r="U16" i="2"/>
  <c r="G22" i="6" s="1"/>
  <c r="V16" i="2"/>
  <c r="G51" i="6" s="1"/>
  <c r="W16" i="2"/>
  <c r="G140" i="6" s="1"/>
  <c r="X16" i="2"/>
  <c r="R17" i="2"/>
  <c r="AL17" i="2" s="1"/>
  <c r="T17" i="2"/>
  <c r="G81" i="6" s="1"/>
  <c r="S17" i="2"/>
  <c r="G112" i="6" s="1"/>
  <c r="U17" i="2"/>
  <c r="G23" i="6" s="1"/>
  <c r="V17" i="2"/>
  <c r="G52" i="6" s="1"/>
  <c r="W17" i="2"/>
  <c r="G141" i="6" s="1"/>
  <c r="X17" i="2"/>
  <c r="G172" i="6" s="1"/>
  <c r="R18" i="2"/>
  <c r="AL18" i="2" s="1"/>
  <c r="T18" i="2"/>
  <c r="G82" i="6" s="1"/>
  <c r="S18" i="2"/>
  <c r="G113" i="6" s="1"/>
  <c r="U18" i="2"/>
  <c r="G24" i="6" s="1"/>
  <c r="V18" i="2"/>
  <c r="G53" i="6" s="1"/>
  <c r="W18" i="2"/>
  <c r="G142" i="6" s="1"/>
  <c r="X18" i="2"/>
  <c r="G173" i="6" s="1"/>
  <c r="R19" i="2"/>
  <c r="T19" i="2"/>
  <c r="G83" i="6" s="1"/>
  <c r="S19" i="2"/>
  <c r="G114" i="6" s="1"/>
  <c r="U19" i="2"/>
  <c r="G25" i="6" s="1"/>
  <c r="V19" i="2"/>
  <c r="G54" i="6" s="1"/>
  <c r="W19" i="2"/>
  <c r="G143" i="6" s="1"/>
  <c r="X19" i="2"/>
  <c r="G174" i="6" s="1"/>
  <c r="R20" i="2"/>
  <c r="AL20" i="2" s="1"/>
  <c r="T20" i="2"/>
  <c r="G84" i="6" s="1"/>
  <c r="S20" i="2"/>
  <c r="G115" i="6" s="1"/>
  <c r="U20" i="2"/>
  <c r="G26" i="6" s="1"/>
  <c r="V20" i="2"/>
  <c r="G55" i="6" s="1"/>
  <c r="W20" i="2"/>
  <c r="G144" i="6" s="1"/>
  <c r="X20" i="2"/>
  <c r="R21" i="2"/>
  <c r="T21" i="2"/>
  <c r="G85" i="6" s="1"/>
  <c r="S21" i="2"/>
  <c r="G116" i="6" s="1"/>
  <c r="U21" i="2"/>
  <c r="G27" i="6" s="1"/>
  <c r="V21" i="2"/>
  <c r="G56" i="6" s="1"/>
  <c r="W21" i="2"/>
  <c r="G145" i="6" s="1"/>
  <c r="X21" i="2"/>
  <c r="R22" i="2"/>
  <c r="AL22" i="2" s="1"/>
  <c r="T22" i="2"/>
  <c r="G86" i="6" s="1"/>
  <c r="S22" i="2"/>
  <c r="G117" i="6" s="1"/>
  <c r="U22" i="2"/>
  <c r="G28" i="6" s="1"/>
  <c r="V22" i="2"/>
  <c r="G57" i="6" s="1"/>
  <c r="W22" i="2"/>
  <c r="G146" i="6" s="1"/>
  <c r="X22" i="2"/>
  <c r="R23" i="2"/>
  <c r="AL23" i="2" s="1"/>
  <c r="T23" i="2"/>
  <c r="G87" i="6" s="1"/>
  <c r="S23" i="2"/>
  <c r="G118" i="6" s="1"/>
  <c r="U23" i="2"/>
  <c r="G29" i="6" s="1"/>
  <c r="V23" i="2"/>
  <c r="G58" i="6" s="1"/>
  <c r="W23" i="2"/>
  <c r="G147" i="6" s="1"/>
  <c r="X23" i="2"/>
  <c r="R24" i="2"/>
  <c r="T24" i="2"/>
  <c r="G88" i="6" s="1"/>
  <c r="S24" i="2"/>
  <c r="G119" i="6" s="1"/>
  <c r="U24" i="2"/>
  <c r="G30" i="6" s="1"/>
  <c r="V24" i="2"/>
  <c r="G59" i="6" s="1"/>
  <c r="W24" i="2"/>
  <c r="G148" i="6" s="1"/>
  <c r="X24" i="2"/>
  <c r="R25" i="2"/>
  <c r="AL25" i="2" s="1"/>
  <c r="T25" i="2"/>
  <c r="G89" i="6" s="1"/>
  <c r="S25" i="2"/>
  <c r="G120" i="6" s="1"/>
  <c r="U25" i="2"/>
  <c r="G31" i="6" s="1"/>
  <c r="V25" i="2"/>
  <c r="G60" i="6" s="1"/>
  <c r="W25" i="2"/>
  <c r="G149" i="6" s="1"/>
  <c r="X25" i="2"/>
  <c r="R26" i="2"/>
  <c r="T26" i="2"/>
  <c r="G90" i="6" s="1"/>
  <c r="S26" i="2"/>
  <c r="G121" i="6" s="1"/>
  <c r="U26" i="2"/>
  <c r="G32" i="6" s="1"/>
  <c r="V26" i="2"/>
  <c r="G61" i="6" s="1"/>
  <c r="W26" i="2"/>
  <c r="G150" i="6" s="1"/>
  <c r="X26" i="2"/>
  <c r="G181" i="6" s="1"/>
  <c r="O6" i="2"/>
  <c r="AY148" i="9" s="1"/>
  <c r="AL7" i="2"/>
  <c r="AL8" i="2"/>
  <c r="O8" i="2"/>
  <c r="AY150" i="9" s="1"/>
  <c r="AL9" i="2"/>
  <c r="O10" i="2"/>
  <c r="AY152" i="9" s="1"/>
  <c r="BA152" i="9" s="1"/>
  <c r="BD152" i="9" s="1"/>
  <c r="AL12" i="2"/>
  <c r="O12" i="2"/>
  <c r="AY154" i="9" s="1"/>
  <c r="BA154" i="9" s="1"/>
  <c r="BD154" i="9" s="1"/>
  <c r="AX13" i="2"/>
  <c r="W17" i="3" s="1"/>
  <c r="AL14" i="2"/>
  <c r="O14" i="2"/>
  <c r="AY156" i="9" s="1"/>
  <c r="BA156" i="9" s="1"/>
  <c r="BD156" i="9" s="1"/>
  <c r="AT15" i="2"/>
  <c r="AV15" i="2"/>
  <c r="AX15" i="2"/>
  <c r="W19" i="3" s="1"/>
  <c r="O16" i="2"/>
  <c r="AY158" i="9" s="1"/>
  <c r="BA158" i="9" s="1"/>
  <c r="BD158" i="9" s="1"/>
  <c r="AT17" i="2"/>
  <c r="AV17" i="2"/>
  <c r="AX17" i="2"/>
  <c r="W21" i="3" s="1"/>
  <c r="O18" i="2"/>
  <c r="AY160" i="9" s="1"/>
  <c r="BA160" i="9" s="1"/>
  <c r="BD160" i="9" s="1"/>
  <c r="AL19" i="2"/>
  <c r="AV19" i="2"/>
  <c r="AX19" i="2"/>
  <c r="W23" i="3" s="1"/>
  <c r="O20" i="2"/>
  <c r="AY162" i="9" s="1"/>
  <c r="BA162" i="9" s="1"/>
  <c r="BD162" i="9" s="1"/>
  <c r="AL21" i="2"/>
  <c r="O22" i="2"/>
  <c r="AY164" i="9" s="1"/>
  <c r="BA164" i="9" s="1"/>
  <c r="BD164" i="9" s="1"/>
  <c r="AL24" i="2"/>
  <c r="O24" i="2"/>
  <c r="AY166" i="9" s="1"/>
  <c r="BA166" i="9" s="1"/>
  <c r="BD166" i="9" s="1"/>
  <c r="AI52" i="2"/>
  <c r="AH52" i="2"/>
  <c r="AI51" i="2"/>
  <c r="AH51" i="2"/>
  <c r="AI50" i="2"/>
  <c r="AH50" i="2"/>
  <c r="AI49" i="2"/>
  <c r="AH49" i="2"/>
  <c r="AI48" i="2"/>
  <c r="AH48" i="2"/>
  <c r="AI47" i="2"/>
  <c r="AH47" i="2"/>
  <c r="AI46" i="2"/>
  <c r="AH46" i="2"/>
  <c r="AI45" i="2"/>
  <c r="AH45" i="2"/>
  <c r="AI44" i="2"/>
  <c r="AH44" i="2"/>
  <c r="AI43" i="2"/>
  <c r="AH43" i="2"/>
  <c r="AI42" i="2"/>
  <c r="AH42" i="2"/>
  <c r="AI41" i="2"/>
  <c r="AH41" i="2"/>
  <c r="AI40" i="2"/>
  <c r="AH40" i="2"/>
  <c r="AI39" i="2"/>
  <c r="AH39" i="2"/>
  <c r="AI38" i="2"/>
  <c r="AH38" i="2"/>
  <c r="AI37" i="2"/>
  <c r="AH37" i="2"/>
  <c r="AI36" i="2"/>
  <c r="AH36" i="2"/>
  <c r="AI35" i="2"/>
  <c r="AH35" i="2"/>
  <c r="AI34" i="2"/>
  <c r="AH34" i="2"/>
  <c r="AI33" i="2"/>
  <c r="AH33" i="2"/>
  <c r="AI32" i="2"/>
  <c r="AH32" i="2"/>
  <c r="Y32" i="2"/>
  <c r="H191" i="6" s="1"/>
  <c r="Y33" i="2"/>
  <c r="H192" i="6" s="1"/>
  <c r="Y34" i="2"/>
  <c r="H193" i="6" s="1"/>
  <c r="Y35" i="2"/>
  <c r="H194" i="6" s="1"/>
  <c r="Y36" i="2"/>
  <c r="H195" i="6" s="1"/>
  <c r="Y37" i="2"/>
  <c r="H196" i="6" s="1"/>
  <c r="Y38" i="2"/>
  <c r="H197" i="6" s="1"/>
  <c r="Y39" i="2"/>
  <c r="H198" i="6" s="1"/>
  <c r="Y40" i="2"/>
  <c r="H199" i="6" s="1"/>
  <c r="Y41" i="2"/>
  <c r="H200" i="6" s="1"/>
  <c r="Y42" i="2"/>
  <c r="H201" i="6" s="1"/>
  <c r="Y43" i="2"/>
  <c r="H202" i="6" s="1"/>
  <c r="Y44" i="2"/>
  <c r="H203" i="6" s="1"/>
  <c r="Y45" i="2"/>
  <c r="H204" i="6" s="1"/>
  <c r="Y46" i="2"/>
  <c r="H205" i="6" s="1"/>
  <c r="Y47" i="2"/>
  <c r="H206" i="6" s="1"/>
  <c r="Y48" i="2"/>
  <c r="Y49" i="2"/>
  <c r="H208" i="6" s="1"/>
  <c r="Y50" i="2"/>
  <c r="H209" i="6" s="1"/>
  <c r="Y51" i="2"/>
  <c r="H210" i="6" s="1"/>
  <c r="Y52" i="2"/>
  <c r="Y53" i="2"/>
  <c r="H212" i="6" s="1"/>
  <c r="R37" i="7" l="1"/>
  <c r="R24" i="7"/>
  <c r="R31" i="7"/>
  <c r="T6" i="7"/>
  <c r="S12" i="7"/>
  <c r="S18" i="7" s="1"/>
  <c r="O25" i="2"/>
  <c r="AY167" i="9" s="1"/>
  <c r="BA167" i="9" s="1"/>
  <c r="BD167" i="9" s="1"/>
  <c r="O23" i="2"/>
  <c r="AY165" i="9" s="1"/>
  <c r="BA165" i="9" s="1"/>
  <c r="BD165" i="9" s="1"/>
  <c r="O21" i="2"/>
  <c r="AY163" i="9" s="1"/>
  <c r="BA163" i="9" s="1"/>
  <c r="BD163" i="9" s="1"/>
  <c r="O19" i="2"/>
  <c r="AY161" i="9" s="1"/>
  <c r="BA161" i="9" s="1"/>
  <c r="BD161" i="9" s="1"/>
  <c r="O17" i="2"/>
  <c r="AY159" i="9" s="1"/>
  <c r="BA159" i="9" s="1"/>
  <c r="BD159" i="9" s="1"/>
  <c r="O15" i="2"/>
  <c r="AY157" i="9" s="1"/>
  <c r="BA157" i="9" s="1"/>
  <c r="BD157" i="9" s="1"/>
  <c r="O13" i="2"/>
  <c r="AY155" i="9" s="1"/>
  <c r="BA155" i="9" s="1"/>
  <c r="BD155" i="9" s="1"/>
  <c r="O11" i="2"/>
  <c r="AY153" i="9" s="1"/>
  <c r="BA153" i="9" s="1"/>
  <c r="BD153" i="9" s="1"/>
  <c r="O9" i="2"/>
  <c r="AY151" i="9" s="1"/>
  <c r="BA151" i="9" s="1"/>
  <c r="BD151" i="9" s="1"/>
  <c r="O7" i="2"/>
  <c r="AY149" i="9" s="1"/>
  <c r="BA149" i="9" s="1"/>
  <c r="O5" i="2"/>
  <c r="AY147" i="9" s="1"/>
  <c r="BA147" i="9" s="1"/>
  <c r="AV13" i="2"/>
  <c r="U17" i="3" s="1"/>
  <c r="BN24" i="2"/>
  <c r="BP24" i="2" s="1"/>
  <c r="BN22" i="2"/>
  <c r="BP22" i="2" s="1"/>
  <c r="BN20" i="2"/>
  <c r="BP20" i="2" s="1"/>
  <c r="BN18" i="2"/>
  <c r="BP18" i="2" s="1"/>
  <c r="AL295" i="10" s="1"/>
  <c r="BN16" i="2"/>
  <c r="BP16" i="2" s="1"/>
  <c r="BN14" i="2"/>
  <c r="BP14" i="2" s="1"/>
  <c r="BN12" i="2"/>
  <c r="BP12" i="2" s="1"/>
  <c r="BN10" i="2"/>
  <c r="BP10" i="2" s="1"/>
  <c r="BN8" i="2"/>
  <c r="BP8" i="2" s="1"/>
  <c r="BN6" i="2"/>
  <c r="BP6" i="2" s="1"/>
  <c r="BN25" i="2"/>
  <c r="BP25" i="2" s="1"/>
  <c r="BN23" i="2"/>
  <c r="BN21" i="2"/>
  <c r="U23" i="3"/>
  <c r="BN19" i="2"/>
  <c r="BP19" i="2" s="1"/>
  <c r="U21" i="3"/>
  <c r="S21" i="3"/>
  <c r="K21" i="3" s="1"/>
  <c r="BN17" i="2"/>
  <c r="BP17" i="2" s="1"/>
  <c r="U19" i="3"/>
  <c r="S19" i="3"/>
  <c r="BN15" i="2"/>
  <c r="AT13" i="2"/>
  <c r="BN13" i="2"/>
  <c r="AX11" i="2"/>
  <c r="W15" i="3" s="1"/>
  <c r="AV11" i="2"/>
  <c r="BN11" i="2"/>
  <c r="BP11" i="2" s="1"/>
  <c r="BN9" i="2"/>
  <c r="BP9" i="2" s="1"/>
  <c r="BN7" i="2"/>
  <c r="BP7" i="2" s="1"/>
  <c r="BN5" i="2"/>
  <c r="BP5" i="2" s="1"/>
  <c r="AT11" i="2"/>
  <c r="AX9" i="2"/>
  <c r="W13" i="3" s="1"/>
  <c r="C32" i="8"/>
  <c r="C32" i="5"/>
  <c r="C32" i="4"/>
  <c r="C33" i="8"/>
  <c r="C33" i="5"/>
  <c r="C33" i="4"/>
  <c r="C34" i="8"/>
  <c r="C34" i="5"/>
  <c r="C34" i="4"/>
  <c r="C35" i="8"/>
  <c r="C35" i="5"/>
  <c r="C35" i="4"/>
  <c r="C36" i="8"/>
  <c r="C36" i="5"/>
  <c r="C36" i="4"/>
  <c r="C37" i="8"/>
  <c r="C37" i="5"/>
  <c r="C37" i="4"/>
  <c r="C38" i="8"/>
  <c r="C38" i="5"/>
  <c r="C38" i="4"/>
  <c r="C39" i="8"/>
  <c r="C39" i="5"/>
  <c r="C39" i="4"/>
  <c r="C40" i="8"/>
  <c r="C40" i="5"/>
  <c r="C40" i="4"/>
  <c r="C41" i="8"/>
  <c r="C41" i="5"/>
  <c r="C41" i="4"/>
  <c r="C42" i="8"/>
  <c r="C42" i="5"/>
  <c r="C42" i="4"/>
  <c r="C43" i="8"/>
  <c r="C43" i="5"/>
  <c r="C43" i="4"/>
  <c r="C44" i="8"/>
  <c r="C44" i="5"/>
  <c r="C44" i="4"/>
  <c r="C45" i="8"/>
  <c r="C45" i="5"/>
  <c r="C45" i="4"/>
  <c r="C46" i="8"/>
  <c r="C46" i="5"/>
  <c r="C46" i="4"/>
  <c r="C47" i="8"/>
  <c r="C47" i="5"/>
  <c r="C47" i="4"/>
  <c r="C48" i="8"/>
  <c r="C48" i="5"/>
  <c r="C48" i="4"/>
  <c r="C49" i="8"/>
  <c r="C49" i="5"/>
  <c r="C49" i="4"/>
  <c r="C50" i="8"/>
  <c r="C50" i="5"/>
  <c r="C50" i="4"/>
  <c r="C51" i="8"/>
  <c r="C51" i="5"/>
  <c r="C51" i="4"/>
  <c r="C52" i="8"/>
  <c r="C52" i="4"/>
  <c r="C52" i="5"/>
  <c r="AN24" i="2"/>
  <c r="AN22" i="2"/>
  <c r="AN20" i="2"/>
  <c r="AN18" i="2"/>
  <c r="AN16" i="2"/>
  <c r="AN14" i="2"/>
  <c r="AN12" i="2"/>
  <c r="AN10" i="2"/>
  <c r="AN8" i="2"/>
  <c r="AN6" i="2"/>
  <c r="C6" i="8"/>
  <c r="C6" i="5"/>
  <c r="C6" i="4"/>
  <c r="C7" i="8"/>
  <c r="C7" i="5"/>
  <c r="C7" i="4"/>
  <c r="C8" i="8"/>
  <c r="C8" i="5"/>
  <c r="C8" i="4"/>
  <c r="C9" i="8"/>
  <c r="C9" i="5"/>
  <c r="C9" i="4"/>
  <c r="C10" i="8"/>
  <c r="C10" i="5"/>
  <c r="C10" i="4"/>
  <c r="C11" i="8"/>
  <c r="C11" i="5"/>
  <c r="C11" i="4"/>
  <c r="C12" i="8"/>
  <c r="C12" i="5"/>
  <c r="C12" i="4"/>
  <c r="C13" i="8"/>
  <c r="C13" i="5"/>
  <c r="C13" i="4"/>
  <c r="C14" i="8"/>
  <c r="C14" i="5"/>
  <c r="C14" i="4"/>
  <c r="C15" i="8"/>
  <c r="C15" i="5"/>
  <c r="C15" i="4"/>
  <c r="C16" i="8"/>
  <c r="C16" i="5"/>
  <c r="C16" i="4"/>
  <c r="C17" i="8"/>
  <c r="C17" i="5"/>
  <c r="C17" i="4"/>
  <c r="C18" i="8"/>
  <c r="C18" i="5"/>
  <c r="C18" i="4"/>
  <c r="C19" i="8"/>
  <c r="C19" i="5"/>
  <c r="C19" i="4"/>
  <c r="C20" i="8"/>
  <c r="C20" i="5"/>
  <c r="C20" i="4"/>
  <c r="C21" i="8"/>
  <c r="C21" i="5"/>
  <c r="C21" i="4"/>
  <c r="C22" i="8"/>
  <c r="C22" i="5"/>
  <c r="C22" i="4"/>
  <c r="C23" i="8"/>
  <c r="C23" i="5"/>
  <c r="C23" i="4"/>
  <c r="C24" i="8"/>
  <c r="C24" i="5"/>
  <c r="C24" i="4"/>
  <c r="C25" i="8"/>
  <c r="C25" i="5"/>
  <c r="C25" i="4"/>
  <c r="C26" i="8"/>
  <c r="C26" i="5"/>
  <c r="C26" i="4"/>
  <c r="B32" i="8"/>
  <c r="B32" i="5"/>
  <c r="B32" i="4"/>
  <c r="B33" i="8"/>
  <c r="B33" i="5"/>
  <c r="B33" i="4"/>
  <c r="B34" i="8"/>
  <c r="B34" i="5"/>
  <c r="B34" i="4"/>
  <c r="B35" i="8"/>
  <c r="B35" i="5"/>
  <c r="B35" i="4"/>
  <c r="B36" i="8"/>
  <c r="B36" i="5"/>
  <c r="B36" i="4"/>
  <c r="B37" i="8"/>
  <c r="B37" i="5"/>
  <c r="B37" i="4"/>
  <c r="B38" i="8"/>
  <c r="B38" i="5"/>
  <c r="B38" i="4"/>
  <c r="B39" i="8"/>
  <c r="B39" i="5"/>
  <c r="B39" i="4"/>
  <c r="B40" i="8"/>
  <c r="B40" i="5"/>
  <c r="B40" i="4"/>
  <c r="B41" i="8"/>
  <c r="B41" i="5"/>
  <c r="B41" i="4"/>
  <c r="B42" i="8"/>
  <c r="B42" i="5"/>
  <c r="B42" i="4"/>
  <c r="B43" i="8"/>
  <c r="B43" i="5"/>
  <c r="B43" i="4"/>
  <c r="B44" i="8"/>
  <c r="B44" i="5"/>
  <c r="B44" i="4"/>
  <c r="B45" i="8"/>
  <c r="B45" i="5"/>
  <c r="B45" i="4"/>
  <c r="B46" i="8"/>
  <c r="B46" i="5"/>
  <c r="B46" i="4"/>
  <c r="B47" i="8"/>
  <c r="B47" i="5"/>
  <c r="B47" i="4"/>
  <c r="B48" i="8"/>
  <c r="B48" i="5"/>
  <c r="B48" i="4"/>
  <c r="B49" i="8"/>
  <c r="B49" i="5"/>
  <c r="B49" i="4"/>
  <c r="B50" i="8"/>
  <c r="B50" i="5"/>
  <c r="B50" i="4"/>
  <c r="B51" i="8"/>
  <c r="B51" i="5"/>
  <c r="B51" i="4"/>
  <c r="B52" i="8"/>
  <c r="B52" i="5"/>
  <c r="B52" i="4"/>
  <c r="AM52" i="2"/>
  <c r="AX25" i="2"/>
  <c r="W29" i="3" s="1"/>
  <c r="AV25" i="2"/>
  <c r="AT25" i="2"/>
  <c r="AR25" i="2"/>
  <c r="Q29" i="3" s="1"/>
  <c r="AN25" i="2"/>
  <c r="AX23" i="2"/>
  <c r="W27" i="3" s="1"/>
  <c r="AV23" i="2"/>
  <c r="AT23" i="2"/>
  <c r="AR23" i="2"/>
  <c r="AN23" i="2"/>
  <c r="AX21" i="2"/>
  <c r="W25" i="3" s="1"/>
  <c r="AV21" i="2"/>
  <c r="AT21" i="2"/>
  <c r="AR21" i="2"/>
  <c r="Q25" i="3" s="1"/>
  <c r="AN21" i="2"/>
  <c r="AT19" i="2"/>
  <c r="AR19" i="2"/>
  <c r="Q23" i="3" s="1"/>
  <c r="AN19" i="2"/>
  <c r="AR17" i="2"/>
  <c r="AN17" i="2"/>
  <c r="AR15" i="2"/>
  <c r="AN15" i="2"/>
  <c r="AR13" i="2"/>
  <c r="Q17" i="3" s="1"/>
  <c r="AN13" i="2"/>
  <c r="AR11" i="2"/>
  <c r="Q15" i="3" s="1"/>
  <c r="AN11" i="2"/>
  <c r="AN9" i="2"/>
  <c r="E10" i="5" s="1"/>
  <c r="G10" i="5" s="1"/>
  <c r="AN7" i="2"/>
  <c r="E8" i="5" s="1"/>
  <c r="G8" i="5" s="1"/>
  <c r="AN5" i="2"/>
  <c r="B6" i="8"/>
  <c r="B6" i="5"/>
  <c r="B6" i="4"/>
  <c r="B7" i="8"/>
  <c r="B7" i="5"/>
  <c r="B7" i="4"/>
  <c r="B8" i="8"/>
  <c r="B8" i="5"/>
  <c r="B8" i="4"/>
  <c r="B9" i="8"/>
  <c r="B9" i="5"/>
  <c r="B9" i="4"/>
  <c r="B10" i="8"/>
  <c r="B10" i="5"/>
  <c r="B10" i="4"/>
  <c r="B11" i="8"/>
  <c r="B11" i="5"/>
  <c r="B11" i="4"/>
  <c r="B12" i="8"/>
  <c r="B12" i="5"/>
  <c r="B12" i="4"/>
  <c r="B13" i="8"/>
  <c r="B13" i="5"/>
  <c r="B13" i="4"/>
  <c r="B14" i="8"/>
  <c r="B14" i="5"/>
  <c r="B14" i="4"/>
  <c r="B15" i="8"/>
  <c r="B15" i="5"/>
  <c r="B15" i="4"/>
  <c r="B16" i="8"/>
  <c r="B16" i="5"/>
  <c r="B16" i="4"/>
  <c r="B17" i="8"/>
  <c r="B17" i="5"/>
  <c r="B17" i="4"/>
  <c r="B18" i="8"/>
  <c r="B18" i="5"/>
  <c r="B18" i="4"/>
  <c r="B19" i="8"/>
  <c r="B19" i="5"/>
  <c r="B19" i="4"/>
  <c r="B20" i="8"/>
  <c r="B20" i="5"/>
  <c r="B20" i="4"/>
  <c r="B21" i="8"/>
  <c r="B21" i="5"/>
  <c r="B21" i="4"/>
  <c r="B22" i="8"/>
  <c r="B22" i="5"/>
  <c r="B22" i="4"/>
  <c r="B23" i="8"/>
  <c r="B23" i="5"/>
  <c r="B23" i="4"/>
  <c r="B24" i="8"/>
  <c r="B24" i="5"/>
  <c r="B24" i="4"/>
  <c r="B25" i="8"/>
  <c r="B25" i="5"/>
  <c r="B25" i="4"/>
  <c r="B26" i="8"/>
  <c r="B26" i="5"/>
  <c r="B26" i="4"/>
  <c r="AV9" i="2"/>
  <c r="AX7" i="2"/>
  <c r="W11" i="3" s="1"/>
  <c r="AO5" i="2"/>
  <c r="E6" i="5"/>
  <c r="G6" i="5" s="1"/>
  <c r="E6" i="4"/>
  <c r="G6" i="4" s="1"/>
  <c r="H216" i="6"/>
  <c r="AW25" i="2"/>
  <c r="V29" i="3" s="1"/>
  <c r="AU25" i="2"/>
  <c r="AS25" i="2"/>
  <c r="AX24" i="2"/>
  <c r="W28" i="3" s="1"/>
  <c r="AV24" i="2"/>
  <c r="AT24" i="2"/>
  <c r="AR24" i="2"/>
  <c r="AW23" i="2"/>
  <c r="V27" i="3" s="1"/>
  <c r="AU23" i="2"/>
  <c r="AS23" i="2"/>
  <c r="AX22" i="2"/>
  <c r="W26" i="3" s="1"/>
  <c r="AV22" i="2"/>
  <c r="AT22" i="2"/>
  <c r="AR22" i="2"/>
  <c r="AW21" i="2"/>
  <c r="V25" i="3" s="1"/>
  <c r="AU21" i="2"/>
  <c r="AS21" i="2"/>
  <c r="AX20" i="2"/>
  <c r="W24" i="3" s="1"/>
  <c r="AV20" i="2"/>
  <c r="AT20" i="2"/>
  <c r="AR20" i="2"/>
  <c r="AW19" i="2"/>
  <c r="V23" i="3" s="1"/>
  <c r="AU19" i="2"/>
  <c r="AS19" i="2"/>
  <c r="AX18" i="2"/>
  <c r="W22" i="3" s="1"/>
  <c r="AV18" i="2"/>
  <c r="AT18" i="2"/>
  <c r="AR18" i="2"/>
  <c r="AW17" i="2"/>
  <c r="V21" i="3" s="1"/>
  <c r="AU17" i="2"/>
  <c r="AS17" i="2"/>
  <c r="AX16" i="2"/>
  <c r="W20" i="3" s="1"/>
  <c r="AV16" i="2"/>
  <c r="AT16" i="2"/>
  <c r="AR16" i="2"/>
  <c r="AW15" i="2"/>
  <c r="V19" i="3" s="1"/>
  <c r="AU15" i="2"/>
  <c r="AS15" i="2"/>
  <c r="AX14" i="2"/>
  <c r="W18" i="3" s="1"/>
  <c r="AV14" i="2"/>
  <c r="AT14" i="2"/>
  <c r="AR14" i="2"/>
  <c r="AW13" i="2"/>
  <c r="V17" i="3" s="1"/>
  <c r="AU13" i="2"/>
  <c r="AS13" i="2"/>
  <c r="AX12" i="2"/>
  <c r="W16" i="3" s="1"/>
  <c r="AV12" i="2"/>
  <c r="AT12" i="2"/>
  <c r="AR12" i="2"/>
  <c r="AW11" i="2"/>
  <c r="V15" i="3" s="1"/>
  <c r="AU11" i="2"/>
  <c r="AS11" i="2"/>
  <c r="AX10" i="2"/>
  <c r="W14" i="3" s="1"/>
  <c r="AV10" i="2"/>
  <c r="AT10" i="2"/>
  <c r="AR10" i="2"/>
  <c r="AW9" i="2"/>
  <c r="V13" i="3" s="1"/>
  <c r="AU9" i="2"/>
  <c r="AS9" i="2"/>
  <c r="AX8" i="2"/>
  <c r="W12" i="3" s="1"/>
  <c r="AV8" i="2"/>
  <c r="AT8" i="2"/>
  <c r="AR8" i="2"/>
  <c r="AW7" i="2"/>
  <c r="V11" i="3" s="1"/>
  <c r="AU7" i="2"/>
  <c r="AS7" i="2"/>
  <c r="AX6" i="2"/>
  <c r="W10" i="3" s="1"/>
  <c r="AV6" i="2"/>
  <c r="AT6" i="2"/>
  <c r="AR6" i="2"/>
  <c r="AW5" i="2"/>
  <c r="V9" i="3" s="1"/>
  <c r="AU5" i="2"/>
  <c r="AS5" i="2"/>
  <c r="G185" i="6"/>
  <c r="G154" i="6"/>
  <c r="AW24" i="2"/>
  <c r="V28" i="3" s="1"/>
  <c r="AU24" i="2"/>
  <c r="AS24" i="2"/>
  <c r="Q27" i="3"/>
  <c r="AW22" i="2"/>
  <c r="V26" i="3" s="1"/>
  <c r="AU22" i="2"/>
  <c r="AS22" i="2"/>
  <c r="AW20" i="2"/>
  <c r="V24" i="3" s="1"/>
  <c r="AU20" i="2"/>
  <c r="AS20" i="2"/>
  <c r="AW18" i="2"/>
  <c r="AU18" i="2"/>
  <c r="AS18" i="2"/>
  <c r="Q21" i="3"/>
  <c r="AW16" i="2"/>
  <c r="V20" i="3" s="1"/>
  <c r="AU16" i="2"/>
  <c r="AS16" i="2"/>
  <c r="K19" i="3"/>
  <c r="Q19" i="3"/>
  <c r="AW14" i="2"/>
  <c r="V18" i="3" s="1"/>
  <c r="AU14" i="2"/>
  <c r="AS14" i="2"/>
  <c r="AW12" i="2"/>
  <c r="V16" i="3" s="1"/>
  <c r="AU12" i="2"/>
  <c r="AS12" i="2"/>
  <c r="AW10" i="2"/>
  <c r="V14" i="3" s="1"/>
  <c r="AU10" i="2"/>
  <c r="AS10" i="2"/>
  <c r="AT9" i="2"/>
  <c r="AR9" i="2"/>
  <c r="AW8" i="2"/>
  <c r="V12" i="3" s="1"/>
  <c r="AU8" i="2"/>
  <c r="AS8" i="2"/>
  <c r="AV7" i="2"/>
  <c r="AT7" i="2"/>
  <c r="AR7" i="2"/>
  <c r="AW6" i="2"/>
  <c r="V10" i="3" s="1"/>
  <c r="AU6" i="2"/>
  <c r="AS6" i="2"/>
  <c r="AX5" i="2"/>
  <c r="W9" i="3" s="1"/>
  <c r="AV5" i="2"/>
  <c r="AT5" i="2"/>
  <c r="AR5" i="2"/>
  <c r="E137" i="6"/>
  <c r="G134" i="6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W32" i="2"/>
  <c r="H129" i="6" s="1"/>
  <c r="X32" i="2"/>
  <c r="H160" i="6" s="1"/>
  <c r="W33" i="2"/>
  <c r="H130" i="6" s="1"/>
  <c r="X33" i="2"/>
  <c r="W34" i="2"/>
  <c r="H131" i="6" s="1"/>
  <c r="X34" i="2"/>
  <c r="W35" i="2"/>
  <c r="H132" i="6" s="1"/>
  <c r="X35" i="2"/>
  <c r="W36" i="2"/>
  <c r="X36" i="2"/>
  <c r="W37" i="2"/>
  <c r="X37" i="2"/>
  <c r="W38" i="2"/>
  <c r="H135" i="6" s="1"/>
  <c r="X38" i="2"/>
  <c r="W39" i="2"/>
  <c r="H136" i="6" s="1"/>
  <c r="X39" i="2"/>
  <c r="H167" i="6" s="1"/>
  <c r="W40" i="2"/>
  <c r="X40" i="2"/>
  <c r="W41" i="2"/>
  <c r="H138" i="6" s="1"/>
  <c r="X41" i="2"/>
  <c r="W42" i="2"/>
  <c r="H139" i="6" s="1"/>
  <c r="X42" i="2"/>
  <c r="H170" i="6" s="1"/>
  <c r="W43" i="2"/>
  <c r="H140" i="6" s="1"/>
  <c r="X43" i="2"/>
  <c r="W44" i="2"/>
  <c r="H141" i="6" s="1"/>
  <c r="X44" i="2"/>
  <c r="H172" i="6" s="1"/>
  <c r="W45" i="2"/>
  <c r="H142" i="6" s="1"/>
  <c r="X45" i="2"/>
  <c r="H173" i="6" s="1"/>
  <c r="W46" i="2"/>
  <c r="H143" i="6" s="1"/>
  <c r="X46" i="2"/>
  <c r="H174" i="6" s="1"/>
  <c r="W47" i="2"/>
  <c r="H144" i="6" s="1"/>
  <c r="X47" i="2"/>
  <c r="W48" i="2"/>
  <c r="H145" i="6" s="1"/>
  <c r="X48" i="2"/>
  <c r="W49" i="2"/>
  <c r="X49" i="2"/>
  <c r="W50" i="2"/>
  <c r="H147" i="6" s="1"/>
  <c r="X50" i="2"/>
  <c r="W51" i="2"/>
  <c r="H148" i="6" s="1"/>
  <c r="X51" i="2"/>
  <c r="W52" i="2"/>
  <c r="X52" i="2"/>
  <c r="W53" i="2"/>
  <c r="H150" i="6" s="1"/>
  <c r="X53" i="2"/>
  <c r="H181" i="6" s="1"/>
  <c r="R32" i="2"/>
  <c r="S32" i="2"/>
  <c r="H100" i="6" s="1"/>
  <c r="U32" i="2"/>
  <c r="H11" i="6" s="1"/>
  <c r="V32" i="2"/>
  <c r="H40" i="6" s="1"/>
  <c r="R33" i="2"/>
  <c r="S33" i="2"/>
  <c r="H101" i="6" s="1"/>
  <c r="U33" i="2"/>
  <c r="H12" i="6" s="1"/>
  <c r="V33" i="2"/>
  <c r="H41" i="6" s="1"/>
  <c r="R34" i="2"/>
  <c r="S34" i="2"/>
  <c r="H102" i="6" s="1"/>
  <c r="U34" i="2"/>
  <c r="H13" i="6" s="1"/>
  <c r="V34" i="2"/>
  <c r="H42" i="6" s="1"/>
  <c r="R35" i="2"/>
  <c r="S35" i="2"/>
  <c r="H103" i="6" s="1"/>
  <c r="U35" i="2"/>
  <c r="H14" i="6" s="1"/>
  <c r="V35" i="2"/>
  <c r="H43" i="6" s="1"/>
  <c r="R36" i="2"/>
  <c r="S36" i="2"/>
  <c r="H104" i="6" s="1"/>
  <c r="U36" i="2"/>
  <c r="H15" i="6" s="1"/>
  <c r="V36" i="2"/>
  <c r="H44" i="6" s="1"/>
  <c r="R37" i="2"/>
  <c r="S37" i="2"/>
  <c r="H105" i="6" s="1"/>
  <c r="U37" i="2"/>
  <c r="H16" i="6" s="1"/>
  <c r="V37" i="2"/>
  <c r="H45" i="6" s="1"/>
  <c r="R38" i="2"/>
  <c r="S38" i="2"/>
  <c r="H106" i="6" s="1"/>
  <c r="U38" i="2"/>
  <c r="H17" i="6" s="1"/>
  <c r="V38" i="2"/>
  <c r="H46" i="6" s="1"/>
  <c r="R39" i="2"/>
  <c r="S39" i="2"/>
  <c r="H107" i="6" s="1"/>
  <c r="U39" i="2"/>
  <c r="H18" i="6" s="1"/>
  <c r="V39" i="2"/>
  <c r="H47" i="6" s="1"/>
  <c r="R40" i="2"/>
  <c r="S40" i="2"/>
  <c r="H108" i="6" s="1"/>
  <c r="U40" i="2"/>
  <c r="H19" i="6" s="1"/>
  <c r="V40" i="2"/>
  <c r="H48" i="6" s="1"/>
  <c r="R41" i="2"/>
  <c r="S41" i="2"/>
  <c r="H109" i="6" s="1"/>
  <c r="U41" i="2"/>
  <c r="H20" i="6" s="1"/>
  <c r="V41" i="2"/>
  <c r="H49" i="6" s="1"/>
  <c r="R42" i="2"/>
  <c r="S42" i="2"/>
  <c r="H110" i="6" s="1"/>
  <c r="U42" i="2"/>
  <c r="H21" i="6" s="1"/>
  <c r="V42" i="2"/>
  <c r="H50" i="6" s="1"/>
  <c r="R43" i="2"/>
  <c r="S43" i="2"/>
  <c r="H111" i="6" s="1"/>
  <c r="U43" i="2"/>
  <c r="H22" i="6" s="1"/>
  <c r="V43" i="2"/>
  <c r="H51" i="6" s="1"/>
  <c r="R44" i="2"/>
  <c r="S44" i="2"/>
  <c r="H112" i="6" s="1"/>
  <c r="U44" i="2"/>
  <c r="H23" i="6" s="1"/>
  <c r="V44" i="2"/>
  <c r="H52" i="6" s="1"/>
  <c r="R45" i="2"/>
  <c r="S45" i="2"/>
  <c r="H113" i="6" s="1"/>
  <c r="U45" i="2"/>
  <c r="H24" i="6" s="1"/>
  <c r="V45" i="2"/>
  <c r="H53" i="6" s="1"/>
  <c r="R46" i="2"/>
  <c r="S46" i="2"/>
  <c r="H114" i="6" s="1"/>
  <c r="U46" i="2"/>
  <c r="H25" i="6" s="1"/>
  <c r="V46" i="2"/>
  <c r="H54" i="6" s="1"/>
  <c r="R47" i="2"/>
  <c r="S47" i="2"/>
  <c r="H115" i="6" s="1"/>
  <c r="U47" i="2"/>
  <c r="H26" i="6" s="1"/>
  <c r="V47" i="2"/>
  <c r="H55" i="6" s="1"/>
  <c r="R48" i="2"/>
  <c r="S48" i="2"/>
  <c r="U48" i="2"/>
  <c r="H27" i="6" s="1"/>
  <c r="V48" i="2"/>
  <c r="H56" i="6" s="1"/>
  <c r="R49" i="2"/>
  <c r="S49" i="2"/>
  <c r="H117" i="6" s="1"/>
  <c r="U49" i="2"/>
  <c r="H28" i="6" s="1"/>
  <c r="V49" i="2"/>
  <c r="H57" i="6" s="1"/>
  <c r="R50" i="2"/>
  <c r="S50" i="2"/>
  <c r="H118" i="6" s="1"/>
  <c r="U50" i="2"/>
  <c r="H29" i="6" s="1"/>
  <c r="V50" i="2"/>
  <c r="H58" i="6" s="1"/>
  <c r="R51" i="2"/>
  <c r="S51" i="2"/>
  <c r="H119" i="6" s="1"/>
  <c r="U51" i="2"/>
  <c r="H30" i="6" s="1"/>
  <c r="V51" i="2"/>
  <c r="H59" i="6" s="1"/>
  <c r="R52" i="2"/>
  <c r="S52" i="2"/>
  <c r="H120" i="6" s="1"/>
  <c r="U52" i="2"/>
  <c r="H31" i="6" s="1"/>
  <c r="V52" i="2"/>
  <c r="H60" i="6" s="1"/>
  <c r="R53" i="2"/>
  <c r="S53" i="2"/>
  <c r="H121" i="6" s="1"/>
  <c r="U53" i="2"/>
  <c r="H32" i="6" s="1"/>
  <c r="V53" i="2"/>
  <c r="H61" i="6" s="1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AR48" i="2" s="1"/>
  <c r="G48" i="2"/>
  <c r="AS48" i="2" s="1"/>
  <c r="R109" i="3" s="1"/>
  <c r="H48" i="2"/>
  <c r="AT48" i="2" s="1"/>
  <c r="S109" i="3" s="1"/>
  <c r="J48" i="2"/>
  <c r="AV48" i="2" s="1"/>
  <c r="U109" i="3" s="1"/>
  <c r="K48" i="2"/>
  <c r="AW48" i="2" s="1"/>
  <c r="V109" i="3" s="1"/>
  <c r="L48" i="2"/>
  <c r="AX48" i="2" s="1"/>
  <c r="W109" i="3" s="1"/>
  <c r="W88" i="3" s="1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E53" i="8" s="1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E8" i="4" l="1"/>
  <c r="G8" i="4" s="1"/>
  <c r="BP21" i="2"/>
  <c r="AO7" i="2"/>
  <c r="M21" i="3"/>
  <c r="AY15" i="2"/>
  <c r="X19" i="3" s="1"/>
  <c r="AY13" i="2"/>
  <c r="X17" i="3" s="1"/>
  <c r="M17" i="3"/>
  <c r="AY25" i="2"/>
  <c r="X29" i="3" s="1"/>
  <c r="AY11" i="2"/>
  <c r="X15" i="3" s="1"/>
  <c r="AY21" i="2"/>
  <c r="X25" i="3" s="1"/>
  <c r="AY23" i="2"/>
  <c r="X27" i="3" s="1"/>
  <c r="AY17" i="2"/>
  <c r="X21" i="3" s="1"/>
  <c r="AY19" i="2"/>
  <c r="X23" i="3" s="1"/>
  <c r="M19" i="3"/>
  <c r="M23" i="3"/>
  <c r="BP13" i="2"/>
  <c r="BP23" i="2"/>
  <c r="S31" i="7"/>
  <c r="S24" i="7"/>
  <c r="S37" i="7"/>
  <c r="T12" i="7"/>
  <c r="T18" i="7" s="1"/>
  <c r="U6" i="7"/>
  <c r="BP15" i="2"/>
  <c r="V22" i="3"/>
  <c r="BA18" i="2"/>
  <c r="BB18" i="2" s="1"/>
  <c r="Q295" i="10" s="1"/>
  <c r="BD149" i="9"/>
  <c r="BA150" i="9"/>
  <c r="BA7" i="2"/>
  <c r="BA9" i="2"/>
  <c r="BB9" i="2" s="1"/>
  <c r="Q286" i="10" s="1"/>
  <c r="Q244" i="10" s="1"/>
  <c r="BD147" i="9"/>
  <c r="BA148" i="9"/>
  <c r="BD148" i="9" s="1"/>
  <c r="AN51" i="2"/>
  <c r="AN49" i="2"/>
  <c r="AN47" i="2"/>
  <c r="AN45" i="2"/>
  <c r="AN43" i="2"/>
  <c r="AN41" i="2"/>
  <c r="AN39" i="2"/>
  <c r="AN37" i="2"/>
  <c r="AN35" i="2"/>
  <c r="AN33" i="2"/>
  <c r="H116" i="6"/>
  <c r="AN48" i="2"/>
  <c r="AU70" i="9"/>
  <c r="BL70" i="9" s="1"/>
  <c r="S9" i="3"/>
  <c r="T10" i="3"/>
  <c r="N10" i="3" s="1"/>
  <c r="U11" i="3"/>
  <c r="M11" i="3" s="1"/>
  <c r="T12" i="3"/>
  <c r="N12" i="3" s="1"/>
  <c r="R14" i="3"/>
  <c r="T16" i="3"/>
  <c r="T18" i="3"/>
  <c r="R20" i="3"/>
  <c r="R22" i="3"/>
  <c r="T24" i="3"/>
  <c r="N24" i="3" s="1"/>
  <c r="T26" i="3"/>
  <c r="R28" i="3"/>
  <c r="R9" i="3"/>
  <c r="S10" i="3"/>
  <c r="K10" i="3" s="1"/>
  <c r="T11" i="3"/>
  <c r="N11" i="3" s="1"/>
  <c r="BA8" i="2"/>
  <c r="BF8" i="2" s="1"/>
  <c r="U285" i="10" s="1"/>
  <c r="U12" i="3"/>
  <c r="M12" i="3" s="1"/>
  <c r="R13" i="3"/>
  <c r="S14" i="3"/>
  <c r="T15" i="3"/>
  <c r="BA12" i="2"/>
  <c r="BB12" i="2" s="1"/>
  <c r="Q289" i="10" s="1"/>
  <c r="U16" i="3"/>
  <c r="M16" i="3" s="1"/>
  <c r="R17" i="3"/>
  <c r="S18" i="3"/>
  <c r="K18" i="3" s="1"/>
  <c r="T19" i="3"/>
  <c r="N19" i="3" s="1"/>
  <c r="BA16" i="2"/>
  <c r="BB16" i="2" s="1"/>
  <c r="Q293" i="10" s="1"/>
  <c r="U20" i="3"/>
  <c r="M20" i="3" s="1"/>
  <c r="R21" i="3"/>
  <c r="L21" i="3" s="1"/>
  <c r="S22" i="3"/>
  <c r="T23" i="3"/>
  <c r="N23" i="3" s="1"/>
  <c r="BA20" i="2"/>
  <c r="BB20" i="2" s="1"/>
  <c r="Q297" i="10" s="1"/>
  <c r="U24" i="3"/>
  <c r="M24" i="3" s="1"/>
  <c r="R25" i="3"/>
  <c r="R67" i="3" s="1"/>
  <c r="S26" i="3"/>
  <c r="K26" i="3" s="1"/>
  <c r="T27" i="3"/>
  <c r="BA24" i="2"/>
  <c r="BB24" i="2" s="1"/>
  <c r="Q301" i="10" s="1"/>
  <c r="U28" i="3"/>
  <c r="M28" i="3" s="1"/>
  <c r="R29" i="3"/>
  <c r="L29" i="3" s="1"/>
  <c r="U13" i="3"/>
  <c r="M13" i="3" s="1"/>
  <c r="BF9" i="2"/>
  <c r="U286" i="10" s="1"/>
  <c r="BA11" i="2"/>
  <c r="BB11" i="2" s="1"/>
  <c r="Q288" i="10" s="1"/>
  <c r="BA13" i="2"/>
  <c r="BC13" i="2" s="1"/>
  <c r="R290" i="10" s="1"/>
  <c r="BA15" i="2"/>
  <c r="BC15" i="2" s="1"/>
  <c r="R292" i="10" s="1"/>
  <c r="BA17" i="2"/>
  <c r="BE17" i="2" s="1"/>
  <c r="T294" i="10" s="1"/>
  <c r="BA19" i="2"/>
  <c r="BD19" i="2" s="1"/>
  <c r="S296" i="10" s="1"/>
  <c r="S25" i="3"/>
  <c r="BA23" i="2"/>
  <c r="BB23" i="2" s="1"/>
  <c r="Q300" i="10" s="1"/>
  <c r="U27" i="3"/>
  <c r="M27" i="3" s="1"/>
  <c r="S29" i="3"/>
  <c r="K29" i="3" s="1"/>
  <c r="S15" i="3"/>
  <c r="K15" i="3" s="1"/>
  <c r="U15" i="3"/>
  <c r="M15" i="3" s="1"/>
  <c r="S17" i="3"/>
  <c r="K17" i="3" s="1"/>
  <c r="AN52" i="2"/>
  <c r="AN50" i="2"/>
  <c r="AN46" i="2"/>
  <c r="AN44" i="2"/>
  <c r="AN42" i="2"/>
  <c r="AN40" i="2"/>
  <c r="AN38" i="2"/>
  <c r="AN36" i="2"/>
  <c r="AN34" i="2"/>
  <c r="AN32" i="2"/>
  <c r="BA5" i="2"/>
  <c r="BD5" i="2" s="1"/>
  <c r="S282" i="10" s="1"/>
  <c r="U9" i="3"/>
  <c r="M9" i="3" s="1"/>
  <c r="R10" i="3"/>
  <c r="S11" i="3"/>
  <c r="K11" i="3" s="1"/>
  <c r="R12" i="3"/>
  <c r="S13" i="3"/>
  <c r="K13" i="3" s="1"/>
  <c r="BD9" i="2"/>
  <c r="S286" i="10" s="1"/>
  <c r="T14" i="3"/>
  <c r="R16" i="3"/>
  <c r="R18" i="3"/>
  <c r="T20" i="3"/>
  <c r="T22" i="3"/>
  <c r="R24" i="3"/>
  <c r="R26" i="3"/>
  <c r="T28" i="3"/>
  <c r="T9" i="3"/>
  <c r="N9" i="3" s="1"/>
  <c r="BA6" i="2"/>
  <c r="BB6" i="2" s="1"/>
  <c r="Q283" i="10" s="1"/>
  <c r="U10" i="3"/>
  <c r="M10" i="3" s="1"/>
  <c r="R11" i="3"/>
  <c r="S12" i="3"/>
  <c r="T13" i="3"/>
  <c r="N13" i="3" s="1"/>
  <c r="BE9" i="2"/>
  <c r="T286" i="10" s="1"/>
  <c r="BA10" i="2"/>
  <c r="BB10" i="2" s="1"/>
  <c r="Q287" i="10" s="1"/>
  <c r="U14" i="3"/>
  <c r="R15" i="3"/>
  <c r="S16" i="3"/>
  <c r="T17" i="3"/>
  <c r="N17" i="3" s="1"/>
  <c r="BA14" i="2"/>
  <c r="BB14" i="2" s="1"/>
  <c r="Q291" i="10" s="1"/>
  <c r="U18" i="3"/>
  <c r="R19" i="3"/>
  <c r="S20" i="3"/>
  <c r="K20" i="3" s="1"/>
  <c r="T21" i="3"/>
  <c r="N21" i="3" s="1"/>
  <c r="U22" i="3"/>
  <c r="R23" i="3"/>
  <c r="L23" i="3" s="1"/>
  <c r="S24" i="3"/>
  <c r="T25" i="3"/>
  <c r="T67" i="3" s="1"/>
  <c r="BA22" i="2"/>
  <c r="BB22" i="2" s="1"/>
  <c r="Q299" i="10" s="1"/>
  <c r="U26" i="3"/>
  <c r="M26" i="3" s="1"/>
  <c r="R27" i="3"/>
  <c r="L27" i="3" s="1"/>
  <c r="S28" i="3"/>
  <c r="K28" i="3" s="1"/>
  <c r="T29" i="3"/>
  <c r="N29" i="3" s="1"/>
  <c r="S23" i="3"/>
  <c r="BA21" i="2"/>
  <c r="BB21" i="2" s="1"/>
  <c r="Q298" i="10" s="1"/>
  <c r="U25" i="3"/>
  <c r="U46" i="3" s="1"/>
  <c r="S27" i="3"/>
  <c r="K27" i="3" s="1"/>
  <c r="BA25" i="2"/>
  <c r="BB25" i="2" s="1"/>
  <c r="Q302" i="10" s="1"/>
  <c r="U29" i="3"/>
  <c r="AL51" i="2"/>
  <c r="E51" i="8"/>
  <c r="AL49" i="2"/>
  <c r="E49" i="8"/>
  <c r="AL47" i="2"/>
  <c r="E47" i="8"/>
  <c r="AL45" i="2"/>
  <c r="E45" i="8"/>
  <c r="AL43" i="2"/>
  <c r="E43" i="8"/>
  <c r="AL41" i="2"/>
  <c r="E41" i="8"/>
  <c r="AL39" i="2"/>
  <c r="E39" i="8"/>
  <c r="AL37" i="2"/>
  <c r="E37" i="8"/>
  <c r="AL35" i="2"/>
  <c r="E35" i="8"/>
  <c r="AL33" i="2"/>
  <c r="E33" i="8"/>
  <c r="AL52" i="2"/>
  <c r="E52" i="8"/>
  <c r="AL50" i="2"/>
  <c r="E50" i="8"/>
  <c r="AL48" i="2"/>
  <c r="E48" i="8"/>
  <c r="AL46" i="2"/>
  <c r="E46" i="8"/>
  <c r="AL44" i="2"/>
  <c r="E44" i="8"/>
  <c r="AL42" i="2"/>
  <c r="E42" i="8"/>
  <c r="AL40" i="2"/>
  <c r="E40" i="8"/>
  <c r="AL38" i="2"/>
  <c r="E38" i="8"/>
  <c r="AL36" i="2"/>
  <c r="E36" i="8"/>
  <c r="AL34" i="2"/>
  <c r="E34" i="8"/>
  <c r="AL32" i="2"/>
  <c r="E32" i="8"/>
  <c r="AO9" i="2"/>
  <c r="E10" i="4"/>
  <c r="G10" i="4" s="1"/>
  <c r="AX52" i="2"/>
  <c r="W113" i="3" s="1"/>
  <c r="W92" i="3" s="1"/>
  <c r="AV52" i="2"/>
  <c r="U113" i="3" s="1"/>
  <c r="AT52" i="2"/>
  <c r="S113" i="3" s="1"/>
  <c r="S71" i="3" s="1"/>
  <c r="AR52" i="2"/>
  <c r="Q113" i="3" s="1"/>
  <c r="Q92" i="3" s="1"/>
  <c r="AX50" i="2"/>
  <c r="W111" i="3" s="1"/>
  <c r="W90" i="3" s="1"/>
  <c r="AV50" i="2"/>
  <c r="U111" i="3" s="1"/>
  <c r="AT50" i="2"/>
  <c r="S111" i="3" s="1"/>
  <c r="AR50" i="2"/>
  <c r="Q111" i="3" s="1"/>
  <c r="AX46" i="2"/>
  <c r="W107" i="3" s="1"/>
  <c r="W86" i="3" s="1"/>
  <c r="AV46" i="2"/>
  <c r="U107" i="3" s="1"/>
  <c r="U44" i="3" s="1"/>
  <c r="AT46" i="2"/>
  <c r="S107" i="3" s="1"/>
  <c r="K107" i="3" s="1"/>
  <c r="AR46" i="2"/>
  <c r="Q107" i="3" s="1"/>
  <c r="AX44" i="2"/>
  <c r="W105" i="3" s="1"/>
  <c r="W84" i="3" s="1"/>
  <c r="AV44" i="2"/>
  <c r="U105" i="3" s="1"/>
  <c r="U42" i="3" s="1"/>
  <c r="AT44" i="2"/>
  <c r="S105" i="3" s="1"/>
  <c r="S63" i="3" s="1"/>
  <c r="AR44" i="2"/>
  <c r="Q105" i="3" s="1"/>
  <c r="AX42" i="2"/>
  <c r="W103" i="3" s="1"/>
  <c r="W82" i="3" s="1"/>
  <c r="AV42" i="2"/>
  <c r="U103" i="3" s="1"/>
  <c r="U40" i="3" s="1"/>
  <c r="AT42" i="2"/>
  <c r="S103" i="3" s="1"/>
  <c r="S40" i="3" s="1"/>
  <c r="AR42" i="2"/>
  <c r="Q103" i="3" s="1"/>
  <c r="AX40" i="2"/>
  <c r="W101" i="3" s="1"/>
  <c r="W59" i="3" s="1"/>
  <c r="AV40" i="2"/>
  <c r="U101" i="3" s="1"/>
  <c r="U38" i="3" s="1"/>
  <c r="AT40" i="2"/>
  <c r="S101" i="3" s="1"/>
  <c r="K101" i="3" s="1"/>
  <c r="AR40" i="2"/>
  <c r="Q101" i="3" s="1"/>
  <c r="Q59" i="3" s="1"/>
  <c r="AX38" i="2"/>
  <c r="W99" i="3" s="1"/>
  <c r="W36" i="3" s="1"/>
  <c r="AV38" i="2"/>
  <c r="U99" i="3" s="1"/>
  <c r="AT38" i="2"/>
  <c r="S99" i="3" s="1"/>
  <c r="AR38" i="2"/>
  <c r="Q99" i="3" s="1"/>
  <c r="AX36" i="2"/>
  <c r="W97" i="3" s="1"/>
  <c r="W55" i="3" s="1"/>
  <c r="AV36" i="2"/>
  <c r="U97" i="3" s="1"/>
  <c r="U34" i="3" s="1"/>
  <c r="AT36" i="2"/>
  <c r="S97" i="3" s="1"/>
  <c r="K97" i="3" s="1"/>
  <c r="AR36" i="2"/>
  <c r="Q97" i="3" s="1"/>
  <c r="AX34" i="2"/>
  <c r="W95" i="3" s="1"/>
  <c r="W32" i="3" s="1"/>
  <c r="AV34" i="2"/>
  <c r="U95" i="3" s="1"/>
  <c r="AW49" i="2"/>
  <c r="V110" i="3" s="1"/>
  <c r="V89" i="3" s="1"/>
  <c r="AS51" i="2"/>
  <c r="R112" i="3" s="1"/>
  <c r="R70" i="3" s="1"/>
  <c r="AS49" i="2"/>
  <c r="R110" i="3" s="1"/>
  <c r="K109" i="3"/>
  <c r="AY48" i="2"/>
  <c r="X109" i="3" s="1"/>
  <c r="Q109" i="3"/>
  <c r="Q67" i="3" s="1"/>
  <c r="AW47" i="2"/>
  <c r="V108" i="3" s="1"/>
  <c r="V87" i="3" s="1"/>
  <c r="AU47" i="2"/>
  <c r="T108" i="3" s="1"/>
  <c r="AS47" i="2"/>
  <c r="R108" i="3" s="1"/>
  <c r="AW45" i="2"/>
  <c r="V106" i="3" s="1"/>
  <c r="AU45" i="2"/>
  <c r="T106" i="3" s="1"/>
  <c r="AS45" i="2"/>
  <c r="R106" i="3" s="1"/>
  <c r="AW43" i="2"/>
  <c r="V104" i="3" s="1"/>
  <c r="V41" i="3" s="1"/>
  <c r="AU43" i="2"/>
  <c r="T104" i="3" s="1"/>
  <c r="AS43" i="2"/>
  <c r="R104" i="3" s="1"/>
  <c r="AW41" i="2"/>
  <c r="V102" i="3" s="1"/>
  <c r="V81" i="3" s="1"/>
  <c r="AU41" i="2"/>
  <c r="T102" i="3" s="1"/>
  <c r="T81" i="3" s="1"/>
  <c r="AS41" i="2"/>
  <c r="R102" i="3" s="1"/>
  <c r="R81" i="3" s="1"/>
  <c r="AW39" i="2"/>
  <c r="V100" i="3" s="1"/>
  <c r="V79" i="3" s="1"/>
  <c r="AU39" i="2"/>
  <c r="T100" i="3" s="1"/>
  <c r="T79" i="3" s="1"/>
  <c r="AS39" i="2"/>
  <c r="R100" i="3" s="1"/>
  <c r="AW37" i="2"/>
  <c r="V98" i="3" s="1"/>
  <c r="V77" i="3" s="1"/>
  <c r="AU37" i="2"/>
  <c r="T98" i="3" s="1"/>
  <c r="T77" i="3" s="1"/>
  <c r="AS37" i="2"/>
  <c r="R98" i="3" s="1"/>
  <c r="AW35" i="2"/>
  <c r="V96" i="3" s="1"/>
  <c r="V75" i="3" s="1"/>
  <c r="AU35" i="2"/>
  <c r="T96" i="3" s="1"/>
  <c r="AS35" i="2"/>
  <c r="R96" i="3" s="1"/>
  <c r="AT34" i="2"/>
  <c r="S95" i="3" s="1"/>
  <c r="AR34" i="2"/>
  <c r="AW33" i="2"/>
  <c r="V94" i="3" s="1"/>
  <c r="AU33" i="2"/>
  <c r="T94" i="3" s="1"/>
  <c r="T52" i="3" s="1"/>
  <c r="AS33" i="2"/>
  <c r="R94" i="3" s="1"/>
  <c r="R52" i="3" s="1"/>
  <c r="AX32" i="2"/>
  <c r="W93" i="3" s="1"/>
  <c r="W72" i="3" s="1"/>
  <c r="AV32" i="2"/>
  <c r="U93" i="3" s="1"/>
  <c r="AT32" i="2"/>
  <c r="S93" i="3" s="1"/>
  <c r="S51" i="3" s="1"/>
  <c r="AR32" i="2"/>
  <c r="F137" i="6"/>
  <c r="H134" i="6"/>
  <c r="H137" i="6"/>
  <c r="H154" i="6"/>
  <c r="K9" i="3"/>
  <c r="Q11" i="3"/>
  <c r="AY7" i="2"/>
  <c r="X11" i="3" s="1"/>
  <c r="V39" i="3"/>
  <c r="L19" i="3"/>
  <c r="S88" i="3"/>
  <c r="AO25" i="2"/>
  <c r="E26" i="5"/>
  <c r="G26" i="5" s="1"/>
  <c r="E26" i="4"/>
  <c r="G26" i="4" s="1"/>
  <c r="AO23" i="2"/>
  <c r="E24" i="5"/>
  <c r="G24" i="5" s="1"/>
  <c r="E24" i="4"/>
  <c r="G24" i="4" s="1"/>
  <c r="AO21" i="2"/>
  <c r="E22" i="5"/>
  <c r="G22" i="5" s="1"/>
  <c r="E22" i="4"/>
  <c r="G22" i="4" s="1"/>
  <c r="AO19" i="2"/>
  <c r="E20" i="5"/>
  <c r="G20" i="5" s="1"/>
  <c r="E20" i="4"/>
  <c r="G20" i="4" s="1"/>
  <c r="AO17" i="2"/>
  <c r="E18" i="5"/>
  <c r="G18" i="5" s="1"/>
  <c r="E18" i="4"/>
  <c r="G18" i="4" s="1"/>
  <c r="AO15" i="2"/>
  <c r="E16" i="5"/>
  <c r="G16" i="5" s="1"/>
  <c r="E16" i="4"/>
  <c r="G16" i="4" s="1"/>
  <c r="AO13" i="2"/>
  <c r="E14" i="5"/>
  <c r="G14" i="5" s="1"/>
  <c r="E14" i="4"/>
  <c r="G14" i="4" s="1"/>
  <c r="AO11" i="2"/>
  <c r="E12" i="5"/>
  <c r="G12" i="5" s="1"/>
  <c r="E12" i="4"/>
  <c r="G12" i="4" s="1"/>
  <c r="AO8" i="2"/>
  <c r="E9" i="5"/>
  <c r="G9" i="5" s="1"/>
  <c r="E9" i="4"/>
  <c r="G9" i="4" s="1"/>
  <c r="Q12" i="3"/>
  <c r="AY8" i="2"/>
  <c r="X12" i="3" s="1"/>
  <c r="K14" i="3"/>
  <c r="Q16" i="3"/>
  <c r="AY12" i="2"/>
  <c r="X16" i="3" s="1"/>
  <c r="Q20" i="3"/>
  <c r="AY16" i="2"/>
  <c r="X20" i="3" s="1"/>
  <c r="K22" i="3"/>
  <c r="Q24" i="3"/>
  <c r="AY20" i="2"/>
  <c r="X24" i="3" s="1"/>
  <c r="V67" i="3"/>
  <c r="V46" i="3"/>
  <c r="V88" i="3"/>
  <c r="Q28" i="3"/>
  <c r="AY24" i="2"/>
  <c r="X28" i="3" s="1"/>
  <c r="AW51" i="2"/>
  <c r="V112" i="3" s="1"/>
  <c r="AU51" i="2"/>
  <c r="T112" i="3" s="1"/>
  <c r="AU49" i="2"/>
  <c r="T110" i="3" s="1"/>
  <c r="T89" i="3" s="1"/>
  <c r="AW52" i="2"/>
  <c r="V113" i="3" s="1"/>
  <c r="AU52" i="2"/>
  <c r="T113" i="3" s="1"/>
  <c r="AS52" i="2"/>
  <c r="R113" i="3" s="1"/>
  <c r="AX51" i="2"/>
  <c r="W112" i="3" s="1"/>
  <c r="W70" i="3" s="1"/>
  <c r="AV51" i="2"/>
  <c r="U112" i="3" s="1"/>
  <c r="AT51" i="2"/>
  <c r="S112" i="3" s="1"/>
  <c r="AR51" i="2"/>
  <c r="AW50" i="2"/>
  <c r="V111" i="3" s="1"/>
  <c r="V48" i="3" s="1"/>
  <c r="AU50" i="2"/>
  <c r="T111" i="3" s="1"/>
  <c r="AS50" i="2"/>
  <c r="R111" i="3" s="1"/>
  <c r="AX49" i="2"/>
  <c r="W110" i="3" s="1"/>
  <c r="W68" i="3" s="1"/>
  <c r="AV49" i="2"/>
  <c r="U110" i="3" s="1"/>
  <c r="AT49" i="2"/>
  <c r="S110" i="3" s="1"/>
  <c r="AR49" i="2"/>
  <c r="N109" i="3"/>
  <c r="M109" i="3"/>
  <c r="AX47" i="2"/>
  <c r="W108" i="3" s="1"/>
  <c r="W45" i="3" s="1"/>
  <c r="AV47" i="2"/>
  <c r="U108" i="3" s="1"/>
  <c r="U66" i="3" s="1"/>
  <c r="AT47" i="2"/>
  <c r="S108" i="3" s="1"/>
  <c r="S66" i="3" s="1"/>
  <c r="AR47" i="2"/>
  <c r="AW46" i="2"/>
  <c r="V107" i="3" s="1"/>
  <c r="V65" i="3" s="1"/>
  <c r="AU46" i="2"/>
  <c r="T107" i="3" s="1"/>
  <c r="AS46" i="2"/>
  <c r="R107" i="3" s="1"/>
  <c r="R65" i="3" s="1"/>
  <c r="AX45" i="2"/>
  <c r="W106" i="3" s="1"/>
  <c r="W43" i="3" s="1"/>
  <c r="AV45" i="2"/>
  <c r="U106" i="3" s="1"/>
  <c r="AT45" i="2"/>
  <c r="S106" i="3" s="1"/>
  <c r="S64" i="3" s="1"/>
  <c r="AR45" i="2"/>
  <c r="AW44" i="2"/>
  <c r="V105" i="3" s="1"/>
  <c r="V63" i="3" s="1"/>
  <c r="AU44" i="2"/>
  <c r="T105" i="3" s="1"/>
  <c r="AS44" i="2"/>
  <c r="R105" i="3" s="1"/>
  <c r="AX43" i="2"/>
  <c r="W104" i="3" s="1"/>
  <c r="W62" i="3" s="1"/>
  <c r="AV43" i="2"/>
  <c r="U104" i="3" s="1"/>
  <c r="AT43" i="2"/>
  <c r="S104" i="3" s="1"/>
  <c r="AR43" i="2"/>
  <c r="AW42" i="2"/>
  <c r="V103" i="3" s="1"/>
  <c r="V40" i="3" s="1"/>
  <c r="AU42" i="2"/>
  <c r="T103" i="3" s="1"/>
  <c r="T61" i="3" s="1"/>
  <c r="AS42" i="2"/>
  <c r="R103" i="3" s="1"/>
  <c r="AX41" i="2"/>
  <c r="W102" i="3" s="1"/>
  <c r="W60" i="3" s="1"/>
  <c r="AV41" i="2"/>
  <c r="U102" i="3" s="1"/>
  <c r="AT41" i="2"/>
  <c r="S102" i="3" s="1"/>
  <c r="AR41" i="2"/>
  <c r="AW40" i="2"/>
  <c r="V101" i="3" s="1"/>
  <c r="V38" i="3" s="1"/>
  <c r="AU40" i="2"/>
  <c r="T101" i="3" s="1"/>
  <c r="AS40" i="2"/>
  <c r="R101" i="3" s="1"/>
  <c r="R80" i="3" s="1"/>
  <c r="AX39" i="2"/>
  <c r="W100" i="3" s="1"/>
  <c r="W37" i="3" s="1"/>
  <c r="AV39" i="2"/>
  <c r="U100" i="3" s="1"/>
  <c r="U58" i="3" s="1"/>
  <c r="AT39" i="2"/>
  <c r="S100" i="3" s="1"/>
  <c r="S58" i="3" s="1"/>
  <c r="AR39" i="2"/>
  <c r="AW38" i="2"/>
  <c r="V99" i="3" s="1"/>
  <c r="V57" i="3" s="1"/>
  <c r="AU38" i="2"/>
  <c r="T99" i="3" s="1"/>
  <c r="AS38" i="2"/>
  <c r="R99" i="3" s="1"/>
  <c r="AX37" i="2"/>
  <c r="W98" i="3" s="1"/>
  <c r="W35" i="3" s="1"/>
  <c r="AV37" i="2"/>
  <c r="U98" i="3" s="1"/>
  <c r="U35" i="3" s="1"/>
  <c r="AT37" i="2"/>
  <c r="S98" i="3" s="1"/>
  <c r="S56" i="3" s="1"/>
  <c r="AR37" i="2"/>
  <c r="AW36" i="2"/>
  <c r="V97" i="3" s="1"/>
  <c r="V55" i="3" s="1"/>
  <c r="AU36" i="2"/>
  <c r="T97" i="3" s="1"/>
  <c r="T76" i="3" s="1"/>
  <c r="AS36" i="2"/>
  <c r="R97" i="3" s="1"/>
  <c r="R55" i="3" s="1"/>
  <c r="AX35" i="2"/>
  <c r="W96" i="3" s="1"/>
  <c r="W54" i="3" s="1"/>
  <c r="AV35" i="2"/>
  <c r="U96" i="3" s="1"/>
  <c r="AT35" i="2"/>
  <c r="S96" i="3" s="1"/>
  <c r="AR35" i="2"/>
  <c r="AW34" i="2"/>
  <c r="V95" i="3" s="1"/>
  <c r="V32" i="3" s="1"/>
  <c r="AU34" i="2"/>
  <c r="T95" i="3" s="1"/>
  <c r="AS34" i="2"/>
  <c r="R95" i="3" s="1"/>
  <c r="AX33" i="2"/>
  <c r="W94" i="3" s="1"/>
  <c r="W52" i="3" s="1"/>
  <c r="AV33" i="2"/>
  <c r="U94" i="3" s="1"/>
  <c r="AT33" i="2"/>
  <c r="S94" i="3" s="1"/>
  <c r="S73" i="3" s="1"/>
  <c r="AR33" i="2"/>
  <c r="AW32" i="2"/>
  <c r="V93" i="3" s="1"/>
  <c r="V30" i="3" s="1"/>
  <c r="AU32" i="2"/>
  <c r="T93" i="3" s="1"/>
  <c r="AS32" i="2"/>
  <c r="R93" i="3" s="1"/>
  <c r="H185" i="6"/>
  <c r="Q9" i="3"/>
  <c r="AY5" i="2"/>
  <c r="X9" i="3" s="1"/>
  <c r="Q13" i="3"/>
  <c r="AY9" i="2"/>
  <c r="X13" i="3" s="1"/>
  <c r="N16" i="3"/>
  <c r="N18" i="3"/>
  <c r="W61" i="3"/>
  <c r="W40" i="3"/>
  <c r="N20" i="3"/>
  <c r="U88" i="3"/>
  <c r="W67" i="3"/>
  <c r="W46" i="3"/>
  <c r="N26" i="3"/>
  <c r="W69" i="3"/>
  <c r="AO24" i="2"/>
  <c r="E25" i="5"/>
  <c r="G25" i="5" s="1"/>
  <c r="E25" i="4"/>
  <c r="G25" i="4" s="1"/>
  <c r="AO22" i="2"/>
  <c r="E23" i="5"/>
  <c r="G23" i="5" s="1"/>
  <c r="E23" i="4"/>
  <c r="G23" i="4" s="1"/>
  <c r="AO20" i="2"/>
  <c r="E21" i="5"/>
  <c r="G21" i="5" s="1"/>
  <c r="E21" i="4"/>
  <c r="G21" i="4" s="1"/>
  <c r="AO18" i="2"/>
  <c r="E19" i="5"/>
  <c r="G19" i="5" s="1"/>
  <c r="E19" i="4"/>
  <c r="G19" i="4" s="1"/>
  <c r="AO16" i="2"/>
  <c r="E17" i="5"/>
  <c r="G17" i="5" s="1"/>
  <c r="E17" i="4"/>
  <c r="G17" i="4" s="1"/>
  <c r="AO14" i="2"/>
  <c r="E15" i="5"/>
  <c r="G15" i="5" s="1"/>
  <c r="E15" i="4"/>
  <c r="G15" i="4" s="1"/>
  <c r="AO12" i="2"/>
  <c r="E13" i="5"/>
  <c r="G13" i="5" s="1"/>
  <c r="E13" i="4"/>
  <c r="G13" i="4" s="1"/>
  <c r="AO10" i="2"/>
  <c r="E11" i="5"/>
  <c r="G11" i="5" s="1"/>
  <c r="E11" i="4"/>
  <c r="G11" i="4" s="1"/>
  <c r="AO6" i="2"/>
  <c r="E7" i="5"/>
  <c r="G7" i="5" s="1"/>
  <c r="E7" i="4"/>
  <c r="G7" i="4" s="1"/>
  <c r="Q10" i="3"/>
  <c r="AY6" i="2"/>
  <c r="X10" i="3" s="1"/>
  <c r="K12" i="3"/>
  <c r="Q14" i="3"/>
  <c r="AY10" i="2"/>
  <c r="X14" i="3" s="1"/>
  <c r="M14" i="3"/>
  <c r="Q18" i="3"/>
  <c r="AY14" i="2"/>
  <c r="X18" i="3" s="1"/>
  <c r="M18" i="3"/>
  <c r="Q22" i="3"/>
  <c r="AY18" i="2"/>
  <c r="X22" i="3" s="1"/>
  <c r="K24" i="3"/>
  <c r="T88" i="3"/>
  <c r="Q26" i="3"/>
  <c r="AY22" i="2"/>
  <c r="X26" i="3" s="1"/>
  <c r="AI82" i="2"/>
  <c r="AH82" i="2"/>
  <c r="AI81" i="2"/>
  <c r="AH81" i="2"/>
  <c r="AI80" i="2"/>
  <c r="AH80" i="2"/>
  <c r="AI79" i="2"/>
  <c r="AH79" i="2"/>
  <c r="AI78" i="2"/>
  <c r="AH78" i="2"/>
  <c r="AI77" i="2"/>
  <c r="AH77" i="2"/>
  <c r="AI76" i="2"/>
  <c r="AH76" i="2"/>
  <c r="AI75" i="2"/>
  <c r="AH75" i="2"/>
  <c r="AI74" i="2"/>
  <c r="AH74" i="2"/>
  <c r="AI73" i="2"/>
  <c r="AH73" i="2"/>
  <c r="AI72" i="2"/>
  <c r="AH72" i="2"/>
  <c r="AI71" i="2"/>
  <c r="AH71" i="2"/>
  <c r="AI70" i="2"/>
  <c r="AH70" i="2"/>
  <c r="AI69" i="2"/>
  <c r="AH69" i="2"/>
  <c r="AI68" i="2"/>
  <c r="AH68" i="2"/>
  <c r="AI67" i="2"/>
  <c r="AH67" i="2"/>
  <c r="AI66" i="2"/>
  <c r="AH66" i="2"/>
  <c r="AI65" i="2"/>
  <c r="AH65" i="2"/>
  <c r="AI64" i="2"/>
  <c r="AH64" i="2"/>
  <c r="AI63" i="2"/>
  <c r="AH63" i="2"/>
  <c r="AI62" i="2"/>
  <c r="AH62" i="2"/>
  <c r="R62" i="2"/>
  <c r="T62" i="2"/>
  <c r="I69" i="6" s="1"/>
  <c r="S62" i="2"/>
  <c r="I100" i="6" s="1"/>
  <c r="U62" i="2"/>
  <c r="I11" i="6" s="1"/>
  <c r="V62" i="2"/>
  <c r="I40" i="6" s="1"/>
  <c r="W62" i="2"/>
  <c r="I129" i="6" s="1"/>
  <c r="X62" i="2"/>
  <c r="I160" i="6" s="1"/>
  <c r="R63" i="2"/>
  <c r="T63" i="2"/>
  <c r="I70" i="6" s="1"/>
  <c r="S63" i="2"/>
  <c r="I101" i="6" s="1"/>
  <c r="U63" i="2"/>
  <c r="I12" i="6" s="1"/>
  <c r="V63" i="2"/>
  <c r="I41" i="6" s="1"/>
  <c r="W63" i="2"/>
  <c r="I130" i="6" s="1"/>
  <c r="X63" i="2"/>
  <c r="R64" i="2"/>
  <c r="T64" i="2"/>
  <c r="I71" i="6" s="1"/>
  <c r="S64" i="2"/>
  <c r="I102" i="6" s="1"/>
  <c r="U64" i="2"/>
  <c r="I13" i="6" s="1"/>
  <c r="V64" i="2"/>
  <c r="I42" i="6" s="1"/>
  <c r="W64" i="2"/>
  <c r="I131" i="6" s="1"/>
  <c r="X64" i="2"/>
  <c r="R65" i="2"/>
  <c r="T65" i="2"/>
  <c r="I72" i="6" s="1"/>
  <c r="S65" i="2"/>
  <c r="I103" i="6" s="1"/>
  <c r="U65" i="2"/>
  <c r="I14" i="6" s="1"/>
  <c r="V65" i="2"/>
  <c r="I43" i="6" s="1"/>
  <c r="W65" i="2"/>
  <c r="I132" i="6" s="1"/>
  <c r="X65" i="2"/>
  <c r="R66" i="2"/>
  <c r="T66" i="2"/>
  <c r="I73" i="6" s="1"/>
  <c r="S66" i="2"/>
  <c r="I104" i="6" s="1"/>
  <c r="U66" i="2"/>
  <c r="I15" i="6" s="1"/>
  <c r="V66" i="2"/>
  <c r="I44" i="6" s="1"/>
  <c r="W66" i="2"/>
  <c r="X66" i="2"/>
  <c r="R67" i="2"/>
  <c r="T67" i="2"/>
  <c r="I74" i="6" s="1"/>
  <c r="S67" i="2"/>
  <c r="I105" i="6" s="1"/>
  <c r="U67" i="2"/>
  <c r="I16" i="6" s="1"/>
  <c r="V67" i="2"/>
  <c r="I45" i="6" s="1"/>
  <c r="W67" i="2"/>
  <c r="X67" i="2"/>
  <c r="R68" i="2"/>
  <c r="T68" i="2"/>
  <c r="I75" i="6" s="1"/>
  <c r="S68" i="2"/>
  <c r="I106" i="6" s="1"/>
  <c r="U68" i="2"/>
  <c r="I17" i="6" s="1"/>
  <c r="V68" i="2"/>
  <c r="I46" i="6" s="1"/>
  <c r="W68" i="2"/>
  <c r="I135" i="6" s="1"/>
  <c r="X68" i="2"/>
  <c r="R69" i="2"/>
  <c r="T69" i="2"/>
  <c r="I76" i="6" s="1"/>
  <c r="S69" i="2"/>
  <c r="I107" i="6" s="1"/>
  <c r="U69" i="2"/>
  <c r="I18" i="6" s="1"/>
  <c r="V69" i="2"/>
  <c r="I47" i="6" s="1"/>
  <c r="W69" i="2"/>
  <c r="I136" i="6" s="1"/>
  <c r="X69" i="2"/>
  <c r="R70" i="2"/>
  <c r="T70" i="2"/>
  <c r="I77" i="6" s="1"/>
  <c r="S70" i="2"/>
  <c r="I108" i="6" s="1"/>
  <c r="U70" i="2"/>
  <c r="I19" i="6" s="1"/>
  <c r="V70" i="2"/>
  <c r="I48" i="6" s="1"/>
  <c r="W70" i="2"/>
  <c r="X70" i="2"/>
  <c r="R71" i="2"/>
  <c r="T71" i="2"/>
  <c r="I78" i="6" s="1"/>
  <c r="S71" i="2"/>
  <c r="I109" i="6" s="1"/>
  <c r="U71" i="2"/>
  <c r="I20" i="6" s="1"/>
  <c r="V71" i="2"/>
  <c r="I49" i="6" s="1"/>
  <c r="W71" i="2"/>
  <c r="I138" i="6" s="1"/>
  <c r="X71" i="2"/>
  <c r="R72" i="2"/>
  <c r="T72" i="2"/>
  <c r="I79" i="6" s="1"/>
  <c r="S72" i="2"/>
  <c r="I110" i="6" s="1"/>
  <c r="U72" i="2"/>
  <c r="I21" i="6" s="1"/>
  <c r="V72" i="2"/>
  <c r="I50" i="6" s="1"/>
  <c r="W72" i="2"/>
  <c r="I139" i="6" s="1"/>
  <c r="X72" i="2"/>
  <c r="I170" i="6" s="1"/>
  <c r="R73" i="2"/>
  <c r="T73" i="2"/>
  <c r="I80" i="6" s="1"/>
  <c r="S73" i="2"/>
  <c r="I111" i="6" s="1"/>
  <c r="U73" i="2"/>
  <c r="I22" i="6" s="1"/>
  <c r="V73" i="2"/>
  <c r="I51" i="6" s="1"/>
  <c r="W73" i="2"/>
  <c r="I140" i="6" s="1"/>
  <c r="X73" i="2"/>
  <c r="R74" i="2"/>
  <c r="T74" i="2"/>
  <c r="I81" i="6" s="1"/>
  <c r="S74" i="2"/>
  <c r="I112" i="6" s="1"/>
  <c r="U74" i="2"/>
  <c r="I23" i="6" s="1"/>
  <c r="V74" i="2"/>
  <c r="I52" i="6" s="1"/>
  <c r="W74" i="2"/>
  <c r="I141" i="6" s="1"/>
  <c r="X74" i="2"/>
  <c r="I172" i="6" s="1"/>
  <c r="R75" i="2"/>
  <c r="T75" i="2"/>
  <c r="I82" i="6" s="1"/>
  <c r="S75" i="2"/>
  <c r="I113" i="6" s="1"/>
  <c r="U75" i="2"/>
  <c r="I24" i="6" s="1"/>
  <c r="V75" i="2"/>
  <c r="I53" i="6" s="1"/>
  <c r="W75" i="2"/>
  <c r="I142" i="6" s="1"/>
  <c r="X75" i="2"/>
  <c r="I173" i="6" s="1"/>
  <c r="R76" i="2"/>
  <c r="T76" i="2"/>
  <c r="I83" i="6" s="1"/>
  <c r="S76" i="2"/>
  <c r="I114" i="6" s="1"/>
  <c r="U76" i="2"/>
  <c r="I25" i="6" s="1"/>
  <c r="V76" i="2"/>
  <c r="I54" i="6" s="1"/>
  <c r="W76" i="2"/>
  <c r="X76" i="2"/>
  <c r="I174" i="6" s="1"/>
  <c r="R77" i="2"/>
  <c r="T77" i="2"/>
  <c r="I84" i="6" s="1"/>
  <c r="S77" i="2"/>
  <c r="I115" i="6" s="1"/>
  <c r="U77" i="2"/>
  <c r="I26" i="6" s="1"/>
  <c r="V77" i="2"/>
  <c r="I55" i="6" s="1"/>
  <c r="W77" i="2"/>
  <c r="I144" i="6" s="1"/>
  <c r="X77" i="2"/>
  <c r="R78" i="2"/>
  <c r="T78" i="2"/>
  <c r="I85" i="6" s="1"/>
  <c r="S78" i="2"/>
  <c r="I116" i="6" s="1"/>
  <c r="U78" i="2"/>
  <c r="I27" i="6" s="1"/>
  <c r="V78" i="2"/>
  <c r="I56" i="6" s="1"/>
  <c r="W78" i="2"/>
  <c r="X78" i="2"/>
  <c r="R79" i="2"/>
  <c r="T79" i="2"/>
  <c r="I86" i="6" s="1"/>
  <c r="U79" i="2"/>
  <c r="I28" i="6" s="1"/>
  <c r="V79" i="2"/>
  <c r="I57" i="6" s="1"/>
  <c r="W79" i="2"/>
  <c r="I146" i="6" s="1"/>
  <c r="X79" i="2"/>
  <c r="R80" i="2"/>
  <c r="T80" i="2"/>
  <c r="I87" i="6" s="1"/>
  <c r="S80" i="2"/>
  <c r="U80" i="2"/>
  <c r="I29" i="6" s="1"/>
  <c r="V80" i="2"/>
  <c r="I58" i="6" s="1"/>
  <c r="W80" i="2"/>
  <c r="I147" i="6" s="1"/>
  <c r="X80" i="2"/>
  <c r="R81" i="2"/>
  <c r="T81" i="2"/>
  <c r="I88" i="6" s="1"/>
  <c r="S81" i="2"/>
  <c r="I119" i="6" s="1"/>
  <c r="U81" i="2"/>
  <c r="I30" i="6" s="1"/>
  <c r="V81" i="2"/>
  <c r="I59" i="6" s="1"/>
  <c r="W81" i="2"/>
  <c r="I148" i="6" s="1"/>
  <c r="X81" i="2"/>
  <c r="R82" i="2"/>
  <c r="T82" i="2"/>
  <c r="I89" i="6" s="1"/>
  <c r="S82" i="2"/>
  <c r="I120" i="6" s="1"/>
  <c r="U82" i="2"/>
  <c r="I31" i="6" s="1"/>
  <c r="V82" i="2"/>
  <c r="I60" i="6" s="1"/>
  <c r="W82" i="2"/>
  <c r="X82" i="2"/>
  <c r="R83" i="2"/>
  <c r="T83" i="2"/>
  <c r="I90" i="6" s="1"/>
  <c r="S83" i="2"/>
  <c r="I121" i="6" s="1"/>
  <c r="U83" i="2"/>
  <c r="I32" i="6" s="1"/>
  <c r="V83" i="2"/>
  <c r="I61" i="6" s="1"/>
  <c r="W83" i="2"/>
  <c r="I150" i="6" s="1"/>
  <c r="X83" i="2"/>
  <c r="I181" i="6" s="1"/>
  <c r="W48" i="3" l="1"/>
  <c r="R85" i="3"/>
  <c r="U41" i="3"/>
  <c r="T54" i="3"/>
  <c r="T83" i="3"/>
  <c r="T75" i="3"/>
  <c r="BC9" i="2"/>
  <c r="R286" i="10" s="1"/>
  <c r="U43" i="3"/>
  <c r="V85" i="3"/>
  <c r="R58" i="3"/>
  <c r="R66" i="3"/>
  <c r="S37" i="3"/>
  <c r="U68" i="3"/>
  <c r="U72" i="3"/>
  <c r="V82" i="3"/>
  <c r="S61" i="3"/>
  <c r="S57" i="3"/>
  <c r="K16" i="3"/>
  <c r="R63" i="3"/>
  <c r="R86" i="3"/>
  <c r="Q88" i="3"/>
  <c r="U47" i="3"/>
  <c r="T68" i="3"/>
  <c r="S91" i="3"/>
  <c r="R83" i="3"/>
  <c r="W44" i="3"/>
  <c r="T80" i="3"/>
  <c r="BD13" i="2"/>
  <c r="S290" i="10" s="1"/>
  <c r="T66" i="3"/>
  <c r="T78" i="3"/>
  <c r="R87" i="3"/>
  <c r="BF12" i="2"/>
  <c r="U289" i="10" s="1"/>
  <c r="U247" i="10" s="1"/>
  <c r="S82" i="3"/>
  <c r="BF20" i="2"/>
  <c r="U297" i="10" s="1"/>
  <c r="S45" i="3"/>
  <c r="S70" i="3"/>
  <c r="S65" i="3"/>
  <c r="T85" i="3"/>
  <c r="W66" i="3"/>
  <c r="U85" i="3"/>
  <c r="S86" i="3"/>
  <c r="M22" i="3"/>
  <c r="V36" i="3"/>
  <c r="W50" i="3"/>
  <c r="W65" i="3"/>
  <c r="BD24" i="2"/>
  <c r="S301" i="10" s="1"/>
  <c r="S238" i="10" s="1"/>
  <c r="BF10" i="2"/>
  <c r="U287" i="10" s="1"/>
  <c r="U245" i="10" s="1"/>
  <c r="W71" i="3"/>
  <c r="BD16" i="2"/>
  <c r="S293" i="10" s="1"/>
  <c r="S272" i="10" s="1"/>
  <c r="W42" i="3"/>
  <c r="BC23" i="2"/>
  <c r="R300" i="10" s="1"/>
  <c r="W63" i="3"/>
  <c r="V62" i="3"/>
  <c r="BE16" i="2"/>
  <c r="T293" i="10" s="1"/>
  <c r="N25" i="3"/>
  <c r="S69" i="3"/>
  <c r="W53" i="3"/>
  <c r="V83" i="3"/>
  <c r="K103" i="3"/>
  <c r="BF22" i="2"/>
  <c r="U299" i="10" s="1"/>
  <c r="U257" i="10" s="1"/>
  <c r="T46" i="3"/>
  <c r="BF14" i="2"/>
  <c r="U291" i="10" s="1"/>
  <c r="U249" i="10" s="1"/>
  <c r="BF24" i="2"/>
  <c r="U301" i="10" s="1"/>
  <c r="BF16" i="2"/>
  <c r="U293" i="10" s="1"/>
  <c r="U251" i="10" s="1"/>
  <c r="T71" i="3"/>
  <c r="R77" i="3"/>
  <c r="BD23" i="2"/>
  <c r="S300" i="10" s="1"/>
  <c r="R72" i="3"/>
  <c r="U33" i="3"/>
  <c r="V54" i="3"/>
  <c r="BD20" i="2"/>
  <c r="S297" i="10" s="1"/>
  <c r="S255" i="10" s="1"/>
  <c r="Q265" i="10"/>
  <c r="T59" i="3"/>
  <c r="S48" i="3"/>
  <c r="V33" i="3"/>
  <c r="BD12" i="2"/>
  <c r="S289" i="10" s="1"/>
  <c r="S247" i="10" s="1"/>
  <c r="W74" i="3"/>
  <c r="BE24" i="2"/>
  <c r="T301" i="10" s="1"/>
  <c r="T50" i="3"/>
  <c r="R78" i="3"/>
  <c r="T91" i="3"/>
  <c r="T92" i="3"/>
  <c r="T87" i="3"/>
  <c r="T39" i="3"/>
  <c r="S80" i="3"/>
  <c r="T43" i="3"/>
  <c r="T58" i="3"/>
  <c r="T86" i="3"/>
  <c r="R79" i="3"/>
  <c r="R68" i="3"/>
  <c r="Q223" i="10"/>
  <c r="K113" i="3"/>
  <c r="V90" i="3"/>
  <c r="BG18" i="2"/>
  <c r="V295" i="10" s="1"/>
  <c r="V232" i="10" s="1"/>
  <c r="V69" i="3"/>
  <c r="T49" i="3"/>
  <c r="V43" i="3"/>
  <c r="Q80" i="3"/>
  <c r="R69" i="3"/>
  <c r="V44" i="3"/>
  <c r="V74" i="3"/>
  <c r="S32" i="3"/>
  <c r="S84" i="3"/>
  <c r="W51" i="3"/>
  <c r="BF21" i="2"/>
  <c r="U298" i="10" s="1"/>
  <c r="W58" i="3"/>
  <c r="U51" i="3"/>
  <c r="T53" i="3"/>
  <c r="S81" i="3"/>
  <c r="V6" i="7"/>
  <c r="U12" i="7"/>
  <c r="U18" i="7" s="1"/>
  <c r="R57" i="3"/>
  <c r="S78" i="3"/>
  <c r="S72" i="3"/>
  <c r="T37" i="7"/>
  <c r="T31" i="7"/>
  <c r="T24" i="7"/>
  <c r="R89" i="3"/>
  <c r="L15" i="3"/>
  <c r="S53" i="3"/>
  <c r="BC19" i="2"/>
  <c r="R296" i="10" s="1"/>
  <c r="R254" i="10" s="1"/>
  <c r="S89" i="3"/>
  <c r="M113" i="3"/>
  <c r="U67" i="3"/>
  <c r="R41" i="3"/>
  <c r="V35" i="3"/>
  <c r="R54" i="3"/>
  <c r="BE13" i="2"/>
  <c r="T290" i="10" s="1"/>
  <c r="T248" i="10" s="1"/>
  <c r="BF6" i="2"/>
  <c r="U283" i="10" s="1"/>
  <c r="U241" i="10" s="1"/>
  <c r="BF23" i="2"/>
  <c r="U300" i="10" s="1"/>
  <c r="R62" i="3"/>
  <c r="BF18" i="2"/>
  <c r="U295" i="10" s="1"/>
  <c r="T84" i="3"/>
  <c r="W49" i="3"/>
  <c r="U77" i="3"/>
  <c r="R90" i="3"/>
  <c r="BF25" i="2"/>
  <c r="U302" i="10" s="1"/>
  <c r="U239" i="10" s="1"/>
  <c r="U39" i="3"/>
  <c r="T64" i="3"/>
  <c r="T62" i="3"/>
  <c r="W30" i="3"/>
  <c r="S30" i="3"/>
  <c r="R53" i="3"/>
  <c r="U31" i="3"/>
  <c r="T70" i="3"/>
  <c r="BC11" i="2"/>
  <c r="R288" i="10" s="1"/>
  <c r="R246" i="10" s="1"/>
  <c r="BC20" i="2"/>
  <c r="R297" i="10" s="1"/>
  <c r="BC12" i="2"/>
  <c r="R289" i="10" s="1"/>
  <c r="R226" i="10" s="1"/>
  <c r="V31" i="3"/>
  <c r="V73" i="3"/>
  <c r="V37" i="3"/>
  <c r="V58" i="3"/>
  <c r="Q63" i="3"/>
  <c r="Q84" i="3"/>
  <c r="V45" i="3"/>
  <c r="V66" i="3"/>
  <c r="T56" i="3"/>
  <c r="N14" i="3"/>
  <c r="S76" i="3"/>
  <c r="S34" i="3"/>
  <c r="K25" i="3"/>
  <c r="S46" i="3"/>
  <c r="R88" i="3"/>
  <c r="X88" i="3" s="1"/>
  <c r="R46" i="3"/>
  <c r="N15" i="3"/>
  <c r="BB8" i="2"/>
  <c r="Q285" i="10" s="1"/>
  <c r="Q243" i="10" s="1"/>
  <c r="BC8" i="2"/>
  <c r="R285" i="10" s="1"/>
  <c r="R222" i="10" s="1"/>
  <c r="BD8" i="2"/>
  <c r="S285" i="10" s="1"/>
  <c r="S243" i="10" s="1"/>
  <c r="BB7" i="2"/>
  <c r="Q284" i="10" s="1"/>
  <c r="BF7" i="2"/>
  <c r="U284" i="10" s="1"/>
  <c r="U263" i="10" s="1"/>
  <c r="BE7" i="2"/>
  <c r="T284" i="10" s="1"/>
  <c r="T242" i="10" s="1"/>
  <c r="BD7" i="2"/>
  <c r="S284" i="10" s="1"/>
  <c r="S221" i="10" s="1"/>
  <c r="BC7" i="2"/>
  <c r="R284" i="10" s="1"/>
  <c r="R263" i="10" s="1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W91" i="3"/>
  <c r="S49" i="3"/>
  <c r="R48" i="3"/>
  <c r="U89" i="3"/>
  <c r="R61" i="3"/>
  <c r="N28" i="3"/>
  <c r="T47" i="3"/>
  <c r="S67" i="3"/>
  <c r="N22" i="3"/>
  <c r="T35" i="3"/>
  <c r="R73" i="3"/>
  <c r="N27" i="3"/>
  <c r="S50" i="3"/>
  <c r="R47" i="3"/>
  <c r="L25" i="3"/>
  <c r="R45" i="3"/>
  <c r="L17" i="3"/>
  <c r="R37" i="3"/>
  <c r="S55" i="3"/>
  <c r="U74" i="3"/>
  <c r="R91" i="3"/>
  <c r="R49" i="3"/>
  <c r="V47" i="3"/>
  <c r="V68" i="3"/>
  <c r="W76" i="3"/>
  <c r="W34" i="3"/>
  <c r="K99" i="3"/>
  <c r="S36" i="3"/>
  <c r="W78" i="3"/>
  <c r="W57" i="3"/>
  <c r="S38" i="3"/>
  <c r="S59" i="3"/>
  <c r="W80" i="3"/>
  <c r="W38" i="3"/>
  <c r="K105" i="3"/>
  <c r="S42" i="3"/>
  <c r="K111" i="3"/>
  <c r="S90" i="3"/>
  <c r="S92" i="3"/>
  <c r="M29" i="3"/>
  <c r="U71" i="3"/>
  <c r="K23" i="3"/>
  <c r="S44" i="3"/>
  <c r="R75" i="3"/>
  <c r="R33" i="3"/>
  <c r="T60" i="3"/>
  <c r="T72" i="3"/>
  <c r="U52" i="3"/>
  <c r="R74" i="3"/>
  <c r="S75" i="3"/>
  <c r="T55" i="3"/>
  <c r="U60" i="3"/>
  <c r="R82" i="3"/>
  <c r="S83" i="3"/>
  <c r="T63" i="3"/>
  <c r="T69" i="3"/>
  <c r="U49" i="3"/>
  <c r="R71" i="3"/>
  <c r="T73" i="3"/>
  <c r="U32" i="3"/>
  <c r="U36" i="3"/>
  <c r="U48" i="3"/>
  <c r="U50" i="3"/>
  <c r="S261" i="10"/>
  <c r="S219" i="10"/>
  <c r="S240" i="10"/>
  <c r="AU126" i="9"/>
  <c r="BL126" i="9" s="1"/>
  <c r="Q281" i="10"/>
  <c r="Q239" i="10"/>
  <c r="Q260" i="10"/>
  <c r="S275" i="10"/>
  <c r="S233" i="10"/>
  <c r="S254" i="10"/>
  <c r="BE25" i="2"/>
  <c r="T302" i="10" s="1"/>
  <c r="S259" i="10"/>
  <c r="S280" i="10"/>
  <c r="R258" i="10"/>
  <c r="R279" i="10"/>
  <c r="R237" i="10"/>
  <c r="U278" i="10"/>
  <c r="U236" i="10"/>
  <c r="Q257" i="10"/>
  <c r="Q278" i="10"/>
  <c r="Q236" i="10"/>
  <c r="T252" i="10"/>
  <c r="T273" i="10"/>
  <c r="T231" i="10"/>
  <c r="R250" i="10"/>
  <c r="R271" i="10"/>
  <c r="R229" i="10"/>
  <c r="Q249" i="10"/>
  <c r="Q270" i="10"/>
  <c r="Q228" i="10"/>
  <c r="T244" i="10"/>
  <c r="T265" i="10"/>
  <c r="T223" i="10"/>
  <c r="U220" i="10"/>
  <c r="Q241" i="10"/>
  <c r="Q262" i="10"/>
  <c r="Q220" i="10"/>
  <c r="BD21" i="2"/>
  <c r="S298" i="10" s="1"/>
  <c r="BB19" i="2"/>
  <c r="Q296" i="10" s="1"/>
  <c r="BF19" i="2"/>
  <c r="U296" i="10" s="1"/>
  <c r="BB15" i="2"/>
  <c r="Q292" i="10" s="1"/>
  <c r="BF15" i="2"/>
  <c r="U292" i="10" s="1"/>
  <c r="BD15" i="2"/>
  <c r="S292" i="10" s="1"/>
  <c r="Q267" i="10"/>
  <c r="Q225" i="10"/>
  <c r="Q246" i="10"/>
  <c r="BC25" i="2"/>
  <c r="R302" i="10" s="1"/>
  <c r="U259" i="10"/>
  <c r="U280" i="10"/>
  <c r="U238" i="10"/>
  <c r="Q259" i="10"/>
  <c r="Q280" i="10"/>
  <c r="Q238" i="10"/>
  <c r="BC21" i="2"/>
  <c r="R298" i="10" s="1"/>
  <c r="U255" i="10"/>
  <c r="U276" i="10"/>
  <c r="U234" i="10"/>
  <c r="Q255" i="10"/>
  <c r="Q276" i="10"/>
  <c r="Q234" i="10"/>
  <c r="BE15" i="2"/>
  <c r="T292" i="10" s="1"/>
  <c r="BD14" i="2"/>
  <c r="S291" i="10" s="1"/>
  <c r="R248" i="10"/>
  <c r="R269" i="10"/>
  <c r="R227" i="10"/>
  <c r="Q247" i="10"/>
  <c r="Q268" i="10"/>
  <c r="Q226" i="10"/>
  <c r="R244" i="10"/>
  <c r="R265" i="10"/>
  <c r="R223" i="10"/>
  <c r="U243" i="10"/>
  <c r="U264" i="10"/>
  <c r="U222" i="10"/>
  <c r="BE8" i="2"/>
  <c r="T285" i="10" s="1"/>
  <c r="T31" i="3"/>
  <c r="S279" i="10"/>
  <c r="S237" i="10"/>
  <c r="S258" i="10"/>
  <c r="U277" i="10"/>
  <c r="U235" i="10"/>
  <c r="U256" i="10"/>
  <c r="Q277" i="10"/>
  <c r="Q235" i="10"/>
  <c r="Q256" i="10"/>
  <c r="BE21" i="2"/>
  <c r="T298" i="10" s="1"/>
  <c r="U253" i="10"/>
  <c r="U274" i="10"/>
  <c r="U232" i="10"/>
  <c r="Q253" i="10"/>
  <c r="Q274" i="10"/>
  <c r="Q232" i="10"/>
  <c r="S268" i="10"/>
  <c r="Q245" i="10"/>
  <c r="Q266" i="10"/>
  <c r="Q224" i="10"/>
  <c r="BE5" i="2"/>
  <c r="T282" i="10" s="1"/>
  <c r="T280" i="10"/>
  <c r="T238" i="10"/>
  <c r="T259" i="10"/>
  <c r="BC22" i="2"/>
  <c r="R299" i="10" s="1"/>
  <c r="R276" i="10"/>
  <c r="R234" i="10"/>
  <c r="R255" i="10"/>
  <c r="BE18" i="2"/>
  <c r="T295" i="10" s="1"/>
  <c r="T272" i="10"/>
  <c r="T230" i="10"/>
  <c r="T251" i="10"/>
  <c r="BC14" i="2"/>
  <c r="R291" i="10" s="1"/>
  <c r="R268" i="10"/>
  <c r="BE10" i="2"/>
  <c r="T287" i="10" s="1"/>
  <c r="S265" i="10"/>
  <c r="S223" i="10"/>
  <c r="S244" i="10"/>
  <c r="S263" i="10"/>
  <c r="BC6" i="2"/>
  <c r="R283" i="10" s="1"/>
  <c r="BF5" i="2"/>
  <c r="U282" i="10" s="1"/>
  <c r="BB5" i="2"/>
  <c r="Q282" i="10" s="1"/>
  <c r="S269" i="10"/>
  <c r="S227" i="10"/>
  <c r="S248" i="10"/>
  <c r="BF11" i="2"/>
  <c r="U288" i="10" s="1"/>
  <c r="BD11" i="2"/>
  <c r="S288" i="10" s="1"/>
  <c r="BD25" i="2"/>
  <c r="S302" i="10" s="1"/>
  <c r="U279" i="10"/>
  <c r="U237" i="10"/>
  <c r="U258" i="10"/>
  <c r="Q279" i="10"/>
  <c r="Q237" i="10"/>
  <c r="Q258" i="10"/>
  <c r="BB17" i="2"/>
  <c r="Q294" i="10" s="1"/>
  <c r="BF17" i="2"/>
  <c r="U294" i="10" s="1"/>
  <c r="BD17" i="2"/>
  <c r="S294" i="10" s="1"/>
  <c r="BB13" i="2"/>
  <c r="Q290" i="10" s="1"/>
  <c r="BF13" i="2"/>
  <c r="U290" i="10" s="1"/>
  <c r="U265" i="10"/>
  <c r="U223" i="10"/>
  <c r="U244" i="10"/>
  <c r="BE23" i="2"/>
  <c r="T300" i="10" s="1"/>
  <c r="BD22" i="2"/>
  <c r="S299" i="10" s="1"/>
  <c r="M25" i="3"/>
  <c r="BE19" i="2"/>
  <c r="T296" i="10" s="1"/>
  <c r="BD18" i="2"/>
  <c r="S295" i="10" s="1"/>
  <c r="BC17" i="2"/>
  <c r="R294" i="10" s="1"/>
  <c r="Q251" i="10"/>
  <c r="Q272" i="10"/>
  <c r="Q230" i="10"/>
  <c r="BE11" i="2"/>
  <c r="T288" i="10" s="1"/>
  <c r="BD10" i="2"/>
  <c r="S287" i="10" s="1"/>
  <c r="T263" i="10"/>
  <c r="BD6" i="2"/>
  <c r="S283" i="10" s="1"/>
  <c r="BC5" i="2"/>
  <c r="R282" i="10" s="1"/>
  <c r="BC24" i="2"/>
  <c r="R301" i="10" s="1"/>
  <c r="BE22" i="2"/>
  <c r="T299" i="10" s="1"/>
  <c r="BE20" i="2"/>
  <c r="T297" i="10" s="1"/>
  <c r="X297" i="10" s="1"/>
  <c r="BC18" i="2"/>
  <c r="R295" i="10" s="1"/>
  <c r="BC16" i="2"/>
  <c r="R293" i="10" s="1"/>
  <c r="BE14" i="2"/>
  <c r="T291" i="10" s="1"/>
  <c r="BE12" i="2"/>
  <c r="T289" i="10" s="1"/>
  <c r="BC10" i="2"/>
  <c r="R287" i="10" s="1"/>
  <c r="X286" i="10"/>
  <c r="BE6" i="2"/>
  <c r="T283" i="10" s="1"/>
  <c r="BM70" i="9"/>
  <c r="BL84" i="9"/>
  <c r="I118" i="6"/>
  <c r="Q78" i="3"/>
  <c r="Q36" i="3"/>
  <c r="Q57" i="3"/>
  <c r="Q82" i="3"/>
  <c r="Q40" i="3"/>
  <c r="Q61" i="3"/>
  <c r="Q86" i="3"/>
  <c r="Q44" i="3"/>
  <c r="Q65" i="3"/>
  <c r="W87" i="3"/>
  <c r="S87" i="3"/>
  <c r="R44" i="3"/>
  <c r="U64" i="3"/>
  <c r="T42" i="3"/>
  <c r="W41" i="3"/>
  <c r="S62" i="3"/>
  <c r="V61" i="3"/>
  <c r="W79" i="3"/>
  <c r="S79" i="3"/>
  <c r="R36" i="3"/>
  <c r="U56" i="3"/>
  <c r="T34" i="3"/>
  <c r="W33" i="3"/>
  <c r="S54" i="3"/>
  <c r="V53" i="3"/>
  <c r="T30" i="3"/>
  <c r="T51" i="3"/>
  <c r="U92" i="3"/>
  <c r="U90" i="3"/>
  <c r="U86" i="3"/>
  <c r="U84" i="3"/>
  <c r="U82" i="3"/>
  <c r="U80" i="3"/>
  <c r="U78" i="3"/>
  <c r="U76" i="3"/>
  <c r="T33" i="3"/>
  <c r="S74" i="3"/>
  <c r="R31" i="3"/>
  <c r="U30" i="3"/>
  <c r="Q71" i="3"/>
  <c r="Q46" i="3"/>
  <c r="U65" i="3"/>
  <c r="V64" i="3"/>
  <c r="R64" i="3"/>
  <c r="U63" i="3"/>
  <c r="Q42" i="3"/>
  <c r="U61" i="3"/>
  <c r="V60" i="3"/>
  <c r="R60" i="3"/>
  <c r="U59" i="3"/>
  <c r="Q38" i="3"/>
  <c r="U57" i="3"/>
  <c r="V56" i="3"/>
  <c r="R56" i="3"/>
  <c r="U55" i="3"/>
  <c r="V86" i="3"/>
  <c r="W83" i="3"/>
  <c r="S41" i="3"/>
  <c r="R40" i="3"/>
  <c r="U81" i="3"/>
  <c r="T38" i="3"/>
  <c r="V78" i="3"/>
  <c r="W75" i="3"/>
  <c r="S33" i="3"/>
  <c r="R32" i="3"/>
  <c r="U73" i="3"/>
  <c r="T45" i="3"/>
  <c r="T41" i="3"/>
  <c r="T37" i="3"/>
  <c r="V52" i="3"/>
  <c r="M111" i="3"/>
  <c r="Q50" i="3"/>
  <c r="U69" i="3"/>
  <c r="R43" i="3"/>
  <c r="R39" i="3"/>
  <c r="R35" i="3"/>
  <c r="U53" i="3"/>
  <c r="AM77" i="2"/>
  <c r="AM78" i="2"/>
  <c r="AM79" i="2"/>
  <c r="AM80" i="2"/>
  <c r="AM81" i="2"/>
  <c r="AM82" i="2"/>
  <c r="L22" i="3"/>
  <c r="L14" i="3"/>
  <c r="Q76" i="3"/>
  <c r="Q55" i="3"/>
  <c r="Q34" i="3"/>
  <c r="L13" i="3"/>
  <c r="L9" i="3"/>
  <c r="N93" i="3"/>
  <c r="Q94" i="3"/>
  <c r="Q52" i="3" s="1"/>
  <c r="AY33" i="2"/>
  <c r="X94" i="3" s="1"/>
  <c r="M94" i="3"/>
  <c r="K96" i="3"/>
  <c r="N97" i="3"/>
  <c r="Q98" i="3"/>
  <c r="AY37" i="2"/>
  <c r="X98" i="3" s="1"/>
  <c r="M98" i="3"/>
  <c r="K100" i="3"/>
  <c r="N101" i="3"/>
  <c r="Q102" i="3"/>
  <c r="Q81" i="3" s="1"/>
  <c r="AY41" i="2"/>
  <c r="X102" i="3" s="1"/>
  <c r="M102" i="3"/>
  <c r="K104" i="3"/>
  <c r="N105" i="3"/>
  <c r="Q106" i="3"/>
  <c r="AY45" i="2"/>
  <c r="X106" i="3" s="1"/>
  <c r="M106" i="3"/>
  <c r="K108" i="3"/>
  <c r="Q110" i="3"/>
  <c r="Q68" i="3" s="1"/>
  <c r="AY49" i="2"/>
  <c r="X110" i="3" s="1"/>
  <c r="M110" i="3"/>
  <c r="K112" i="3"/>
  <c r="N113" i="3"/>
  <c r="N110" i="3"/>
  <c r="L111" i="3"/>
  <c r="V92" i="3"/>
  <c r="V71" i="3"/>
  <c r="W89" i="3"/>
  <c r="S47" i="3"/>
  <c r="U87" i="3"/>
  <c r="L24" i="3"/>
  <c r="T44" i="3"/>
  <c r="V84" i="3"/>
  <c r="W81" i="3"/>
  <c r="S39" i="3"/>
  <c r="R38" i="3"/>
  <c r="U79" i="3"/>
  <c r="L16" i="3"/>
  <c r="T36" i="3"/>
  <c r="V76" i="3"/>
  <c r="W73" i="3"/>
  <c r="S31" i="3"/>
  <c r="R30" i="3"/>
  <c r="V91" i="3"/>
  <c r="Q48" i="3"/>
  <c r="Q90" i="3"/>
  <c r="Q93" i="3"/>
  <c r="AY32" i="2"/>
  <c r="X93" i="3" s="1"/>
  <c r="M93" i="3"/>
  <c r="K95" i="3"/>
  <c r="L97" i="3"/>
  <c r="L99" i="3"/>
  <c r="L101" i="3"/>
  <c r="L103" i="3"/>
  <c r="L105" i="3"/>
  <c r="L107" i="3"/>
  <c r="AY52" i="2"/>
  <c r="X113" i="3" s="1"/>
  <c r="L26" i="3"/>
  <c r="L18" i="3"/>
  <c r="L10" i="3"/>
  <c r="K94" i="3"/>
  <c r="N95" i="3"/>
  <c r="Q96" i="3"/>
  <c r="Q75" i="3" s="1"/>
  <c r="AY35" i="2"/>
  <c r="X96" i="3" s="1"/>
  <c r="M96" i="3"/>
  <c r="K98" i="3"/>
  <c r="N99" i="3"/>
  <c r="Q100" i="3"/>
  <c r="Q58" i="3" s="1"/>
  <c r="AY39" i="2"/>
  <c r="X100" i="3" s="1"/>
  <c r="M100" i="3"/>
  <c r="K102" i="3"/>
  <c r="N103" i="3"/>
  <c r="Q104" i="3"/>
  <c r="Q62" i="3" s="1"/>
  <c r="AY43" i="2"/>
  <c r="X104" i="3" s="1"/>
  <c r="M104" i="3"/>
  <c r="K106" i="3"/>
  <c r="N107" i="3"/>
  <c r="Q108" i="3"/>
  <c r="Q87" i="3" s="1"/>
  <c r="AY47" i="2"/>
  <c r="X108" i="3" s="1"/>
  <c r="M108" i="3"/>
  <c r="K110" i="3"/>
  <c r="N111" i="3"/>
  <c r="Q112" i="3"/>
  <c r="Q49" i="3" s="1"/>
  <c r="AY51" i="2"/>
  <c r="X112" i="3" s="1"/>
  <c r="M112" i="3"/>
  <c r="AY50" i="2"/>
  <c r="X111" i="3" s="1"/>
  <c r="N112" i="3"/>
  <c r="V50" i="3"/>
  <c r="R50" i="3"/>
  <c r="R92" i="3"/>
  <c r="U91" i="3"/>
  <c r="U70" i="3"/>
  <c r="L28" i="3"/>
  <c r="T48" i="3"/>
  <c r="T90" i="3"/>
  <c r="W47" i="3"/>
  <c r="S68" i="3"/>
  <c r="U45" i="3"/>
  <c r="T65" i="3"/>
  <c r="W85" i="3"/>
  <c r="W64" i="3"/>
  <c r="S43" i="3"/>
  <c r="S85" i="3"/>
  <c r="V42" i="3"/>
  <c r="R42" i="3"/>
  <c r="R84" i="3"/>
  <c r="U83" i="3"/>
  <c r="U62" i="3"/>
  <c r="Q41" i="3"/>
  <c r="L20" i="3"/>
  <c r="T40" i="3"/>
  <c r="T82" i="3"/>
  <c r="W39" i="3"/>
  <c r="S60" i="3"/>
  <c r="V80" i="3"/>
  <c r="V59" i="3"/>
  <c r="R59" i="3"/>
  <c r="U37" i="3"/>
  <c r="T57" i="3"/>
  <c r="W77" i="3"/>
  <c r="W56" i="3"/>
  <c r="S35" i="3"/>
  <c r="S77" i="3"/>
  <c r="V34" i="3"/>
  <c r="R34" i="3"/>
  <c r="R76" i="3"/>
  <c r="U75" i="3"/>
  <c r="U54" i="3"/>
  <c r="L12" i="3"/>
  <c r="T32" i="3"/>
  <c r="T74" i="3"/>
  <c r="W31" i="3"/>
  <c r="S52" i="3"/>
  <c r="V72" i="3"/>
  <c r="V51" i="3"/>
  <c r="R51" i="3"/>
  <c r="V70" i="3"/>
  <c r="V49" i="3"/>
  <c r="Q69" i="3"/>
  <c r="L11" i="3"/>
  <c r="K93" i="3"/>
  <c r="N94" i="3"/>
  <c r="Q95" i="3"/>
  <c r="AY34" i="2"/>
  <c r="X95" i="3" s="1"/>
  <c r="M95" i="3"/>
  <c r="N96" i="3"/>
  <c r="AY36" i="2"/>
  <c r="X97" i="3" s="1"/>
  <c r="M97" i="3"/>
  <c r="N98" i="3"/>
  <c r="AY38" i="2"/>
  <c r="X99" i="3" s="1"/>
  <c r="M99" i="3"/>
  <c r="N100" i="3"/>
  <c r="AY40" i="2"/>
  <c r="X101" i="3" s="1"/>
  <c r="M101" i="3"/>
  <c r="N102" i="3"/>
  <c r="AY42" i="2"/>
  <c r="X103" i="3" s="1"/>
  <c r="M103" i="3"/>
  <c r="N104" i="3"/>
  <c r="AY44" i="2"/>
  <c r="X105" i="3" s="1"/>
  <c r="M105" i="3"/>
  <c r="N106" i="3"/>
  <c r="AY46" i="2"/>
  <c r="X107" i="3" s="1"/>
  <c r="M107" i="3"/>
  <c r="N108" i="3"/>
  <c r="L109" i="3"/>
  <c r="L113" i="3"/>
  <c r="I137" i="6"/>
  <c r="I134" i="6"/>
  <c r="I154" i="6"/>
  <c r="I185" i="6"/>
  <c r="AO35" i="2"/>
  <c r="F35" i="5"/>
  <c r="G35" i="5" s="1"/>
  <c r="H9" i="5" s="1"/>
  <c r="E35" i="4"/>
  <c r="AO39" i="2"/>
  <c r="F39" i="5"/>
  <c r="G39" i="5" s="1"/>
  <c r="H13" i="5" s="1"/>
  <c r="E39" i="4"/>
  <c r="AO43" i="2"/>
  <c r="F43" i="5"/>
  <c r="G43" i="5" s="1"/>
  <c r="H17" i="5" s="1"/>
  <c r="E43" i="4"/>
  <c r="AO47" i="2"/>
  <c r="F47" i="5"/>
  <c r="G47" i="5" s="1"/>
  <c r="H21" i="5" s="1"/>
  <c r="E47" i="4"/>
  <c r="AO51" i="2"/>
  <c r="F51" i="5"/>
  <c r="G51" i="5" s="1"/>
  <c r="H25" i="5" s="1"/>
  <c r="E51" i="4"/>
  <c r="AO34" i="2"/>
  <c r="F34" i="5"/>
  <c r="G34" i="5" s="1"/>
  <c r="H8" i="5" s="1"/>
  <c r="E34" i="4"/>
  <c r="AO38" i="2"/>
  <c r="F38" i="5"/>
  <c r="G38" i="5" s="1"/>
  <c r="H12" i="5" s="1"/>
  <c r="E38" i="4"/>
  <c r="AO42" i="2"/>
  <c r="F42" i="5"/>
  <c r="G42" i="5" s="1"/>
  <c r="H16" i="5" s="1"/>
  <c r="E42" i="4"/>
  <c r="AO46" i="2"/>
  <c r="F46" i="5"/>
  <c r="G46" i="5" s="1"/>
  <c r="H20" i="5" s="1"/>
  <c r="E46" i="4"/>
  <c r="AO50" i="2"/>
  <c r="F50" i="5"/>
  <c r="G50" i="5" s="1"/>
  <c r="H24" i="5" s="1"/>
  <c r="E50" i="4"/>
  <c r="AO33" i="2"/>
  <c r="F33" i="5"/>
  <c r="G33" i="5" s="1"/>
  <c r="H7" i="5" s="1"/>
  <c r="E33" i="4"/>
  <c r="AO37" i="2"/>
  <c r="F37" i="5"/>
  <c r="G37" i="5" s="1"/>
  <c r="H11" i="5" s="1"/>
  <c r="E37" i="4"/>
  <c r="AO41" i="2"/>
  <c r="F41" i="5"/>
  <c r="G41" i="5" s="1"/>
  <c r="H15" i="5" s="1"/>
  <c r="E41" i="4"/>
  <c r="AO45" i="2"/>
  <c r="F45" i="5"/>
  <c r="G45" i="5" s="1"/>
  <c r="H19" i="5" s="1"/>
  <c r="E45" i="4"/>
  <c r="AO49" i="2"/>
  <c r="F49" i="5"/>
  <c r="G49" i="5" s="1"/>
  <c r="H23" i="5" s="1"/>
  <c r="E49" i="4"/>
  <c r="AO32" i="2"/>
  <c r="F32" i="5"/>
  <c r="G32" i="5" s="1"/>
  <c r="H6" i="5" s="1"/>
  <c r="E32" i="4"/>
  <c r="AO36" i="2"/>
  <c r="F36" i="5"/>
  <c r="G36" i="5" s="1"/>
  <c r="H10" i="5" s="1"/>
  <c r="E36" i="4"/>
  <c r="AO40" i="2"/>
  <c r="F40" i="5"/>
  <c r="G40" i="5" s="1"/>
  <c r="H14" i="5" s="1"/>
  <c r="E40" i="4"/>
  <c r="AO44" i="2"/>
  <c r="F44" i="5"/>
  <c r="G44" i="5" s="1"/>
  <c r="H18" i="5" s="1"/>
  <c r="E44" i="4"/>
  <c r="AO48" i="2"/>
  <c r="F48" i="5"/>
  <c r="G48" i="5" s="1"/>
  <c r="H22" i="5" s="1"/>
  <c r="E48" i="4"/>
  <c r="AO52" i="2"/>
  <c r="F52" i="5"/>
  <c r="G52" i="5" s="1"/>
  <c r="H26" i="5" s="1"/>
  <c r="E52" i="4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D72" i="2"/>
  <c r="E72" i="2"/>
  <c r="F72" i="2"/>
  <c r="G72" i="2"/>
  <c r="H72" i="2"/>
  <c r="I72" i="2"/>
  <c r="J72" i="2"/>
  <c r="K72" i="2"/>
  <c r="L72" i="2"/>
  <c r="M72" i="2"/>
  <c r="N72" i="2"/>
  <c r="D73" i="2"/>
  <c r="E73" i="2"/>
  <c r="F73" i="2"/>
  <c r="G73" i="2"/>
  <c r="H73" i="2"/>
  <c r="I73" i="2"/>
  <c r="J73" i="2"/>
  <c r="K73" i="2"/>
  <c r="L73" i="2"/>
  <c r="M73" i="2"/>
  <c r="N73" i="2"/>
  <c r="D74" i="2"/>
  <c r="E74" i="2"/>
  <c r="F74" i="2"/>
  <c r="G74" i="2"/>
  <c r="H74" i="2"/>
  <c r="I74" i="2"/>
  <c r="J74" i="2"/>
  <c r="K74" i="2"/>
  <c r="L74" i="2"/>
  <c r="M74" i="2"/>
  <c r="N74" i="2"/>
  <c r="D75" i="2"/>
  <c r="E75" i="2"/>
  <c r="F75" i="2"/>
  <c r="G75" i="2"/>
  <c r="H75" i="2"/>
  <c r="I75" i="2"/>
  <c r="J75" i="2"/>
  <c r="K75" i="2"/>
  <c r="L75" i="2"/>
  <c r="M75" i="2"/>
  <c r="N75" i="2"/>
  <c r="D76" i="2"/>
  <c r="E76" i="2"/>
  <c r="F76" i="2"/>
  <c r="G76" i="2"/>
  <c r="H76" i="2"/>
  <c r="I76" i="2"/>
  <c r="J76" i="2"/>
  <c r="K76" i="2"/>
  <c r="L76" i="2"/>
  <c r="M76" i="2"/>
  <c r="N76" i="2"/>
  <c r="D77" i="2"/>
  <c r="E77" i="2"/>
  <c r="F77" i="2"/>
  <c r="G77" i="2"/>
  <c r="H77" i="2"/>
  <c r="I77" i="2"/>
  <c r="J77" i="2"/>
  <c r="K77" i="2"/>
  <c r="L77" i="2"/>
  <c r="M77" i="2"/>
  <c r="N77" i="2"/>
  <c r="D78" i="2"/>
  <c r="E78" i="2"/>
  <c r="F78" i="2"/>
  <c r="G78" i="2"/>
  <c r="H78" i="2"/>
  <c r="I78" i="2"/>
  <c r="J78" i="2"/>
  <c r="K78" i="2"/>
  <c r="L78" i="2"/>
  <c r="M78" i="2"/>
  <c r="N78" i="2"/>
  <c r="D79" i="2"/>
  <c r="E79" i="2"/>
  <c r="F79" i="2"/>
  <c r="G79" i="2"/>
  <c r="H79" i="2"/>
  <c r="I79" i="2"/>
  <c r="J79" i="2"/>
  <c r="K79" i="2"/>
  <c r="L79" i="2"/>
  <c r="M79" i="2"/>
  <c r="N79" i="2"/>
  <c r="D80" i="2"/>
  <c r="E80" i="2"/>
  <c r="F80" i="2"/>
  <c r="G80" i="2"/>
  <c r="H80" i="2"/>
  <c r="I80" i="2"/>
  <c r="J80" i="2"/>
  <c r="L80" i="2"/>
  <c r="M80" i="2"/>
  <c r="N80" i="2"/>
  <c r="D81" i="2"/>
  <c r="E81" i="2"/>
  <c r="F81" i="2"/>
  <c r="G81" i="2"/>
  <c r="H81" i="2"/>
  <c r="I81" i="2"/>
  <c r="J81" i="2"/>
  <c r="K81" i="2"/>
  <c r="L81" i="2"/>
  <c r="M81" i="2"/>
  <c r="N81" i="2"/>
  <c r="D82" i="2"/>
  <c r="E82" i="2"/>
  <c r="F82" i="2"/>
  <c r="G82" i="2"/>
  <c r="H82" i="2"/>
  <c r="I82" i="2"/>
  <c r="J82" i="2"/>
  <c r="K82" i="2"/>
  <c r="L82" i="2"/>
  <c r="M82" i="2"/>
  <c r="N82" i="2"/>
  <c r="D83" i="2"/>
  <c r="E83" i="2"/>
  <c r="F83" i="2"/>
  <c r="G83" i="2"/>
  <c r="H83" i="2"/>
  <c r="I83" i="2"/>
  <c r="J83" i="2"/>
  <c r="K83" i="2"/>
  <c r="L83" i="2"/>
  <c r="M83" i="2"/>
  <c r="N83" i="2"/>
  <c r="D84" i="2"/>
  <c r="E84" i="2"/>
  <c r="F84" i="2"/>
  <c r="G84" i="2"/>
  <c r="H84" i="2"/>
  <c r="I84" i="2"/>
  <c r="J84" i="2"/>
  <c r="K84" i="2"/>
  <c r="L84" i="2"/>
  <c r="M84" i="2"/>
  <c r="N84" i="2"/>
  <c r="U242" i="10" l="1"/>
  <c r="U221" i="10"/>
  <c r="R225" i="10"/>
  <c r="R267" i="10"/>
  <c r="Q222" i="10"/>
  <c r="Q264" i="10"/>
  <c r="U228" i="10"/>
  <c r="U270" i="10"/>
  <c r="U224" i="10"/>
  <c r="R243" i="10"/>
  <c r="U266" i="10"/>
  <c r="S234" i="10"/>
  <c r="R264" i="10"/>
  <c r="S276" i="10"/>
  <c r="U262" i="10"/>
  <c r="X298" i="10"/>
  <c r="S222" i="10"/>
  <c r="X265" i="10"/>
  <c r="T227" i="10"/>
  <c r="T269" i="10"/>
  <c r="U226" i="10"/>
  <c r="U268" i="10"/>
  <c r="Q39" i="3"/>
  <c r="Q60" i="3"/>
  <c r="X60" i="3" s="1"/>
  <c r="S251" i="10"/>
  <c r="S264" i="10"/>
  <c r="R233" i="10"/>
  <c r="R275" i="10"/>
  <c r="S230" i="10"/>
  <c r="X293" i="10"/>
  <c r="X82" i="3"/>
  <c r="X80" i="3"/>
  <c r="X40" i="3"/>
  <c r="U230" i="10"/>
  <c r="U272" i="10"/>
  <c r="Q73" i="3"/>
  <c r="X73" i="3" s="1"/>
  <c r="R221" i="10"/>
  <c r="R247" i="10"/>
  <c r="S226" i="10"/>
  <c r="S242" i="10"/>
  <c r="V253" i="10"/>
  <c r="U281" i="10"/>
  <c r="X67" i="3"/>
  <c r="V274" i="10"/>
  <c r="X44" i="3"/>
  <c r="X71" i="3"/>
  <c r="R242" i="10"/>
  <c r="Q47" i="3"/>
  <c r="X47" i="3" s="1"/>
  <c r="X36" i="3"/>
  <c r="U37" i="7"/>
  <c r="U31" i="7"/>
  <c r="U24" i="7"/>
  <c r="X63" i="3"/>
  <c r="W6" i="7"/>
  <c r="V12" i="7"/>
  <c r="V18" i="7" s="1"/>
  <c r="X46" i="3"/>
  <c r="Q31" i="3"/>
  <c r="U260" i="10"/>
  <c r="X65" i="3"/>
  <c r="X57" i="3"/>
  <c r="X78" i="3"/>
  <c r="Q263" i="10"/>
  <c r="Q242" i="10"/>
  <c r="Q221" i="10"/>
  <c r="X61" i="3"/>
  <c r="T221" i="10"/>
  <c r="X284" i="10"/>
  <c r="AN80" i="2"/>
  <c r="X291" i="10"/>
  <c r="AN81" i="2"/>
  <c r="AN78" i="2"/>
  <c r="AN76" i="2"/>
  <c r="AN74" i="2"/>
  <c r="AN72" i="2"/>
  <c r="AN70" i="2"/>
  <c r="AN68" i="2"/>
  <c r="AN66" i="2"/>
  <c r="AN64" i="2"/>
  <c r="AN62" i="2"/>
  <c r="R266" i="10"/>
  <c r="R224" i="10"/>
  <c r="R245" i="10"/>
  <c r="T270" i="10"/>
  <c r="T228" i="10"/>
  <c r="T249" i="10"/>
  <c r="R274" i="10"/>
  <c r="R232" i="10"/>
  <c r="R253" i="10"/>
  <c r="T278" i="10"/>
  <c r="T236" i="10"/>
  <c r="T257" i="10"/>
  <c r="R240" i="10"/>
  <c r="R261" i="10"/>
  <c r="R219" i="10"/>
  <c r="T246" i="10"/>
  <c r="T267" i="10"/>
  <c r="T225" i="10"/>
  <c r="S253" i="10"/>
  <c r="S274" i="10"/>
  <c r="S232" i="10"/>
  <c r="T258" i="10"/>
  <c r="X258" i="10" s="1"/>
  <c r="T279" i="10"/>
  <c r="X279" i="10" s="1"/>
  <c r="T237" i="10"/>
  <c r="U269" i="10"/>
  <c r="U227" i="10"/>
  <c r="U248" i="10"/>
  <c r="S273" i="10"/>
  <c r="S231" i="10"/>
  <c r="S252" i="10"/>
  <c r="Q273" i="10"/>
  <c r="Q231" i="10"/>
  <c r="X294" i="10"/>
  <c r="Q252" i="10"/>
  <c r="X237" i="10"/>
  <c r="S267" i="10"/>
  <c r="S225" i="10"/>
  <c r="S246" i="10"/>
  <c r="U261" i="10"/>
  <c r="U219" i="10"/>
  <c r="U240" i="10"/>
  <c r="X295" i="10"/>
  <c r="X263" i="10"/>
  <c r="T264" i="10"/>
  <c r="T222" i="10"/>
  <c r="X222" i="10" s="1"/>
  <c r="T243" i="10"/>
  <c r="X243" i="10" s="1"/>
  <c r="X223" i="10"/>
  <c r="X244" i="10"/>
  <c r="X285" i="10"/>
  <c r="T250" i="10"/>
  <c r="T271" i="10"/>
  <c r="T229" i="10"/>
  <c r="R260" i="10"/>
  <c r="R281" i="10"/>
  <c r="R239" i="10"/>
  <c r="S271" i="10"/>
  <c r="S229" i="10"/>
  <c r="S250" i="10"/>
  <c r="Q271" i="10"/>
  <c r="Q229" i="10"/>
  <c r="X292" i="10"/>
  <c r="Q250" i="10"/>
  <c r="Q275" i="10"/>
  <c r="Q233" i="10"/>
  <c r="X296" i="10"/>
  <c r="Q254" i="10"/>
  <c r="T260" i="10"/>
  <c r="T281" i="10"/>
  <c r="T239" i="10"/>
  <c r="X302" i="10"/>
  <c r="BM126" i="9"/>
  <c r="AN82" i="2"/>
  <c r="AN79" i="2"/>
  <c r="AN77" i="2"/>
  <c r="AN75" i="2"/>
  <c r="AN73" i="2"/>
  <c r="AN71" i="2"/>
  <c r="AN69" i="2"/>
  <c r="AN67" i="2"/>
  <c r="AN65" i="2"/>
  <c r="AN63" i="2"/>
  <c r="T262" i="10"/>
  <c r="T220" i="10"/>
  <c r="T241" i="10"/>
  <c r="T268" i="10"/>
  <c r="X268" i="10" s="1"/>
  <c r="T226" i="10"/>
  <c r="T247" i="10"/>
  <c r="R272" i="10"/>
  <c r="R230" i="10"/>
  <c r="X230" i="10" s="1"/>
  <c r="R251" i="10"/>
  <c r="X251" i="10" s="1"/>
  <c r="T276" i="10"/>
  <c r="X276" i="10" s="1"/>
  <c r="T234" i="10"/>
  <c r="T255" i="10"/>
  <c r="X255" i="10" s="1"/>
  <c r="R280" i="10"/>
  <c r="X280" i="10" s="1"/>
  <c r="R238" i="10"/>
  <c r="R259" i="10"/>
  <c r="X259" i="10" s="1"/>
  <c r="S241" i="10"/>
  <c r="S262" i="10"/>
  <c r="S220" i="10"/>
  <c r="S245" i="10"/>
  <c r="S266" i="10"/>
  <c r="S224" i="10"/>
  <c r="R252" i="10"/>
  <c r="R273" i="10"/>
  <c r="R231" i="10"/>
  <c r="T254" i="10"/>
  <c r="T275" i="10"/>
  <c r="T233" i="10"/>
  <c r="S257" i="10"/>
  <c r="S278" i="10"/>
  <c r="S236" i="10"/>
  <c r="Q269" i="10"/>
  <c r="Q227" i="10"/>
  <c r="X290" i="10"/>
  <c r="Q248" i="10"/>
  <c r="U273" i="10"/>
  <c r="U231" i="10"/>
  <c r="U252" i="10"/>
  <c r="X300" i="10"/>
  <c r="S281" i="10"/>
  <c r="S239" i="10"/>
  <c r="S260" i="10"/>
  <c r="U267" i="10"/>
  <c r="U225" i="10"/>
  <c r="U246" i="10"/>
  <c r="Q261" i="10"/>
  <c r="Q219" i="10"/>
  <c r="X282" i="10"/>
  <c r="Q240" i="10"/>
  <c r="R262" i="10"/>
  <c r="R220" i="10"/>
  <c r="R241" i="10"/>
  <c r="T266" i="10"/>
  <c r="T224" i="10"/>
  <c r="T245" i="10"/>
  <c r="R270" i="10"/>
  <c r="R228" i="10"/>
  <c r="R249" i="10"/>
  <c r="T274" i="10"/>
  <c r="T232" i="10"/>
  <c r="X232" i="10" s="1"/>
  <c r="T253" i="10"/>
  <c r="R278" i="10"/>
  <c r="R236" i="10"/>
  <c r="R257" i="10"/>
  <c r="T240" i="10"/>
  <c r="T261" i="10"/>
  <c r="T219" i="10"/>
  <c r="X287" i="10"/>
  <c r="T256" i="10"/>
  <c r="T277" i="10"/>
  <c r="T235" i="10"/>
  <c r="X289" i="10"/>
  <c r="S249" i="10"/>
  <c r="S270" i="10"/>
  <c r="S228" i="10"/>
  <c r="R256" i="10"/>
  <c r="R277" i="10"/>
  <c r="R235" i="10"/>
  <c r="X301" i="10"/>
  <c r="X288" i="10"/>
  <c r="U271" i="10"/>
  <c r="U229" i="10"/>
  <c r="U250" i="10"/>
  <c r="U275" i="10"/>
  <c r="U233" i="10"/>
  <c r="U254" i="10"/>
  <c r="S277" i="10"/>
  <c r="S235" i="10"/>
  <c r="S256" i="10"/>
  <c r="X283" i="10"/>
  <c r="X299" i="10"/>
  <c r="AL82" i="2"/>
  <c r="E78" i="8"/>
  <c r="E26" i="8"/>
  <c r="AW80" i="2"/>
  <c r="V195" i="3" s="1"/>
  <c r="V174" i="3" s="1"/>
  <c r="AL79" i="2"/>
  <c r="E75" i="8"/>
  <c r="E23" i="8"/>
  <c r="AL77" i="2"/>
  <c r="E73" i="8"/>
  <c r="E21" i="8"/>
  <c r="AL75" i="2"/>
  <c r="E71" i="8"/>
  <c r="E19" i="8"/>
  <c r="AL73" i="2"/>
  <c r="E69" i="8"/>
  <c r="E17" i="8"/>
  <c r="AL71" i="2"/>
  <c r="E67" i="8"/>
  <c r="E15" i="8"/>
  <c r="AL69" i="2"/>
  <c r="E65" i="8"/>
  <c r="E13" i="8"/>
  <c r="AL67" i="2"/>
  <c r="E63" i="8"/>
  <c r="E11" i="8"/>
  <c r="AL65" i="2"/>
  <c r="E61" i="8"/>
  <c r="E9" i="8"/>
  <c r="AL63" i="2"/>
  <c r="E59" i="8"/>
  <c r="E7" i="8"/>
  <c r="E79" i="8"/>
  <c r="E27" i="8"/>
  <c r="AX82" i="2"/>
  <c r="W197" i="3" s="1"/>
  <c r="W155" i="3" s="1"/>
  <c r="AV82" i="2"/>
  <c r="U197" i="3" s="1"/>
  <c r="U155" i="3" s="1"/>
  <c r="AT82" i="2"/>
  <c r="S197" i="3" s="1"/>
  <c r="AR82" i="2"/>
  <c r="Q197" i="3" s="1"/>
  <c r="AW81" i="2"/>
  <c r="V196" i="3" s="1"/>
  <c r="V175" i="3" s="1"/>
  <c r="AL81" i="2"/>
  <c r="E77" i="8"/>
  <c r="E25" i="8"/>
  <c r="AX80" i="2"/>
  <c r="W195" i="3" s="1"/>
  <c r="W153" i="3" s="1"/>
  <c r="AU80" i="2"/>
  <c r="T195" i="3" s="1"/>
  <c r="T153" i="3" s="1"/>
  <c r="AS80" i="2"/>
  <c r="R195" i="3" s="1"/>
  <c r="R153" i="3" s="1"/>
  <c r="AL80" i="2"/>
  <c r="E76" i="8"/>
  <c r="E24" i="8"/>
  <c r="AX79" i="2"/>
  <c r="W194" i="3" s="1"/>
  <c r="W152" i="3" s="1"/>
  <c r="AV79" i="2"/>
  <c r="U194" i="3" s="1"/>
  <c r="AT79" i="2"/>
  <c r="S194" i="3" s="1"/>
  <c r="S152" i="3" s="1"/>
  <c r="AR79" i="2"/>
  <c r="Q194" i="3" s="1"/>
  <c r="AL78" i="2"/>
  <c r="E74" i="8"/>
  <c r="E22" i="8"/>
  <c r="AX77" i="2"/>
  <c r="W192" i="3" s="1"/>
  <c r="W150" i="3" s="1"/>
  <c r="AV77" i="2"/>
  <c r="U192" i="3" s="1"/>
  <c r="U150" i="3" s="1"/>
  <c r="AT77" i="2"/>
  <c r="S192" i="3" s="1"/>
  <c r="S129" i="3" s="1"/>
  <c r="AR77" i="2"/>
  <c r="Q192" i="3" s="1"/>
  <c r="Q150" i="3" s="1"/>
  <c r="AL76" i="2"/>
  <c r="E72" i="8"/>
  <c r="E20" i="8"/>
  <c r="AX75" i="2"/>
  <c r="W190" i="3" s="1"/>
  <c r="W169" i="3" s="1"/>
  <c r="AV75" i="2"/>
  <c r="U190" i="3" s="1"/>
  <c r="U169" i="3" s="1"/>
  <c r="AT75" i="2"/>
  <c r="S190" i="3" s="1"/>
  <c r="S169" i="3" s="1"/>
  <c r="AR75" i="2"/>
  <c r="Q190" i="3" s="1"/>
  <c r="Q169" i="3" s="1"/>
  <c r="AL74" i="2"/>
  <c r="E70" i="8"/>
  <c r="E18" i="8"/>
  <c r="AX73" i="2"/>
  <c r="W188" i="3" s="1"/>
  <c r="W146" i="3" s="1"/>
  <c r="AV73" i="2"/>
  <c r="U188" i="3" s="1"/>
  <c r="U125" i="3" s="1"/>
  <c r="AT73" i="2"/>
  <c r="S188" i="3" s="1"/>
  <c r="S125" i="3" s="1"/>
  <c r="AR73" i="2"/>
  <c r="Q188" i="3" s="1"/>
  <c r="Q125" i="3" s="1"/>
  <c r="AL72" i="2"/>
  <c r="E68" i="8"/>
  <c r="E16" i="8"/>
  <c r="AX71" i="2"/>
  <c r="W186" i="3" s="1"/>
  <c r="W144" i="3" s="1"/>
  <c r="AV71" i="2"/>
  <c r="U186" i="3" s="1"/>
  <c r="U123" i="3" s="1"/>
  <c r="AT71" i="2"/>
  <c r="S186" i="3" s="1"/>
  <c r="S144" i="3" s="1"/>
  <c r="AR71" i="2"/>
  <c r="Q186" i="3" s="1"/>
  <c r="Q144" i="3" s="1"/>
  <c r="AL70" i="2"/>
  <c r="E66" i="8"/>
  <c r="E14" i="8"/>
  <c r="AX69" i="2"/>
  <c r="W184" i="3" s="1"/>
  <c r="W142" i="3" s="1"/>
  <c r="AV69" i="2"/>
  <c r="U184" i="3" s="1"/>
  <c r="U142" i="3" s="1"/>
  <c r="AT69" i="2"/>
  <c r="S184" i="3" s="1"/>
  <c r="S121" i="3" s="1"/>
  <c r="AR69" i="2"/>
  <c r="Q184" i="3" s="1"/>
  <c r="Q163" i="3" s="1"/>
  <c r="AL68" i="2"/>
  <c r="E64" i="8"/>
  <c r="E12" i="8"/>
  <c r="AX67" i="2"/>
  <c r="W182" i="3" s="1"/>
  <c r="W119" i="3" s="1"/>
  <c r="AV67" i="2"/>
  <c r="U182" i="3" s="1"/>
  <c r="U119" i="3" s="1"/>
  <c r="AT67" i="2"/>
  <c r="S182" i="3" s="1"/>
  <c r="S140" i="3" s="1"/>
  <c r="AR67" i="2"/>
  <c r="Q182" i="3" s="1"/>
  <c r="Q161" i="3" s="1"/>
  <c r="AL66" i="2"/>
  <c r="E62" i="8"/>
  <c r="E10" i="8"/>
  <c r="AX65" i="2"/>
  <c r="W180" i="3" s="1"/>
  <c r="W138" i="3" s="1"/>
  <c r="AV65" i="2"/>
  <c r="U180" i="3" s="1"/>
  <c r="U117" i="3" s="1"/>
  <c r="AT65" i="2"/>
  <c r="S180" i="3" s="1"/>
  <c r="S138" i="3" s="1"/>
  <c r="AR65" i="2"/>
  <c r="Q180" i="3" s="1"/>
  <c r="Q117" i="3" s="1"/>
  <c r="AL64" i="2"/>
  <c r="E60" i="8"/>
  <c r="E8" i="8"/>
  <c r="AX63" i="2"/>
  <c r="W178" i="3" s="1"/>
  <c r="W115" i="3" s="1"/>
  <c r="AV63" i="2"/>
  <c r="U178" i="3" s="1"/>
  <c r="U136" i="3" s="1"/>
  <c r="AT63" i="2"/>
  <c r="S178" i="3" s="1"/>
  <c r="S136" i="3" s="1"/>
  <c r="AL62" i="2"/>
  <c r="E58" i="8"/>
  <c r="E6" i="8"/>
  <c r="X86" i="3"/>
  <c r="Q54" i="3"/>
  <c r="X54" i="3" s="1"/>
  <c r="Q83" i="3"/>
  <c r="X83" i="3" s="1"/>
  <c r="X84" i="3"/>
  <c r="Q91" i="3"/>
  <c r="X91" i="3" s="1"/>
  <c r="X92" i="3"/>
  <c r="Q89" i="3"/>
  <c r="X89" i="3" s="1"/>
  <c r="X59" i="3"/>
  <c r="X38" i="3"/>
  <c r="X50" i="3"/>
  <c r="Q33" i="3"/>
  <c r="X33" i="3" s="1"/>
  <c r="X42" i="3"/>
  <c r="AR63" i="2"/>
  <c r="Q178" i="3" s="1"/>
  <c r="Q157" i="3" s="1"/>
  <c r="X87" i="3"/>
  <c r="X58" i="3"/>
  <c r="AU81" i="2"/>
  <c r="T196" i="3" s="1"/>
  <c r="AU78" i="2"/>
  <c r="T193" i="3" s="1"/>
  <c r="AU76" i="2"/>
  <c r="T191" i="3" s="1"/>
  <c r="AW74" i="2"/>
  <c r="V189" i="3" s="1"/>
  <c r="AU74" i="2"/>
  <c r="T189" i="3" s="1"/>
  <c r="AS74" i="2"/>
  <c r="AW72" i="2"/>
  <c r="V187" i="3" s="1"/>
  <c r="AU72" i="2"/>
  <c r="T187" i="3" s="1"/>
  <c r="AS72" i="2"/>
  <c r="AW70" i="2"/>
  <c r="V185" i="3" s="1"/>
  <c r="AU70" i="2"/>
  <c r="T185" i="3" s="1"/>
  <c r="AS70" i="2"/>
  <c r="AW68" i="2"/>
  <c r="V183" i="3" s="1"/>
  <c r="AU68" i="2"/>
  <c r="T183" i="3" s="1"/>
  <c r="AS68" i="2"/>
  <c r="AW66" i="2"/>
  <c r="V181" i="3" s="1"/>
  <c r="AU66" i="2"/>
  <c r="T181" i="3" s="1"/>
  <c r="AS66" i="2"/>
  <c r="AW64" i="2"/>
  <c r="V179" i="3" s="1"/>
  <c r="AU64" i="2"/>
  <c r="T179" i="3" s="1"/>
  <c r="AS64" i="2"/>
  <c r="AW62" i="2"/>
  <c r="V177" i="3" s="1"/>
  <c r="AU62" i="2"/>
  <c r="T177" i="3" s="1"/>
  <c r="AS62" i="2"/>
  <c r="L95" i="3"/>
  <c r="Q53" i="3"/>
  <c r="X69" i="3"/>
  <c r="X41" i="3"/>
  <c r="X49" i="3"/>
  <c r="L112" i="3"/>
  <c r="Q167" i="3"/>
  <c r="Q146" i="3"/>
  <c r="L104" i="3"/>
  <c r="L96" i="3"/>
  <c r="X52" i="3"/>
  <c r="X39" i="3"/>
  <c r="X81" i="3"/>
  <c r="X68" i="3"/>
  <c r="L93" i="3"/>
  <c r="X48" i="3"/>
  <c r="Q45" i="3"/>
  <c r="U152" i="3"/>
  <c r="L106" i="3"/>
  <c r="W121" i="3"/>
  <c r="L98" i="3"/>
  <c r="Q51" i="3"/>
  <c r="X34" i="3"/>
  <c r="X76" i="3"/>
  <c r="Q56" i="3"/>
  <c r="Q43" i="3"/>
  <c r="Q85" i="3"/>
  <c r="S176" i="3"/>
  <c r="S155" i="3"/>
  <c r="S134" i="3"/>
  <c r="AS81" i="2"/>
  <c r="R196" i="3" s="1"/>
  <c r="AW78" i="2"/>
  <c r="V193" i="3" s="1"/>
  <c r="AS78" i="2"/>
  <c r="AW76" i="2"/>
  <c r="V191" i="3" s="1"/>
  <c r="AS76" i="2"/>
  <c r="AW82" i="2"/>
  <c r="V197" i="3" s="1"/>
  <c r="AU82" i="2"/>
  <c r="T197" i="3" s="1"/>
  <c r="AS82" i="2"/>
  <c r="R197" i="3" s="1"/>
  <c r="AX81" i="2"/>
  <c r="W196" i="3" s="1"/>
  <c r="AV81" i="2"/>
  <c r="U196" i="3" s="1"/>
  <c r="AT81" i="2"/>
  <c r="S196" i="3" s="1"/>
  <c r="AR81" i="2"/>
  <c r="AV80" i="2"/>
  <c r="U195" i="3" s="1"/>
  <c r="AT80" i="2"/>
  <c r="S195" i="3" s="1"/>
  <c r="AR80" i="2"/>
  <c r="AW79" i="2"/>
  <c r="V194" i="3" s="1"/>
  <c r="AU79" i="2"/>
  <c r="T194" i="3" s="1"/>
  <c r="AS79" i="2"/>
  <c r="AX78" i="2"/>
  <c r="W193" i="3" s="1"/>
  <c r="AV78" i="2"/>
  <c r="U193" i="3" s="1"/>
  <c r="AT78" i="2"/>
  <c r="S193" i="3" s="1"/>
  <c r="AR78" i="2"/>
  <c r="Q193" i="3" s="1"/>
  <c r="AW77" i="2"/>
  <c r="V192" i="3" s="1"/>
  <c r="AU77" i="2"/>
  <c r="T192" i="3" s="1"/>
  <c r="AS77" i="2"/>
  <c r="AX76" i="2"/>
  <c r="W191" i="3" s="1"/>
  <c r="AV76" i="2"/>
  <c r="U191" i="3" s="1"/>
  <c r="AT76" i="2"/>
  <c r="S191" i="3" s="1"/>
  <c r="AR76" i="2"/>
  <c r="Q191" i="3" s="1"/>
  <c r="AW75" i="2"/>
  <c r="V190" i="3" s="1"/>
  <c r="AU75" i="2"/>
  <c r="T190" i="3" s="1"/>
  <c r="AS75" i="2"/>
  <c r="AX74" i="2"/>
  <c r="W189" i="3" s="1"/>
  <c r="AV74" i="2"/>
  <c r="U189" i="3" s="1"/>
  <c r="AT74" i="2"/>
  <c r="S189" i="3" s="1"/>
  <c r="AR74" i="2"/>
  <c r="Q189" i="3" s="1"/>
  <c r="AW73" i="2"/>
  <c r="V188" i="3" s="1"/>
  <c r="AU73" i="2"/>
  <c r="T188" i="3" s="1"/>
  <c r="AS73" i="2"/>
  <c r="AX72" i="2"/>
  <c r="W187" i="3" s="1"/>
  <c r="AV72" i="2"/>
  <c r="U187" i="3" s="1"/>
  <c r="AT72" i="2"/>
  <c r="S187" i="3" s="1"/>
  <c r="AR72" i="2"/>
  <c r="Q187" i="3" s="1"/>
  <c r="AW71" i="2"/>
  <c r="V186" i="3" s="1"/>
  <c r="AU71" i="2"/>
  <c r="T186" i="3" s="1"/>
  <c r="AS71" i="2"/>
  <c r="AX70" i="2"/>
  <c r="W185" i="3" s="1"/>
  <c r="AV70" i="2"/>
  <c r="U185" i="3" s="1"/>
  <c r="AT70" i="2"/>
  <c r="S185" i="3" s="1"/>
  <c r="AR70" i="2"/>
  <c r="Q185" i="3" s="1"/>
  <c r="AW69" i="2"/>
  <c r="V184" i="3" s="1"/>
  <c r="AU69" i="2"/>
  <c r="T184" i="3" s="1"/>
  <c r="AS69" i="2"/>
  <c r="AX68" i="2"/>
  <c r="W183" i="3" s="1"/>
  <c r="AV68" i="2"/>
  <c r="U183" i="3" s="1"/>
  <c r="AT68" i="2"/>
  <c r="S183" i="3" s="1"/>
  <c r="AR68" i="2"/>
  <c r="Q183" i="3" s="1"/>
  <c r="AW67" i="2"/>
  <c r="V182" i="3" s="1"/>
  <c r="AU67" i="2"/>
  <c r="T182" i="3" s="1"/>
  <c r="AS67" i="2"/>
  <c r="AX66" i="2"/>
  <c r="W181" i="3" s="1"/>
  <c r="AV66" i="2"/>
  <c r="U181" i="3" s="1"/>
  <c r="AT66" i="2"/>
  <c r="S181" i="3" s="1"/>
  <c r="AR66" i="2"/>
  <c r="Q181" i="3" s="1"/>
  <c r="AW65" i="2"/>
  <c r="V180" i="3" s="1"/>
  <c r="AU65" i="2"/>
  <c r="T180" i="3" s="1"/>
  <c r="AS65" i="2"/>
  <c r="AX64" i="2"/>
  <c r="W179" i="3" s="1"/>
  <c r="AV64" i="2"/>
  <c r="U179" i="3" s="1"/>
  <c r="AT64" i="2"/>
  <c r="S179" i="3" s="1"/>
  <c r="AR64" i="2"/>
  <c r="Q179" i="3" s="1"/>
  <c r="Q158" i="3" s="1"/>
  <c r="AW63" i="2"/>
  <c r="V178" i="3" s="1"/>
  <c r="AU63" i="2"/>
  <c r="T178" i="3" s="1"/>
  <c r="AS63" i="2"/>
  <c r="AX62" i="2"/>
  <c r="W177" i="3" s="1"/>
  <c r="AV62" i="2"/>
  <c r="U177" i="3" s="1"/>
  <c r="AT62" i="2"/>
  <c r="S177" i="3" s="1"/>
  <c r="AR62" i="2"/>
  <c r="Q177" i="3" s="1"/>
  <c r="Q32" i="3"/>
  <c r="Q74" i="3"/>
  <c r="X75" i="3"/>
  <c r="X62" i="3"/>
  <c r="Q70" i="3"/>
  <c r="W131" i="3"/>
  <c r="W173" i="3"/>
  <c r="L108" i="3"/>
  <c r="S148" i="3"/>
  <c r="U121" i="3"/>
  <c r="L100" i="3"/>
  <c r="X31" i="3"/>
  <c r="X90" i="3"/>
  <c r="Q37" i="3"/>
  <c r="Q79" i="3"/>
  <c r="Q66" i="3"/>
  <c r="U131" i="3"/>
  <c r="U173" i="3"/>
  <c r="Q173" i="3"/>
  <c r="Q152" i="3"/>
  <c r="Q131" i="3"/>
  <c r="L110" i="3"/>
  <c r="U148" i="3"/>
  <c r="L102" i="3"/>
  <c r="S142" i="3"/>
  <c r="W117" i="3"/>
  <c r="W159" i="3"/>
  <c r="S117" i="3"/>
  <c r="S159" i="3"/>
  <c r="Q136" i="3"/>
  <c r="L94" i="3"/>
  <c r="Q30" i="3"/>
  <c r="Q72" i="3"/>
  <c r="X55" i="3"/>
  <c r="Q35" i="3"/>
  <c r="Q77" i="3"/>
  <c r="Q64" i="3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I90" i="2"/>
  <c r="AH90" i="2"/>
  <c r="W90" i="2"/>
  <c r="J129" i="6" s="1"/>
  <c r="X90" i="2"/>
  <c r="J160" i="6" s="1"/>
  <c r="W91" i="2"/>
  <c r="J130" i="6" s="1"/>
  <c r="X91" i="2"/>
  <c r="W92" i="2"/>
  <c r="J131" i="6" s="1"/>
  <c r="X92" i="2"/>
  <c r="W93" i="2"/>
  <c r="J132" i="6" s="1"/>
  <c r="X93" i="2"/>
  <c r="W94" i="2"/>
  <c r="X94" i="2"/>
  <c r="W95" i="2"/>
  <c r="X95" i="2"/>
  <c r="W96" i="2"/>
  <c r="J135" i="6" s="1"/>
  <c r="X96" i="2"/>
  <c r="W97" i="2"/>
  <c r="J136" i="6" s="1"/>
  <c r="X97" i="2"/>
  <c r="J167" i="6" s="1"/>
  <c r="W98" i="2"/>
  <c r="X98" i="2"/>
  <c r="W99" i="2"/>
  <c r="J138" i="6" s="1"/>
  <c r="X99" i="2"/>
  <c r="W100" i="2"/>
  <c r="J139" i="6" s="1"/>
  <c r="X100" i="2"/>
  <c r="J170" i="6" s="1"/>
  <c r="W101" i="2"/>
  <c r="J140" i="6" s="1"/>
  <c r="X101" i="2"/>
  <c r="W102" i="2"/>
  <c r="J141" i="6" s="1"/>
  <c r="X102" i="2"/>
  <c r="J172" i="6" s="1"/>
  <c r="W103" i="2"/>
  <c r="J142" i="6" s="1"/>
  <c r="X103" i="2"/>
  <c r="J173" i="6" s="1"/>
  <c r="W104" i="2"/>
  <c r="J143" i="6" s="1"/>
  <c r="X104" i="2"/>
  <c r="J174" i="6" s="1"/>
  <c r="W105" i="2"/>
  <c r="X105" i="2"/>
  <c r="W106" i="2"/>
  <c r="X106" i="2"/>
  <c r="W107" i="2"/>
  <c r="X107" i="2"/>
  <c r="W108" i="2"/>
  <c r="J147" i="6" s="1"/>
  <c r="X108" i="2"/>
  <c r="W109" i="2"/>
  <c r="J148" i="6" s="1"/>
  <c r="X109" i="2"/>
  <c r="W110" i="2"/>
  <c r="J149" i="6" s="1"/>
  <c r="X110" i="2"/>
  <c r="J191" i="6"/>
  <c r="J192" i="6"/>
  <c r="J193" i="6"/>
  <c r="J194" i="6"/>
  <c r="J195" i="6"/>
  <c r="J216" i="6" s="1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V90" i="2"/>
  <c r="J40" i="6" s="1"/>
  <c r="V91" i="2"/>
  <c r="J41" i="6" s="1"/>
  <c r="V92" i="2"/>
  <c r="J42" i="6" s="1"/>
  <c r="V93" i="2"/>
  <c r="J43" i="6" s="1"/>
  <c r="V94" i="2"/>
  <c r="J44" i="6" s="1"/>
  <c r="V95" i="2"/>
  <c r="J45" i="6" s="1"/>
  <c r="V96" i="2"/>
  <c r="J46" i="6" s="1"/>
  <c r="V97" i="2"/>
  <c r="J47" i="6" s="1"/>
  <c r="V98" i="2"/>
  <c r="J48" i="6" s="1"/>
  <c r="V99" i="2"/>
  <c r="J49" i="6" s="1"/>
  <c r="V100" i="2"/>
  <c r="J50" i="6" s="1"/>
  <c r="V101" i="2"/>
  <c r="J51" i="6" s="1"/>
  <c r="V102" i="2"/>
  <c r="J52" i="6" s="1"/>
  <c r="V103" i="2"/>
  <c r="J53" i="6" s="1"/>
  <c r="V104" i="2"/>
  <c r="J54" i="6" s="1"/>
  <c r="V105" i="2"/>
  <c r="J55" i="6" s="1"/>
  <c r="V106" i="2"/>
  <c r="J56" i="6" s="1"/>
  <c r="V107" i="2"/>
  <c r="J57" i="6" s="1"/>
  <c r="V108" i="2"/>
  <c r="J58" i="6" s="1"/>
  <c r="V109" i="2"/>
  <c r="J59" i="6" s="1"/>
  <c r="V110" i="2"/>
  <c r="J60" i="6" s="1"/>
  <c r="U90" i="2"/>
  <c r="J11" i="6" s="1"/>
  <c r="T90" i="2"/>
  <c r="J69" i="6" s="1"/>
  <c r="S90" i="2"/>
  <c r="J100" i="6" s="1"/>
  <c r="U91" i="2"/>
  <c r="J12" i="6" s="1"/>
  <c r="T91" i="2"/>
  <c r="J70" i="6" s="1"/>
  <c r="S91" i="2"/>
  <c r="J101" i="6" s="1"/>
  <c r="U92" i="2"/>
  <c r="J13" i="6" s="1"/>
  <c r="T92" i="2"/>
  <c r="J71" i="6" s="1"/>
  <c r="S92" i="2"/>
  <c r="J102" i="6" s="1"/>
  <c r="U93" i="2"/>
  <c r="J14" i="6" s="1"/>
  <c r="T93" i="2"/>
  <c r="J72" i="6" s="1"/>
  <c r="S93" i="2"/>
  <c r="J103" i="6" s="1"/>
  <c r="U94" i="2"/>
  <c r="J15" i="6" s="1"/>
  <c r="T94" i="2"/>
  <c r="J73" i="6" s="1"/>
  <c r="J104" i="6"/>
  <c r="U95" i="2"/>
  <c r="J16" i="6" s="1"/>
  <c r="T95" i="2"/>
  <c r="J74" i="6" s="1"/>
  <c r="S95" i="2"/>
  <c r="J105" i="6" s="1"/>
  <c r="U96" i="2"/>
  <c r="J17" i="6" s="1"/>
  <c r="T96" i="2"/>
  <c r="J75" i="6" s="1"/>
  <c r="S96" i="2"/>
  <c r="J106" i="6" s="1"/>
  <c r="U97" i="2"/>
  <c r="J18" i="6" s="1"/>
  <c r="T97" i="2"/>
  <c r="J76" i="6" s="1"/>
  <c r="S97" i="2"/>
  <c r="J107" i="6" s="1"/>
  <c r="U98" i="2"/>
  <c r="J19" i="6" s="1"/>
  <c r="T98" i="2"/>
  <c r="J77" i="6" s="1"/>
  <c r="S98" i="2"/>
  <c r="J108" i="6" s="1"/>
  <c r="U99" i="2"/>
  <c r="J20" i="6" s="1"/>
  <c r="T99" i="2"/>
  <c r="J78" i="6" s="1"/>
  <c r="S99" i="2"/>
  <c r="J109" i="6" s="1"/>
  <c r="U100" i="2"/>
  <c r="J21" i="6" s="1"/>
  <c r="T100" i="2"/>
  <c r="J79" i="6" s="1"/>
  <c r="S100" i="2"/>
  <c r="J110" i="6" s="1"/>
  <c r="U101" i="2"/>
  <c r="J22" i="6" s="1"/>
  <c r="T101" i="2"/>
  <c r="J80" i="6" s="1"/>
  <c r="S101" i="2"/>
  <c r="J111" i="6" s="1"/>
  <c r="U102" i="2"/>
  <c r="J23" i="6" s="1"/>
  <c r="T102" i="2"/>
  <c r="J81" i="6" s="1"/>
  <c r="S102" i="2"/>
  <c r="J112" i="6" s="1"/>
  <c r="U103" i="2"/>
  <c r="J24" i="6" s="1"/>
  <c r="T103" i="2"/>
  <c r="J82" i="6" s="1"/>
  <c r="S103" i="2"/>
  <c r="J113" i="6" s="1"/>
  <c r="U104" i="2"/>
  <c r="J25" i="6" s="1"/>
  <c r="T104" i="2"/>
  <c r="J83" i="6" s="1"/>
  <c r="S104" i="2"/>
  <c r="J114" i="6" s="1"/>
  <c r="U105" i="2"/>
  <c r="J26" i="6" s="1"/>
  <c r="T105" i="2"/>
  <c r="J84" i="6" s="1"/>
  <c r="S105" i="2"/>
  <c r="J115" i="6" s="1"/>
  <c r="U106" i="2"/>
  <c r="J27" i="6" s="1"/>
  <c r="T106" i="2"/>
  <c r="J85" i="6" s="1"/>
  <c r="S106" i="2"/>
  <c r="J116" i="6" s="1"/>
  <c r="U107" i="2"/>
  <c r="J28" i="6" s="1"/>
  <c r="T107" i="2"/>
  <c r="J86" i="6" s="1"/>
  <c r="S107" i="2"/>
  <c r="J117" i="6" s="1"/>
  <c r="U108" i="2"/>
  <c r="J29" i="6" s="1"/>
  <c r="T108" i="2"/>
  <c r="J87" i="6" s="1"/>
  <c r="S108" i="2"/>
  <c r="J118" i="6" s="1"/>
  <c r="U109" i="2"/>
  <c r="J30" i="6" s="1"/>
  <c r="T109" i="2"/>
  <c r="J88" i="6" s="1"/>
  <c r="J119" i="6"/>
  <c r="U110" i="2"/>
  <c r="J31" i="6" s="1"/>
  <c r="T110" i="2"/>
  <c r="J89" i="6" s="1"/>
  <c r="S110" i="2"/>
  <c r="J120" i="6" s="1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N90" i="2"/>
  <c r="D90" i="2"/>
  <c r="E90" i="2"/>
  <c r="F90" i="2"/>
  <c r="G90" i="2"/>
  <c r="H90" i="2"/>
  <c r="I90" i="2"/>
  <c r="J90" i="2"/>
  <c r="K90" i="2"/>
  <c r="L90" i="2"/>
  <c r="M90" i="2"/>
  <c r="D91" i="2"/>
  <c r="E91" i="2"/>
  <c r="F91" i="2"/>
  <c r="G91" i="2"/>
  <c r="H91" i="2"/>
  <c r="I91" i="2"/>
  <c r="J91" i="2"/>
  <c r="K91" i="2"/>
  <c r="L91" i="2"/>
  <c r="M91" i="2"/>
  <c r="N91" i="2"/>
  <c r="D92" i="2"/>
  <c r="E92" i="2"/>
  <c r="F92" i="2"/>
  <c r="G92" i="2"/>
  <c r="H92" i="2"/>
  <c r="I92" i="2"/>
  <c r="J92" i="2"/>
  <c r="K92" i="2"/>
  <c r="L92" i="2"/>
  <c r="M92" i="2"/>
  <c r="N92" i="2"/>
  <c r="D93" i="2"/>
  <c r="E93" i="2"/>
  <c r="F93" i="2"/>
  <c r="G93" i="2"/>
  <c r="H93" i="2"/>
  <c r="I93" i="2"/>
  <c r="J93" i="2"/>
  <c r="K93" i="2"/>
  <c r="L93" i="2"/>
  <c r="M93" i="2"/>
  <c r="N93" i="2"/>
  <c r="D94" i="2"/>
  <c r="E94" i="2"/>
  <c r="F94" i="2"/>
  <c r="G94" i="2"/>
  <c r="H94" i="2"/>
  <c r="I94" i="2"/>
  <c r="J94" i="2"/>
  <c r="K94" i="2"/>
  <c r="L94" i="2"/>
  <c r="M94" i="2"/>
  <c r="N94" i="2"/>
  <c r="D95" i="2"/>
  <c r="E95" i="2"/>
  <c r="F95" i="2"/>
  <c r="G95" i="2"/>
  <c r="H95" i="2"/>
  <c r="I95" i="2"/>
  <c r="J95" i="2"/>
  <c r="K95" i="2"/>
  <c r="L95" i="2"/>
  <c r="M95" i="2"/>
  <c r="N95" i="2"/>
  <c r="D96" i="2"/>
  <c r="E96" i="2"/>
  <c r="F96" i="2"/>
  <c r="G96" i="2"/>
  <c r="H96" i="2"/>
  <c r="I96" i="2"/>
  <c r="J96" i="2"/>
  <c r="K96" i="2"/>
  <c r="L96" i="2"/>
  <c r="M96" i="2"/>
  <c r="N96" i="2"/>
  <c r="D97" i="2"/>
  <c r="E97" i="2"/>
  <c r="F97" i="2"/>
  <c r="G97" i="2"/>
  <c r="H97" i="2"/>
  <c r="I97" i="2"/>
  <c r="J97" i="2"/>
  <c r="K97" i="2"/>
  <c r="L97" i="2"/>
  <c r="M97" i="2"/>
  <c r="N97" i="2"/>
  <c r="D98" i="2"/>
  <c r="E98" i="2"/>
  <c r="F98" i="2"/>
  <c r="G98" i="2"/>
  <c r="H98" i="2"/>
  <c r="I98" i="2"/>
  <c r="J98" i="2"/>
  <c r="K98" i="2"/>
  <c r="L98" i="2"/>
  <c r="M98" i="2"/>
  <c r="N98" i="2"/>
  <c r="D99" i="2"/>
  <c r="E99" i="2"/>
  <c r="F99" i="2"/>
  <c r="G99" i="2"/>
  <c r="H99" i="2"/>
  <c r="I99" i="2"/>
  <c r="J99" i="2"/>
  <c r="K99" i="2"/>
  <c r="L99" i="2"/>
  <c r="M99" i="2"/>
  <c r="N99" i="2"/>
  <c r="D100" i="2"/>
  <c r="E100" i="2"/>
  <c r="F100" i="2"/>
  <c r="G100" i="2"/>
  <c r="H100" i="2"/>
  <c r="I100" i="2"/>
  <c r="J100" i="2"/>
  <c r="K100" i="2"/>
  <c r="L100" i="2"/>
  <c r="M100" i="2"/>
  <c r="N100" i="2"/>
  <c r="D101" i="2"/>
  <c r="E101" i="2"/>
  <c r="F101" i="2"/>
  <c r="G101" i="2"/>
  <c r="H101" i="2"/>
  <c r="I101" i="2"/>
  <c r="J101" i="2"/>
  <c r="K101" i="2"/>
  <c r="L101" i="2"/>
  <c r="M101" i="2"/>
  <c r="N101" i="2"/>
  <c r="D102" i="2"/>
  <c r="E102" i="2"/>
  <c r="F102" i="2"/>
  <c r="G102" i="2"/>
  <c r="H102" i="2"/>
  <c r="I102" i="2"/>
  <c r="J102" i="2"/>
  <c r="K102" i="2"/>
  <c r="L102" i="2"/>
  <c r="M102" i="2"/>
  <c r="N102" i="2"/>
  <c r="D103" i="2"/>
  <c r="E103" i="2"/>
  <c r="F103" i="2"/>
  <c r="G103" i="2"/>
  <c r="H103" i="2"/>
  <c r="I103" i="2"/>
  <c r="J103" i="2"/>
  <c r="K103" i="2"/>
  <c r="L103" i="2"/>
  <c r="M103" i="2"/>
  <c r="N103" i="2"/>
  <c r="D104" i="2"/>
  <c r="E104" i="2"/>
  <c r="F104" i="2"/>
  <c r="G104" i="2"/>
  <c r="H104" i="2"/>
  <c r="I104" i="2"/>
  <c r="J104" i="2"/>
  <c r="K104" i="2"/>
  <c r="L104" i="2"/>
  <c r="M104" i="2"/>
  <c r="N104" i="2"/>
  <c r="D105" i="2"/>
  <c r="E105" i="2"/>
  <c r="F105" i="2"/>
  <c r="G105" i="2"/>
  <c r="H105" i="2"/>
  <c r="I105" i="2"/>
  <c r="J105" i="2"/>
  <c r="K105" i="2"/>
  <c r="L105" i="2"/>
  <c r="M105" i="2"/>
  <c r="N105" i="2"/>
  <c r="D106" i="2"/>
  <c r="E106" i="2"/>
  <c r="F106" i="2"/>
  <c r="G106" i="2"/>
  <c r="H106" i="2"/>
  <c r="I106" i="2"/>
  <c r="J106" i="2"/>
  <c r="K106" i="2"/>
  <c r="L106" i="2"/>
  <c r="M106" i="2"/>
  <c r="N106" i="2"/>
  <c r="D107" i="2"/>
  <c r="E107" i="2"/>
  <c r="F107" i="2"/>
  <c r="G107" i="2"/>
  <c r="H107" i="2"/>
  <c r="I107" i="2"/>
  <c r="J107" i="2"/>
  <c r="K107" i="2"/>
  <c r="L107" i="2"/>
  <c r="M107" i="2"/>
  <c r="N107" i="2"/>
  <c r="D108" i="2"/>
  <c r="E108" i="2"/>
  <c r="F108" i="2"/>
  <c r="G108" i="2"/>
  <c r="H108" i="2"/>
  <c r="I108" i="2"/>
  <c r="J108" i="2"/>
  <c r="K108" i="2"/>
  <c r="L108" i="2"/>
  <c r="M108" i="2"/>
  <c r="N108" i="2"/>
  <c r="D109" i="2"/>
  <c r="E109" i="2"/>
  <c r="F109" i="2"/>
  <c r="G109" i="2"/>
  <c r="H109" i="2"/>
  <c r="I109" i="2"/>
  <c r="J109" i="2"/>
  <c r="K109" i="2"/>
  <c r="L109" i="2"/>
  <c r="M109" i="2"/>
  <c r="N109" i="2"/>
  <c r="D110" i="2"/>
  <c r="E110" i="2"/>
  <c r="F110" i="2"/>
  <c r="G110" i="2"/>
  <c r="H110" i="2"/>
  <c r="I110" i="2"/>
  <c r="J110" i="2"/>
  <c r="K110" i="2"/>
  <c r="L110" i="2"/>
  <c r="M110" i="2"/>
  <c r="N110" i="2"/>
  <c r="D111" i="2"/>
  <c r="E111" i="2"/>
  <c r="E105" i="8" s="1"/>
  <c r="F111" i="2"/>
  <c r="G111" i="2"/>
  <c r="H111" i="2"/>
  <c r="I111" i="2"/>
  <c r="J111" i="2"/>
  <c r="K111" i="2"/>
  <c r="L111" i="2"/>
  <c r="M111" i="2"/>
  <c r="N111" i="2"/>
  <c r="D112" i="2"/>
  <c r="E112" i="2"/>
  <c r="F112" i="2"/>
  <c r="G112" i="2"/>
  <c r="H112" i="2"/>
  <c r="I112" i="2"/>
  <c r="J112" i="2"/>
  <c r="K112" i="2"/>
  <c r="L112" i="2"/>
  <c r="M112" i="2"/>
  <c r="N112" i="2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Y12" i="1"/>
  <c r="Y23" i="1"/>
  <c r="V26" i="1"/>
  <c r="U31" i="1"/>
  <c r="V31" i="1" s="1"/>
  <c r="U30" i="1"/>
  <c r="V30" i="1" s="1"/>
  <c r="U29" i="1"/>
  <c r="V29" i="1" s="1"/>
  <c r="U28" i="1"/>
  <c r="V28" i="1" s="1"/>
  <c r="U27" i="1"/>
  <c r="V27" i="1" s="1"/>
  <c r="U25" i="1"/>
  <c r="V25" i="1" s="1"/>
  <c r="U24" i="1"/>
  <c r="U23" i="1"/>
  <c r="V23" i="1" s="1"/>
  <c r="U22" i="1"/>
  <c r="V22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26" i="1"/>
  <c r="U21" i="1"/>
  <c r="V21" i="1" s="1"/>
  <c r="Q20" i="1"/>
  <c r="R20" i="1" s="1"/>
  <c r="R14" i="1"/>
  <c r="R27" i="1"/>
  <c r="R28" i="1"/>
  <c r="R11" i="1"/>
  <c r="Q31" i="1"/>
  <c r="Q30" i="1"/>
  <c r="R30" i="1" s="1"/>
  <c r="Q29" i="1"/>
  <c r="Q28" i="1"/>
  <c r="Q27" i="1"/>
  <c r="Q26" i="1"/>
  <c r="Y26" i="1" s="1"/>
  <c r="Q25" i="1"/>
  <c r="Q24" i="1"/>
  <c r="R24" i="1" s="1"/>
  <c r="Q23" i="1"/>
  <c r="R23" i="1" s="1"/>
  <c r="Q22" i="1"/>
  <c r="R22" i="1" s="1"/>
  <c r="Q21" i="1"/>
  <c r="Y21" i="1" s="1"/>
  <c r="Q19" i="1"/>
  <c r="Y19" i="1" s="1"/>
  <c r="Q18" i="1"/>
  <c r="Y18" i="1" s="1"/>
  <c r="Q17" i="1"/>
  <c r="Q16" i="1"/>
  <c r="Q15" i="1"/>
  <c r="R15" i="1" s="1"/>
  <c r="Q14" i="1"/>
  <c r="Q13" i="1"/>
  <c r="Q12" i="1"/>
  <c r="R12" i="1" s="1"/>
  <c r="Q11" i="1"/>
  <c r="Y11" i="1" s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AA11" i="1" s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AA12" i="1" s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AA13" i="1" s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AA14" i="1" s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AA15" i="1" s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AA16" i="1" s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AA17" i="1" s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AA18" i="1" s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AA19" i="1" s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AA20" i="1" s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AA21" i="1" s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AA22" i="1" s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AA23" i="1" s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AA24" i="1" s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AA25" i="1" s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AA26" i="1" s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AA27" i="1" s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AA28" i="1" s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AA29" i="1" s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AA30" i="1" s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AA31" i="1" s="1"/>
  <c r="F31" i="1"/>
  <c r="G31" i="1"/>
  <c r="H31" i="1"/>
  <c r="I31" i="1"/>
  <c r="J31" i="1"/>
  <c r="K31" i="1"/>
  <c r="L31" i="1"/>
  <c r="M31" i="1"/>
  <c r="N31" i="1"/>
  <c r="O31" i="1"/>
  <c r="U138" i="3" l="1"/>
  <c r="X264" i="10"/>
  <c r="U163" i="3"/>
  <c r="V154" i="3"/>
  <c r="Q121" i="3"/>
  <c r="V133" i="3"/>
  <c r="Q142" i="3"/>
  <c r="W148" i="3"/>
  <c r="X234" i="10"/>
  <c r="S173" i="3"/>
  <c r="S131" i="3"/>
  <c r="Q119" i="3"/>
  <c r="Q140" i="3"/>
  <c r="W167" i="3"/>
  <c r="W125" i="3"/>
  <c r="X274" i="10"/>
  <c r="S150" i="3"/>
  <c r="S171" i="3"/>
  <c r="U157" i="3"/>
  <c r="U115" i="3"/>
  <c r="Y31" i="1"/>
  <c r="Y30" i="1"/>
  <c r="X253" i="10"/>
  <c r="R21" i="1"/>
  <c r="R19" i="1"/>
  <c r="Y25" i="1"/>
  <c r="W127" i="3"/>
  <c r="Y13" i="1"/>
  <c r="Y14" i="1"/>
  <c r="Y27" i="1"/>
  <c r="Y15" i="1"/>
  <c r="Y28" i="1"/>
  <c r="Y16" i="1"/>
  <c r="Y29" i="1"/>
  <c r="S163" i="3"/>
  <c r="Y17" i="1"/>
  <c r="Y24" i="1"/>
  <c r="W163" i="3"/>
  <c r="S146" i="3"/>
  <c r="U176" i="3"/>
  <c r="U134" i="3"/>
  <c r="X239" i="10"/>
  <c r="S167" i="3"/>
  <c r="X266" i="10"/>
  <c r="X260" i="10"/>
  <c r="U144" i="3"/>
  <c r="U165" i="3"/>
  <c r="Q127" i="3"/>
  <c r="Q148" i="3"/>
  <c r="U159" i="3"/>
  <c r="W140" i="3"/>
  <c r="T174" i="3"/>
  <c r="W174" i="3"/>
  <c r="Q165" i="3"/>
  <c r="S165" i="3"/>
  <c r="S123" i="3"/>
  <c r="Q171" i="3"/>
  <c r="S127" i="3"/>
  <c r="Q138" i="3"/>
  <c r="Q159" i="3"/>
  <c r="X262" i="10"/>
  <c r="V132" i="3"/>
  <c r="S157" i="3"/>
  <c r="W165" i="3"/>
  <c r="V153" i="3"/>
  <c r="S115" i="3"/>
  <c r="W123" i="3"/>
  <c r="U146" i="3"/>
  <c r="W176" i="3"/>
  <c r="W134" i="3"/>
  <c r="U167" i="3"/>
  <c r="Q129" i="3"/>
  <c r="X241" i="10"/>
  <c r="U127" i="3"/>
  <c r="X257" i="10"/>
  <c r="X281" i="10"/>
  <c r="X267" i="10"/>
  <c r="W132" i="3"/>
  <c r="X278" i="10"/>
  <c r="W171" i="3"/>
  <c r="R31" i="1"/>
  <c r="R18" i="1"/>
  <c r="Y22" i="1"/>
  <c r="W129" i="3"/>
  <c r="T132" i="3"/>
  <c r="W136" i="3"/>
  <c r="X220" i="10"/>
  <c r="R17" i="1"/>
  <c r="V24" i="1"/>
  <c r="R29" i="1"/>
  <c r="R16" i="1"/>
  <c r="Y20" i="1"/>
  <c r="R174" i="3"/>
  <c r="R132" i="3"/>
  <c r="U171" i="3"/>
  <c r="V24" i="7"/>
  <c r="V37" i="7"/>
  <c r="V31" i="7"/>
  <c r="U140" i="3"/>
  <c r="U129" i="3"/>
  <c r="X6" i="7"/>
  <c r="X12" i="7" s="1"/>
  <c r="X18" i="7" s="1"/>
  <c r="W12" i="7"/>
  <c r="W18" i="7" s="1"/>
  <c r="R26" i="1"/>
  <c r="R13" i="1"/>
  <c r="W157" i="3"/>
  <c r="R25" i="1"/>
  <c r="S161" i="3"/>
  <c r="X228" i="10"/>
  <c r="U161" i="3"/>
  <c r="S119" i="3"/>
  <c r="Q123" i="3"/>
  <c r="W161" i="3"/>
  <c r="X249" i="10"/>
  <c r="AX110" i="2"/>
  <c r="W281" i="3" s="1"/>
  <c r="AV110" i="2"/>
  <c r="U281" i="3" s="1"/>
  <c r="AT110" i="2"/>
  <c r="S281" i="3" s="1"/>
  <c r="AX108" i="2"/>
  <c r="W279" i="3" s="1"/>
  <c r="AV108" i="2"/>
  <c r="U279" i="3" s="1"/>
  <c r="AX106" i="2"/>
  <c r="W277" i="3" s="1"/>
  <c r="W256" i="3" s="1"/>
  <c r="AV106" i="2"/>
  <c r="U277" i="3" s="1"/>
  <c r="U256" i="3" s="1"/>
  <c r="AX104" i="2"/>
  <c r="W275" i="3" s="1"/>
  <c r="W212" i="3" s="1"/>
  <c r="AV104" i="2"/>
  <c r="U275" i="3" s="1"/>
  <c r="U254" i="3" s="1"/>
  <c r="AT104" i="2"/>
  <c r="S275" i="3" s="1"/>
  <c r="AX102" i="2"/>
  <c r="W273" i="3" s="1"/>
  <c r="AV102" i="2"/>
  <c r="U273" i="3" s="1"/>
  <c r="AT102" i="2"/>
  <c r="S273" i="3" s="1"/>
  <c r="AX100" i="2"/>
  <c r="W271" i="3" s="1"/>
  <c r="AV100" i="2"/>
  <c r="U271" i="3" s="1"/>
  <c r="AT100" i="2"/>
  <c r="S271" i="3" s="1"/>
  <c r="AX98" i="2"/>
  <c r="W269" i="3" s="1"/>
  <c r="AV98" i="2"/>
  <c r="U269" i="3" s="1"/>
  <c r="U248" i="3" s="1"/>
  <c r="AT98" i="2"/>
  <c r="S269" i="3" s="1"/>
  <c r="S248" i="3" s="1"/>
  <c r="AX96" i="2"/>
  <c r="W267" i="3" s="1"/>
  <c r="W204" i="3" s="1"/>
  <c r="AV96" i="2"/>
  <c r="U267" i="3" s="1"/>
  <c r="U246" i="3" s="1"/>
  <c r="AT96" i="2"/>
  <c r="S267" i="3" s="1"/>
  <c r="AX94" i="2"/>
  <c r="W265" i="3" s="1"/>
  <c r="AV94" i="2"/>
  <c r="U265" i="3" s="1"/>
  <c r="AT94" i="2"/>
  <c r="S265" i="3" s="1"/>
  <c r="AX92" i="2"/>
  <c r="W263" i="3" s="1"/>
  <c r="AV92" i="2"/>
  <c r="U263" i="3" s="1"/>
  <c r="AM110" i="2"/>
  <c r="AM109" i="2"/>
  <c r="AM108" i="2"/>
  <c r="AM107" i="2"/>
  <c r="AM106" i="2"/>
  <c r="AM105" i="2"/>
  <c r="AM104" i="2"/>
  <c r="AM103" i="2"/>
  <c r="AM102" i="2"/>
  <c r="AM101" i="2"/>
  <c r="AM100" i="2"/>
  <c r="X242" i="10"/>
  <c r="X221" i="10"/>
  <c r="X270" i="10"/>
  <c r="X256" i="10"/>
  <c r="AR110" i="2"/>
  <c r="Q281" i="3" s="1"/>
  <c r="AN110" i="2"/>
  <c r="AT108" i="2"/>
  <c r="S279" i="3" s="1"/>
  <c r="S258" i="3" s="1"/>
  <c r="AR108" i="2"/>
  <c r="Q279" i="3" s="1"/>
  <c r="AN108" i="2"/>
  <c r="AT106" i="2"/>
  <c r="S277" i="3" s="1"/>
  <c r="AR106" i="2"/>
  <c r="AN106" i="2"/>
  <c r="AR104" i="2"/>
  <c r="AN104" i="2"/>
  <c r="AR102" i="2"/>
  <c r="AN102" i="2"/>
  <c r="AR100" i="2"/>
  <c r="Q271" i="3" s="1"/>
  <c r="Q250" i="3" s="1"/>
  <c r="AN100" i="2"/>
  <c r="AR98" i="2"/>
  <c r="Q269" i="3" s="1"/>
  <c r="AN98" i="2"/>
  <c r="AR96" i="2"/>
  <c r="AN96" i="2"/>
  <c r="AR94" i="2"/>
  <c r="AN94" i="2"/>
  <c r="AN92" i="2"/>
  <c r="X235" i="10"/>
  <c r="X261" i="10"/>
  <c r="X248" i="10"/>
  <c r="X227" i="10"/>
  <c r="X236" i="10"/>
  <c r="X275" i="10"/>
  <c r="X250" i="10"/>
  <c r="X229" i="10"/>
  <c r="X225" i="10"/>
  <c r="X246" i="10"/>
  <c r="X238" i="10"/>
  <c r="X247" i="10"/>
  <c r="X226" i="10"/>
  <c r="X277" i="10"/>
  <c r="X245" i="10"/>
  <c r="X224" i="10"/>
  <c r="X273" i="10"/>
  <c r="X272" i="10"/>
  <c r="AN109" i="2"/>
  <c r="AN107" i="2"/>
  <c r="AN105" i="2"/>
  <c r="AN103" i="2"/>
  <c r="AN101" i="2"/>
  <c r="AN99" i="2"/>
  <c r="AN97" i="2"/>
  <c r="AN95" i="2"/>
  <c r="AN93" i="2"/>
  <c r="AN91" i="2"/>
  <c r="AN90" i="2"/>
  <c r="X240" i="10"/>
  <c r="X219" i="10"/>
  <c r="X269" i="10"/>
  <c r="X254" i="10"/>
  <c r="X233" i="10"/>
  <c r="X271" i="10"/>
  <c r="X252" i="10"/>
  <c r="X231" i="10"/>
  <c r="AL110" i="2"/>
  <c r="E104" i="8"/>
  <c r="AL108" i="2"/>
  <c r="E102" i="8"/>
  <c r="AL106" i="2"/>
  <c r="E100" i="8"/>
  <c r="AL104" i="2"/>
  <c r="E98" i="8"/>
  <c r="AL102" i="2"/>
  <c r="E96" i="8"/>
  <c r="AL100" i="2"/>
  <c r="E94" i="8"/>
  <c r="AL98" i="2"/>
  <c r="E92" i="8"/>
  <c r="AL96" i="2"/>
  <c r="E90" i="8"/>
  <c r="AL94" i="2"/>
  <c r="E88" i="8"/>
  <c r="AL92" i="2"/>
  <c r="E86" i="8"/>
  <c r="AL109" i="2"/>
  <c r="E103" i="8"/>
  <c r="AL107" i="2"/>
  <c r="E101" i="8"/>
  <c r="AL105" i="2"/>
  <c r="E99" i="8"/>
  <c r="AL103" i="2"/>
  <c r="E97" i="8"/>
  <c r="AL101" i="2"/>
  <c r="E95" i="8"/>
  <c r="AL99" i="2"/>
  <c r="E93" i="8"/>
  <c r="AL97" i="2"/>
  <c r="E91" i="8"/>
  <c r="AL95" i="2"/>
  <c r="E89" i="8"/>
  <c r="AL93" i="2"/>
  <c r="E87" i="8"/>
  <c r="AT92" i="2"/>
  <c r="S263" i="3" s="1"/>
  <c r="S221" i="3" s="1"/>
  <c r="AR92" i="2"/>
  <c r="Q263" i="3" s="1"/>
  <c r="AL91" i="2"/>
  <c r="E85" i="8"/>
  <c r="AL90" i="2"/>
  <c r="E84" i="8"/>
  <c r="AM99" i="2"/>
  <c r="AM98" i="2"/>
  <c r="AM97" i="2"/>
  <c r="AM96" i="2"/>
  <c r="AM95" i="2"/>
  <c r="AM94" i="2"/>
  <c r="AM93" i="2"/>
  <c r="AM92" i="2"/>
  <c r="AM91" i="2"/>
  <c r="AM90" i="2"/>
  <c r="Q115" i="3"/>
  <c r="AW109" i="2"/>
  <c r="V280" i="3" s="1"/>
  <c r="V238" i="3" s="1"/>
  <c r="AS109" i="2"/>
  <c r="AW110" i="2"/>
  <c r="V281" i="3" s="1"/>
  <c r="AU110" i="2"/>
  <c r="T281" i="3" s="1"/>
  <c r="T239" i="3" s="1"/>
  <c r="AS110" i="2"/>
  <c r="R281" i="3" s="1"/>
  <c r="AX109" i="2"/>
  <c r="W280" i="3" s="1"/>
  <c r="AV109" i="2"/>
  <c r="U280" i="3" s="1"/>
  <c r="U259" i="3" s="1"/>
  <c r="AT109" i="2"/>
  <c r="S280" i="3" s="1"/>
  <c r="S238" i="3" s="1"/>
  <c r="AR109" i="2"/>
  <c r="Q280" i="3" s="1"/>
  <c r="AW108" i="2"/>
  <c r="V279" i="3" s="1"/>
  <c r="AU108" i="2"/>
  <c r="T279" i="3" s="1"/>
  <c r="AS108" i="2"/>
  <c r="AX107" i="2"/>
  <c r="W278" i="3" s="1"/>
  <c r="AV107" i="2"/>
  <c r="U278" i="3" s="1"/>
  <c r="AT107" i="2"/>
  <c r="S278" i="3" s="1"/>
  <c r="AR107" i="2"/>
  <c r="Q278" i="3" s="1"/>
  <c r="AW106" i="2"/>
  <c r="V277" i="3" s="1"/>
  <c r="AU106" i="2"/>
  <c r="T277" i="3" s="1"/>
  <c r="AS106" i="2"/>
  <c r="R277" i="3" s="1"/>
  <c r="AX105" i="2"/>
  <c r="W276" i="3" s="1"/>
  <c r="AV105" i="2"/>
  <c r="U276" i="3" s="1"/>
  <c r="AT105" i="2"/>
  <c r="S276" i="3" s="1"/>
  <c r="AR105" i="2"/>
  <c r="AW104" i="2"/>
  <c r="V275" i="3" s="1"/>
  <c r="AU104" i="2"/>
  <c r="T275" i="3" s="1"/>
  <c r="AS104" i="2"/>
  <c r="R275" i="3" s="1"/>
  <c r="AX103" i="2"/>
  <c r="W274" i="3" s="1"/>
  <c r="AV103" i="2"/>
  <c r="U274" i="3" s="1"/>
  <c r="AT103" i="2"/>
  <c r="S274" i="3" s="1"/>
  <c r="AR103" i="2"/>
  <c r="AW102" i="2"/>
  <c r="V273" i="3" s="1"/>
  <c r="V231" i="3" s="1"/>
  <c r="AU102" i="2"/>
  <c r="T273" i="3" s="1"/>
  <c r="T231" i="3" s="1"/>
  <c r="AS102" i="2"/>
  <c r="R273" i="3" s="1"/>
  <c r="AX101" i="2"/>
  <c r="W272" i="3" s="1"/>
  <c r="AV101" i="2"/>
  <c r="U272" i="3" s="1"/>
  <c r="AT101" i="2"/>
  <c r="S272" i="3" s="1"/>
  <c r="AR101" i="2"/>
  <c r="AW100" i="2"/>
  <c r="V271" i="3" s="1"/>
  <c r="AU100" i="2"/>
  <c r="T271" i="3" s="1"/>
  <c r="T250" i="3" s="1"/>
  <c r="AS100" i="2"/>
  <c r="R271" i="3" s="1"/>
  <c r="AX99" i="2"/>
  <c r="W270" i="3" s="1"/>
  <c r="AV99" i="2"/>
  <c r="U270" i="3" s="1"/>
  <c r="AT99" i="2"/>
  <c r="S270" i="3" s="1"/>
  <c r="AR99" i="2"/>
  <c r="AW98" i="2"/>
  <c r="V269" i="3" s="1"/>
  <c r="V227" i="3" s="1"/>
  <c r="AU98" i="2"/>
  <c r="T269" i="3" s="1"/>
  <c r="T206" i="3" s="1"/>
  <c r="AS98" i="2"/>
  <c r="R269" i="3" s="1"/>
  <c r="AX97" i="2"/>
  <c r="W268" i="3" s="1"/>
  <c r="AV97" i="2"/>
  <c r="U268" i="3" s="1"/>
  <c r="AT97" i="2"/>
  <c r="S268" i="3" s="1"/>
  <c r="AR97" i="2"/>
  <c r="AW96" i="2"/>
  <c r="V267" i="3" s="1"/>
  <c r="V225" i="3" s="1"/>
  <c r="AU96" i="2"/>
  <c r="T267" i="3" s="1"/>
  <c r="AS96" i="2"/>
  <c r="R267" i="3" s="1"/>
  <c r="AX95" i="2"/>
  <c r="W266" i="3" s="1"/>
  <c r="AV95" i="2"/>
  <c r="U266" i="3" s="1"/>
  <c r="AT95" i="2"/>
  <c r="S266" i="3" s="1"/>
  <c r="AR95" i="2"/>
  <c r="AW94" i="2"/>
  <c r="V265" i="3" s="1"/>
  <c r="AU94" i="2"/>
  <c r="T265" i="3" s="1"/>
  <c r="AS94" i="2"/>
  <c r="R265" i="3" s="1"/>
  <c r="AX93" i="2"/>
  <c r="W264" i="3" s="1"/>
  <c r="AV93" i="2"/>
  <c r="U264" i="3" s="1"/>
  <c r="AT93" i="2"/>
  <c r="S264" i="3" s="1"/>
  <c r="AR93" i="2"/>
  <c r="AW92" i="2"/>
  <c r="V263" i="3" s="1"/>
  <c r="AU92" i="2"/>
  <c r="T263" i="3" s="1"/>
  <c r="T242" i="3" s="1"/>
  <c r="AS92" i="2"/>
  <c r="R263" i="3" s="1"/>
  <c r="AX91" i="2"/>
  <c r="W262" i="3" s="1"/>
  <c r="AV91" i="2"/>
  <c r="U262" i="3" s="1"/>
  <c r="AT91" i="2"/>
  <c r="S262" i="3" s="1"/>
  <c r="AR91" i="2"/>
  <c r="AX90" i="2"/>
  <c r="W261" i="3" s="1"/>
  <c r="AV90" i="2"/>
  <c r="U261" i="3" s="1"/>
  <c r="AT90" i="2"/>
  <c r="S261" i="3" s="1"/>
  <c r="AR90" i="2"/>
  <c r="X64" i="3"/>
  <c r="X35" i="3"/>
  <c r="X30" i="3"/>
  <c r="X66" i="3"/>
  <c r="X37" i="3"/>
  <c r="X74" i="3"/>
  <c r="U114" i="3"/>
  <c r="U156" i="3"/>
  <c r="U135" i="3"/>
  <c r="AY63" i="2"/>
  <c r="X178" i="3" s="1"/>
  <c r="R178" i="3"/>
  <c r="V157" i="3"/>
  <c r="V136" i="3"/>
  <c r="V115" i="3"/>
  <c r="S116" i="3"/>
  <c r="S158" i="3"/>
  <c r="S137" i="3"/>
  <c r="W158" i="3"/>
  <c r="W137" i="3"/>
  <c r="W116" i="3"/>
  <c r="T159" i="3"/>
  <c r="T138" i="3"/>
  <c r="T117" i="3"/>
  <c r="Q160" i="3"/>
  <c r="Q139" i="3"/>
  <c r="Q118" i="3"/>
  <c r="U244" i="3"/>
  <c r="U202" i="3"/>
  <c r="U223" i="3"/>
  <c r="U118" i="3"/>
  <c r="U160" i="3"/>
  <c r="U139" i="3"/>
  <c r="AY67" i="2"/>
  <c r="X182" i="3" s="1"/>
  <c r="R182" i="3"/>
  <c r="V119" i="3"/>
  <c r="V161" i="3"/>
  <c r="V140" i="3"/>
  <c r="S246" i="3"/>
  <c r="S204" i="3"/>
  <c r="S225" i="3"/>
  <c r="S120" i="3"/>
  <c r="S162" i="3"/>
  <c r="S141" i="3"/>
  <c r="W162" i="3"/>
  <c r="W141" i="3"/>
  <c r="W120" i="3"/>
  <c r="T163" i="3"/>
  <c r="T142" i="3"/>
  <c r="T121" i="3"/>
  <c r="Q164" i="3"/>
  <c r="Q143" i="3"/>
  <c r="Q122" i="3"/>
  <c r="U122" i="3"/>
  <c r="U164" i="3"/>
  <c r="U143" i="3"/>
  <c r="AY71" i="2"/>
  <c r="X186" i="3" s="1"/>
  <c r="R186" i="3"/>
  <c r="V123" i="3"/>
  <c r="V165" i="3"/>
  <c r="V144" i="3"/>
  <c r="S250" i="3"/>
  <c r="S208" i="3"/>
  <c r="S229" i="3"/>
  <c r="S124" i="3"/>
  <c r="S166" i="3"/>
  <c r="S145" i="3"/>
  <c r="W166" i="3"/>
  <c r="W145" i="3"/>
  <c r="W124" i="3"/>
  <c r="T167" i="3"/>
  <c r="T146" i="3"/>
  <c r="T125" i="3"/>
  <c r="Q168" i="3"/>
  <c r="Q147" i="3"/>
  <c r="Q126" i="3"/>
  <c r="U252" i="3"/>
  <c r="U210" i="3"/>
  <c r="U231" i="3"/>
  <c r="U126" i="3"/>
  <c r="U168" i="3"/>
  <c r="U147" i="3"/>
  <c r="AY75" i="2"/>
  <c r="X190" i="3" s="1"/>
  <c r="R190" i="3"/>
  <c r="V127" i="3"/>
  <c r="V169" i="3"/>
  <c r="V148" i="3"/>
  <c r="S254" i="3"/>
  <c r="S212" i="3"/>
  <c r="S233" i="3"/>
  <c r="S128" i="3"/>
  <c r="S170" i="3"/>
  <c r="S149" i="3"/>
  <c r="W170" i="3"/>
  <c r="W149" i="3"/>
  <c r="W128" i="3"/>
  <c r="T171" i="3"/>
  <c r="T150" i="3"/>
  <c r="T129" i="3"/>
  <c r="Q130" i="3"/>
  <c r="Q172" i="3"/>
  <c r="Q151" i="3"/>
  <c r="U151" i="3"/>
  <c r="U130" i="3"/>
  <c r="U172" i="3"/>
  <c r="AY79" i="2"/>
  <c r="X194" i="3" s="1"/>
  <c r="R194" i="3"/>
  <c r="V152" i="3"/>
  <c r="V131" i="3"/>
  <c r="V173" i="3"/>
  <c r="S153" i="3"/>
  <c r="S132" i="3"/>
  <c r="S174" i="3"/>
  <c r="S175" i="3"/>
  <c r="S133" i="3"/>
  <c r="S154" i="3"/>
  <c r="W238" i="3"/>
  <c r="W259" i="3"/>
  <c r="W217" i="3"/>
  <c r="W175" i="3"/>
  <c r="W133" i="3"/>
  <c r="W154" i="3"/>
  <c r="T155" i="3"/>
  <c r="T176" i="3"/>
  <c r="T134" i="3"/>
  <c r="V170" i="3"/>
  <c r="V128" i="3"/>
  <c r="V149" i="3"/>
  <c r="AY78" i="2"/>
  <c r="X193" i="3" s="1"/>
  <c r="R193" i="3"/>
  <c r="W237" i="3"/>
  <c r="W239" i="3"/>
  <c r="X43" i="3"/>
  <c r="X56" i="3"/>
  <c r="X51" i="3"/>
  <c r="Q114" i="3"/>
  <c r="X53" i="3"/>
  <c r="Q137" i="3"/>
  <c r="AY62" i="2"/>
  <c r="X177" i="3" s="1"/>
  <c r="R177" i="3"/>
  <c r="V135" i="3"/>
  <c r="V156" i="3"/>
  <c r="V114" i="3"/>
  <c r="AY64" i="2"/>
  <c r="X179" i="3" s="1"/>
  <c r="R179" i="3"/>
  <c r="V242" i="3"/>
  <c r="V200" i="3"/>
  <c r="V137" i="3"/>
  <c r="V158" i="3"/>
  <c r="V116" i="3"/>
  <c r="AY66" i="2"/>
  <c r="X181" i="3" s="1"/>
  <c r="R181" i="3"/>
  <c r="V160" i="3"/>
  <c r="V118" i="3"/>
  <c r="V139" i="3"/>
  <c r="AY68" i="2"/>
  <c r="X183" i="3" s="1"/>
  <c r="R183" i="3"/>
  <c r="V162" i="3"/>
  <c r="V120" i="3"/>
  <c r="V141" i="3"/>
  <c r="AY70" i="2"/>
  <c r="X185" i="3" s="1"/>
  <c r="R185" i="3"/>
  <c r="V143" i="3"/>
  <c r="V164" i="3"/>
  <c r="V122" i="3"/>
  <c r="AY72" i="2"/>
  <c r="X187" i="3" s="1"/>
  <c r="R187" i="3"/>
  <c r="V229" i="3"/>
  <c r="V250" i="3"/>
  <c r="V208" i="3"/>
  <c r="V145" i="3"/>
  <c r="V166" i="3"/>
  <c r="V124" i="3"/>
  <c r="AY74" i="2"/>
  <c r="X189" i="3" s="1"/>
  <c r="R189" i="3"/>
  <c r="V168" i="3"/>
  <c r="V126" i="3"/>
  <c r="V147" i="3"/>
  <c r="T235" i="3"/>
  <c r="T256" i="3"/>
  <c r="T214" i="3"/>
  <c r="T172" i="3"/>
  <c r="T130" i="3"/>
  <c r="T151" i="3"/>
  <c r="Q176" i="3"/>
  <c r="Q155" i="3"/>
  <c r="Q134" i="3"/>
  <c r="AU109" i="2"/>
  <c r="T280" i="3" s="1"/>
  <c r="T259" i="3" s="1"/>
  <c r="AW107" i="2"/>
  <c r="V278" i="3" s="1"/>
  <c r="AU107" i="2"/>
  <c r="T278" i="3" s="1"/>
  <c r="T236" i="3" s="1"/>
  <c r="AS107" i="2"/>
  <c r="Q277" i="3"/>
  <c r="AW105" i="2"/>
  <c r="V276" i="3" s="1"/>
  <c r="AU105" i="2"/>
  <c r="T276" i="3" s="1"/>
  <c r="AS105" i="2"/>
  <c r="R276" i="3" s="1"/>
  <c r="AW103" i="2"/>
  <c r="V274" i="3" s="1"/>
  <c r="AU103" i="2"/>
  <c r="T274" i="3" s="1"/>
  <c r="AS103" i="2"/>
  <c r="R274" i="3" s="1"/>
  <c r="Q273" i="3"/>
  <c r="AW101" i="2"/>
  <c r="V272" i="3" s="1"/>
  <c r="V251" i="3" s="1"/>
  <c r="AU101" i="2"/>
  <c r="T272" i="3" s="1"/>
  <c r="AS101" i="2"/>
  <c r="R272" i="3" s="1"/>
  <c r="AW99" i="2"/>
  <c r="V270" i="3" s="1"/>
  <c r="AU99" i="2"/>
  <c r="T270" i="3" s="1"/>
  <c r="T207" i="3" s="1"/>
  <c r="AS99" i="2"/>
  <c r="R270" i="3" s="1"/>
  <c r="AW97" i="2"/>
  <c r="V268" i="3" s="1"/>
  <c r="V247" i="3" s="1"/>
  <c r="AU97" i="2"/>
  <c r="T268" i="3" s="1"/>
  <c r="AS97" i="2"/>
  <c r="R268" i="3" s="1"/>
  <c r="Q267" i="3"/>
  <c r="Q225" i="3" s="1"/>
  <c r="AW95" i="2"/>
  <c r="V266" i="3" s="1"/>
  <c r="AU95" i="2"/>
  <c r="T266" i="3" s="1"/>
  <c r="T245" i="3" s="1"/>
  <c r="AS95" i="2"/>
  <c r="R266" i="3" s="1"/>
  <c r="Q265" i="3"/>
  <c r="AW93" i="2"/>
  <c r="V264" i="3" s="1"/>
  <c r="AU93" i="2"/>
  <c r="T264" i="3" s="1"/>
  <c r="AS93" i="2"/>
  <c r="R264" i="3" s="1"/>
  <c r="AW91" i="2"/>
  <c r="V262" i="3" s="1"/>
  <c r="AU91" i="2"/>
  <c r="T262" i="3" s="1"/>
  <c r="AS91" i="2"/>
  <c r="R262" i="3" s="1"/>
  <c r="AW90" i="2"/>
  <c r="V261" i="3" s="1"/>
  <c r="AU90" i="2"/>
  <c r="T261" i="3" s="1"/>
  <c r="T240" i="3" s="1"/>
  <c r="AS90" i="2"/>
  <c r="R261" i="3" s="1"/>
  <c r="X77" i="3"/>
  <c r="X72" i="3"/>
  <c r="X79" i="3"/>
  <c r="X70" i="3"/>
  <c r="X32" i="3"/>
  <c r="S156" i="3"/>
  <c r="S135" i="3"/>
  <c r="S114" i="3"/>
  <c r="W198" i="3"/>
  <c r="W156" i="3"/>
  <c r="W135" i="3"/>
  <c r="W114" i="3"/>
  <c r="T115" i="3"/>
  <c r="T157" i="3"/>
  <c r="T136" i="3"/>
  <c r="U116" i="3"/>
  <c r="U158" i="3"/>
  <c r="U137" i="3"/>
  <c r="AY65" i="2"/>
  <c r="X180" i="3" s="1"/>
  <c r="R180" i="3"/>
  <c r="V159" i="3"/>
  <c r="V138" i="3"/>
  <c r="V117" i="3"/>
  <c r="S244" i="3"/>
  <c r="S202" i="3"/>
  <c r="S223" i="3"/>
  <c r="S118" i="3"/>
  <c r="S160" i="3"/>
  <c r="S139" i="3"/>
  <c r="W244" i="3"/>
  <c r="W202" i="3"/>
  <c r="W223" i="3"/>
  <c r="W160" i="3"/>
  <c r="W139" i="3"/>
  <c r="W118" i="3"/>
  <c r="T161" i="3"/>
  <c r="T140" i="3"/>
  <c r="T119" i="3"/>
  <c r="Q120" i="3"/>
  <c r="Q162" i="3"/>
  <c r="Q141" i="3"/>
  <c r="U120" i="3"/>
  <c r="U162" i="3"/>
  <c r="U141" i="3"/>
  <c r="AY69" i="2"/>
  <c r="X184" i="3" s="1"/>
  <c r="R184" i="3"/>
  <c r="V163" i="3"/>
  <c r="V142" i="3"/>
  <c r="V121" i="3"/>
  <c r="S122" i="3"/>
  <c r="S164" i="3"/>
  <c r="S143" i="3"/>
  <c r="W248" i="3"/>
  <c r="W206" i="3"/>
  <c r="W227" i="3"/>
  <c r="W164" i="3"/>
  <c r="W143" i="3"/>
  <c r="W122" i="3"/>
  <c r="T165" i="3"/>
  <c r="T144" i="3"/>
  <c r="T123" i="3"/>
  <c r="Q124" i="3"/>
  <c r="Q166" i="3"/>
  <c r="Q145" i="3"/>
  <c r="U124" i="3"/>
  <c r="U166" i="3"/>
  <c r="U145" i="3"/>
  <c r="AY73" i="2"/>
  <c r="X188" i="3" s="1"/>
  <c r="R188" i="3"/>
  <c r="V167" i="3"/>
  <c r="V146" i="3"/>
  <c r="V125" i="3"/>
  <c r="S252" i="3"/>
  <c r="S210" i="3"/>
  <c r="S231" i="3"/>
  <c r="S126" i="3"/>
  <c r="S168" i="3"/>
  <c r="S147" i="3"/>
  <c r="W252" i="3"/>
  <c r="W210" i="3"/>
  <c r="W231" i="3"/>
  <c r="W168" i="3"/>
  <c r="W147" i="3"/>
  <c r="W126" i="3"/>
  <c r="T169" i="3"/>
  <c r="T148" i="3"/>
  <c r="T127" i="3"/>
  <c r="Q128" i="3"/>
  <c r="Q170" i="3"/>
  <c r="Q149" i="3"/>
  <c r="U128" i="3"/>
  <c r="U170" i="3"/>
  <c r="U149" i="3"/>
  <c r="AY77" i="2"/>
  <c r="X192" i="3" s="1"/>
  <c r="R192" i="3"/>
  <c r="V213" i="3"/>
  <c r="V171" i="3"/>
  <c r="V150" i="3"/>
  <c r="V129" i="3"/>
  <c r="S256" i="3"/>
  <c r="S214" i="3"/>
  <c r="S235" i="3"/>
  <c r="S130" i="3"/>
  <c r="S172" i="3"/>
  <c r="S151" i="3"/>
  <c r="W151" i="3"/>
  <c r="W130" i="3"/>
  <c r="W172" i="3"/>
  <c r="T257" i="3"/>
  <c r="T215" i="3"/>
  <c r="T173" i="3"/>
  <c r="T152" i="3"/>
  <c r="T131" i="3"/>
  <c r="AY80" i="2"/>
  <c r="X195" i="3" s="1"/>
  <c r="Q195" i="3"/>
  <c r="U258" i="3"/>
  <c r="U216" i="3"/>
  <c r="U237" i="3"/>
  <c r="U174" i="3"/>
  <c r="U153" i="3"/>
  <c r="U132" i="3"/>
  <c r="AY81" i="2"/>
  <c r="X196" i="3" s="1"/>
  <c r="Q196" i="3"/>
  <c r="U154" i="3"/>
  <c r="U175" i="3"/>
  <c r="U133" i="3"/>
  <c r="R260" i="3"/>
  <c r="R155" i="3"/>
  <c r="R176" i="3"/>
  <c r="R134" i="3"/>
  <c r="V176" i="3"/>
  <c r="V134" i="3"/>
  <c r="V155" i="3"/>
  <c r="AY76" i="2"/>
  <c r="X191" i="3" s="1"/>
  <c r="R191" i="3"/>
  <c r="V256" i="3"/>
  <c r="V172" i="3"/>
  <c r="V130" i="3"/>
  <c r="V151" i="3"/>
  <c r="W216" i="3"/>
  <c r="R175" i="3"/>
  <c r="R154" i="3"/>
  <c r="R133" i="3"/>
  <c r="W218" i="3"/>
  <c r="X85" i="3"/>
  <c r="X45" i="3"/>
  <c r="Q135" i="3"/>
  <c r="Q156" i="3"/>
  <c r="Q116" i="3"/>
  <c r="T156" i="3"/>
  <c r="T114" i="3"/>
  <c r="T135" i="3"/>
  <c r="T137" i="3"/>
  <c r="T158" i="3"/>
  <c r="T116" i="3"/>
  <c r="T202" i="3"/>
  <c r="T139" i="3"/>
  <c r="T160" i="3"/>
  <c r="T118" i="3"/>
  <c r="T246" i="3"/>
  <c r="T162" i="3"/>
  <c r="T120" i="3"/>
  <c r="T141" i="3"/>
  <c r="T164" i="3"/>
  <c r="T122" i="3"/>
  <c r="T143" i="3"/>
  <c r="T145" i="3"/>
  <c r="T166" i="3"/>
  <c r="T124" i="3"/>
  <c r="T147" i="3"/>
  <c r="T168" i="3"/>
  <c r="T126" i="3"/>
  <c r="T254" i="3"/>
  <c r="T170" i="3"/>
  <c r="T128" i="3"/>
  <c r="T149" i="3"/>
  <c r="T154" i="3"/>
  <c r="T133" i="3"/>
  <c r="T175" i="3"/>
  <c r="AY82" i="2"/>
  <c r="X197" i="3" s="1"/>
  <c r="J185" i="6"/>
  <c r="AE11" i="1"/>
  <c r="Z31" i="1"/>
  <c r="Z29" i="1"/>
  <c r="Z27" i="1"/>
  <c r="Z25" i="1"/>
  <c r="Z23" i="1"/>
  <c r="Z21" i="1"/>
  <c r="Z19" i="1"/>
  <c r="Z17" i="1"/>
  <c r="Z15" i="1"/>
  <c r="Z13" i="1"/>
  <c r="Z11" i="1"/>
  <c r="Z30" i="1"/>
  <c r="Z28" i="1"/>
  <c r="Z26" i="1"/>
  <c r="Z24" i="1"/>
  <c r="Z22" i="1"/>
  <c r="Z20" i="1"/>
  <c r="Z18" i="1"/>
  <c r="Z16" i="1"/>
  <c r="Z14" i="1"/>
  <c r="Z12" i="1"/>
  <c r="AO69" i="2"/>
  <c r="F65" i="5"/>
  <c r="G65" i="5" s="1"/>
  <c r="I13" i="5" s="1"/>
  <c r="E65" i="4"/>
  <c r="G65" i="4" s="1"/>
  <c r="I13" i="4" s="1"/>
  <c r="AO75" i="2"/>
  <c r="F71" i="5"/>
  <c r="G71" i="5" s="1"/>
  <c r="I19" i="5" s="1"/>
  <c r="E71" i="4"/>
  <c r="G71" i="4" s="1"/>
  <c r="I19" i="4" s="1"/>
  <c r="AO82" i="2"/>
  <c r="E78" i="4"/>
  <c r="G78" i="4" s="1"/>
  <c r="I26" i="4" s="1"/>
  <c r="F78" i="5"/>
  <c r="G78" i="5" s="1"/>
  <c r="I26" i="5" s="1"/>
  <c r="AO74" i="2"/>
  <c r="F70" i="5"/>
  <c r="G70" i="5" s="1"/>
  <c r="I18" i="5" s="1"/>
  <c r="E70" i="4"/>
  <c r="G70" i="4" s="1"/>
  <c r="I18" i="4" s="1"/>
  <c r="AO66" i="2"/>
  <c r="F62" i="5"/>
  <c r="G62" i="5" s="1"/>
  <c r="I10" i="5" s="1"/>
  <c r="E62" i="4"/>
  <c r="G62" i="4" s="1"/>
  <c r="I10" i="4" s="1"/>
  <c r="AO81" i="2"/>
  <c r="F77" i="5"/>
  <c r="G77" i="5" s="1"/>
  <c r="I25" i="5" s="1"/>
  <c r="E77" i="4"/>
  <c r="G77" i="4" s="1"/>
  <c r="I25" i="4" s="1"/>
  <c r="AO79" i="2"/>
  <c r="F75" i="5"/>
  <c r="G75" i="5" s="1"/>
  <c r="I23" i="5" s="1"/>
  <c r="E75" i="4"/>
  <c r="G75" i="4" s="1"/>
  <c r="I23" i="4" s="1"/>
  <c r="AO63" i="2"/>
  <c r="F59" i="5"/>
  <c r="G59" i="5" s="1"/>
  <c r="I7" i="5" s="1"/>
  <c r="E59" i="4"/>
  <c r="G59" i="4" s="1"/>
  <c r="I7" i="4" s="1"/>
  <c r="AO76" i="2"/>
  <c r="F72" i="5"/>
  <c r="G72" i="5" s="1"/>
  <c r="I20" i="5" s="1"/>
  <c r="E72" i="4"/>
  <c r="G72" i="4" s="1"/>
  <c r="I20" i="4" s="1"/>
  <c r="AO68" i="2"/>
  <c r="F64" i="5"/>
  <c r="G64" i="5" s="1"/>
  <c r="I12" i="5" s="1"/>
  <c r="E64" i="4"/>
  <c r="G64" i="4" s="1"/>
  <c r="I12" i="4" s="1"/>
  <c r="AO62" i="2"/>
  <c r="F58" i="5"/>
  <c r="G58" i="5" s="1"/>
  <c r="I6" i="5" s="1"/>
  <c r="E58" i="4"/>
  <c r="G58" i="4" s="1"/>
  <c r="I6" i="4" s="1"/>
  <c r="AO73" i="2"/>
  <c r="F69" i="5"/>
  <c r="G69" i="5" s="1"/>
  <c r="I17" i="5" s="1"/>
  <c r="E69" i="4"/>
  <c r="G69" i="4" s="1"/>
  <c r="I17" i="4" s="1"/>
  <c r="AO67" i="2"/>
  <c r="F63" i="5"/>
  <c r="G63" i="5" s="1"/>
  <c r="I11" i="5" s="1"/>
  <c r="E63" i="4"/>
  <c r="G63" i="4" s="1"/>
  <c r="I11" i="4" s="1"/>
  <c r="AO78" i="2"/>
  <c r="F74" i="5"/>
  <c r="G74" i="5" s="1"/>
  <c r="I22" i="5" s="1"/>
  <c r="E74" i="4"/>
  <c r="G74" i="4" s="1"/>
  <c r="I22" i="4" s="1"/>
  <c r="AO70" i="2"/>
  <c r="F66" i="5"/>
  <c r="G66" i="5" s="1"/>
  <c r="I14" i="5" s="1"/>
  <c r="E66" i="4"/>
  <c r="G66" i="4" s="1"/>
  <c r="I14" i="4" s="1"/>
  <c r="AO77" i="2"/>
  <c r="F73" i="5"/>
  <c r="G73" i="5" s="1"/>
  <c r="I21" i="5" s="1"/>
  <c r="E73" i="4"/>
  <c r="G73" i="4" s="1"/>
  <c r="I21" i="4" s="1"/>
  <c r="AO65" i="2"/>
  <c r="F61" i="5"/>
  <c r="G61" i="5" s="1"/>
  <c r="I9" i="5" s="1"/>
  <c r="E61" i="4"/>
  <c r="G61" i="4" s="1"/>
  <c r="I9" i="4" s="1"/>
  <c r="AO71" i="2"/>
  <c r="F67" i="5"/>
  <c r="G67" i="5" s="1"/>
  <c r="I15" i="5" s="1"/>
  <c r="E67" i="4"/>
  <c r="G67" i="4" s="1"/>
  <c r="I15" i="4" s="1"/>
  <c r="AO80" i="2"/>
  <c r="F76" i="5"/>
  <c r="G76" i="5" s="1"/>
  <c r="I24" i="5" s="1"/>
  <c r="E76" i="4"/>
  <c r="G76" i="4" s="1"/>
  <c r="I24" i="4" s="1"/>
  <c r="AO72" i="2"/>
  <c r="F68" i="5"/>
  <c r="G68" i="5" s="1"/>
  <c r="I16" i="5" s="1"/>
  <c r="E68" i="4"/>
  <c r="G68" i="4" s="1"/>
  <c r="I16" i="4" s="1"/>
  <c r="AO64" i="2"/>
  <c r="F60" i="5"/>
  <c r="G60" i="5" s="1"/>
  <c r="I8" i="5" s="1"/>
  <c r="E60" i="4"/>
  <c r="G60" i="4" s="1"/>
  <c r="I8" i="4" s="1"/>
  <c r="AN84" i="2"/>
  <c r="W235" i="3" l="1"/>
  <c r="V210" i="3"/>
  <c r="W214" i="3"/>
  <c r="T249" i="3"/>
  <c r="U227" i="3"/>
  <c r="U206" i="3"/>
  <c r="T217" i="3"/>
  <c r="S227" i="3"/>
  <c r="T210" i="3"/>
  <c r="S206" i="3"/>
  <c r="S217" i="3"/>
  <c r="T252" i="3"/>
  <c r="AY106" i="2"/>
  <c r="X277" i="3" s="1"/>
  <c r="S259" i="3"/>
  <c r="U235" i="3"/>
  <c r="U214" i="3"/>
  <c r="V205" i="3"/>
  <c r="T203" i="3"/>
  <c r="V230" i="3"/>
  <c r="V209" i="3"/>
  <c r="U233" i="3"/>
  <c r="U225" i="3"/>
  <c r="W254" i="3"/>
  <c r="U212" i="3"/>
  <c r="U204" i="3"/>
  <c r="S237" i="3"/>
  <c r="S216" i="3"/>
  <c r="T227" i="3"/>
  <c r="T248" i="3"/>
  <c r="W246" i="3"/>
  <c r="Q204" i="3"/>
  <c r="V204" i="3"/>
  <c r="T238" i="3"/>
  <c r="V246" i="3"/>
  <c r="AY96" i="2"/>
  <c r="X267" i="3" s="1"/>
  <c r="T218" i="3"/>
  <c r="V226" i="3"/>
  <c r="T260" i="3"/>
  <c r="Q229" i="3"/>
  <c r="Q208" i="3"/>
  <c r="Q221" i="3"/>
  <c r="Q305" i="3"/>
  <c r="Q326" i="3"/>
  <c r="Q284" i="3"/>
  <c r="Q242" i="3"/>
  <c r="Q200" i="3"/>
  <c r="R336" i="3"/>
  <c r="R294" i="3"/>
  <c r="R315" i="3"/>
  <c r="T327" i="3"/>
  <c r="T285" i="3"/>
  <c r="T306" i="3"/>
  <c r="R312" i="3"/>
  <c r="R291" i="3"/>
  <c r="R333" i="3"/>
  <c r="R339" i="3"/>
  <c r="R318" i="3"/>
  <c r="R297" i="3"/>
  <c r="S306" i="3"/>
  <c r="S285" i="3"/>
  <c r="S327" i="3"/>
  <c r="V309" i="3"/>
  <c r="V288" i="3"/>
  <c r="V330" i="3"/>
  <c r="R313" i="3"/>
  <c r="R292" i="3"/>
  <c r="R334" i="3"/>
  <c r="U316" i="3"/>
  <c r="U337" i="3"/>
  <c r="U295" i="3"/>
  <c r="Q320" i="3"/>
  <c r="Q341" i="3"/>
  <c r="Q299" i="3"/>
  <c r="T323" i="3"/>
  <c r="T344" i="3"/>
  <c r="T302" i="3"/>
  <c r="AY104" i="2"/>
  <c r="X275" i="3" s="1"/>
  <c r="U284" i="3"/>
  <c r="U326" i="3"/>
  <c r="U305" i="3"/>
  <c r="U250" i="3"/>
  <c r="U292" i="3"/>
  <c r="U334" i="3"/>
  <c r="U313" i="3"/>
  <c r="S218" i="3"/>
  <c r="S344" i="3"/>
  <c r="S323" i="3"/>
  <c r="S302" i="3"/>
  <c r="W242" i="3"/>
  <c r="W326" i="3"/>
  <c r="W305" i="3"/>
  <c r="W284" i="3"/>
  <c r="Q307" i="3"/>
  <c r="Q328" i="3"/>
  <c r="Q286" i="3"/>
  <c r="V333" i="3"/>
  <c r="V312" i="3"/>
  <c r="V291" i="3"/>
  <c r="V234" i="3"/>
  <c r="V318" i="3"/>
  <c r="V297" i="3"/>
  <c r="V339" i="3"/>
  <c r="V206" i="3"/>
  <c r="U240" i="3"/>
  <c r="U303" i="3"/>
  <c r="U324" i="3"/>
  <c r="U282" i="3"/>
  <c r="W306" i="3"/>
  <c r="W327" i="3"/>
  <c r="W285" i="3"/>
  <c r="S310" i="3"/>
  <c r="S289" i="3"/>
  <c r="S331" i="3"/>
  <c r="V313" i="3"/>
  <c r="V334" i="3"/>
  <c r="V292" i="3"/>
  <c r="R317" i="3"/>
  <c r="R338" i="3"/>
  <c r="R296" i="3"/>
  <c r="U320" i="3"/>
  <c r="U341" i="3"/>
  <c r="U299" i="3"/>
  <c r="S286" i="3"/>
  <c r="S307" i="3"/>
  <c r="S328" i="3"/>
  <c r="S315" i="3"/>
  <c r="S294" i="3"/>
  <c r="S336" i="3"/>
  <c r="W302" i="3"/>
  <c r="W344" i="3"/>
  <c r="W323" i="3"/>
  <c r="T291" i="3"/>
  <c r="T333" i="3"/>
  <c r="T312" i="3"/>
  <c r="T334" i="3"/>
  <c r="T292" i="3"/>
  <c r="T313" i="3"/>
  <c r="V344" i="3"/>
  <c r="V302" i="3"/>
  <c r="V323" i="3"/>
  <c r="W313" i="3"/>
  <c r="W334" i="3"/>
  <c r="W292" i="3"/>
  <c r="R329" i="3"/>
  <c r="R287" i="3"/>
  <c r="R308" i="3"/>
  <c r="Q313" i="3"/>
  <c r="Q334" i="3"/>
  <c r="Q292" i="3"/>
  <c r="Q319" i="3"/>
  <c r="Q298" i="3"/>
  <c r="Q340" i="3"/>
  <c r="W282" i="3"/>
  <c r="W303" i="3"/>
  <c r="W324" i="3"/>
  <c r="R307" i="3"/>
  <c r="R328" i="3"/>
  <c r="R286" i="3"/>
  <c r="U310" i="3"/>
  <c r="U331" i="3"/>
  <c r="U289" i="3"/>
  <c r="T338" i="3"/>
  <c r="T296" i="3"/>
  <c r="T317" i="3"/>
  <c r="W341" i="3"/>
  <c r="W299" i="3"/>
  <c r="W320" i="3"/>
  <c r="V301" i="3"/>
  <c r="V343" i="3"/>
  <c r="V322" i="3"/>
  <c r="S298" i="3"/>
  <c r="S319" i="3"/>
  <c r="S340" i="3"/>
  <c r="U307" i="3"/>
  <c r="U328" i="3"/>
  <c r="U286" i="3"/>
  <c r="U315" i="3"/>
  <c r="U294" i="3"/>
  <c r="U336" i="3"/>
  <c r="V243" i="3"/>
  <c r="V285" i="3"/>
  <c r="V306" i="3"/>
  <c r="V327" i="3"/>
  <c r="U327" i="3"/>
  <c r="U285" i="3"/>
  <c r="U306" i="3"/>
  <c r="S341" i="3"/>
  <c r="S299" i="3"/>
  <c r="S320" i="3"/>
  <c r="U344" i="3"/>
  <c r="U302" i="3"/>
  <c r="U323" i="3"/>
  <c r="U260" i="3"/>
  <c r="R324" i="3"/>
  <c r="R282" i="3"/>
  <c r="R303" i="3"/>
  <c r="T224" i="3"/>
  <c r="T308" i="3"/>
  <c r="T287" i="3"/>
  <c r="T329" i="3"/>
  <c r="R293" i="3"/>
  <c r="R314" i="3"/>
  <c r="R335" i="3"/>
  <c r="U219" i="3"/>
  <c r="T244" i="3"/>
  <c r="T286" i="3"/>
  <c r="T328" i="3"/>
  <c r="T307" i="3"/>
  <c r="W289" i="3"/>
  <c r="W331" i="3"/>
  <c r="W310" i="3"/>
  <c r="S293" i="3"/>
  <c r="S335" i="3"/>
  <c r="S314" i="3"/>
  <c r="V233" i="3"/>
  <c r="V296" i="3"/>
  <c r="V338" i="3"/>
  <c r="V317" i="3"/>
  <c r="W307" i="3"/>
  <c r="W286" i="3"/>
  <c r="W328" i="3"/>
  <c r="W294" i="3"/>
  <c r="W315" i="3"/>
  <c r="W336" i="3"/>
  <c r="S282" i="3"/>
  <c r="S303" i="3"/>
  <c r="S324" i="3"/>
  <c r="U239" i="3"/>
  <c r="T303" i="3"/>
  <c r="T282" i="3"/>
  <c r="T324" i="3"/>
  <c r="V308" i="3"/>
  <c r="V287" i="3"/>
  <c r="V329" i="3"/>
  <c r="T293" i="3"/>
  <c r="T314" i="3"/>
  <c r="T335" i="3"/>
  <c r="W233" i="3"/>
  <c r="U198" i="3"/>
  <c r="S304" i="3"/>
  <c r="S283" i="3"/>
  <c r="S325" i="3"/>
  <c r="V223" i="3"/>
  <c r="V286" i="3"/>
  <c r="V328" i="3"/>
  <c r="V307" i="3"/>
  <c r="R290" i="3"/>
  <c r="R311" i="3"/>
  <c r="R332" i="3"/>
  <c r="U293" i="3"/>
  <c r="U314" i="3"/>
  <c r="U335" i="3"/>
  <c r="T300" i="3"/>
  <c r="T342" i="3"/>
  <c r="T321" i="3"/>
  <c r="Q300" i="3"/>
  <c r="Q321" i="3"/>
  <c r="Q342" i="3"/>
  <c r="S330" i="3"/>
  <c r="S309" i="3"/>
  <c r="S288" i="3"/>
  <c r="S317" i="3"/>
  <c r="S338" i="3"/>
  <c r="S296" i="3"/>
  <c r="T339" i="3"/>
  <c r="T297" i="3"/>
  <c r="T318" i="3"/>
  <c r="W337" i="3"/>
  <c r="W295" i="3"/>
  <c r="W316" i="3"/>
  <c r="V282" i="3"/>
  <c r="V303" i="3"/>
  <c r="V324" i="3"/>
  <c r="Q246" i="3"/>
  <c r="Q288" i="3"/>
  <c r="Q330" i="3"/>
  <c r="Q309" i="3"/>
  <c r="V335" i="3"/>
  <c r="V314" i="3"/>
  <c r="V293" i="3"/>
  <c r="T299" i="3"/>
  <c r="T341" i="3"/>
  <c r="T320" i="3"/>
  <c r="U325" i="3"/>
  <c r="U283" i="3"/>
  <c r="U304" i="3"/>
  <c r="T332" i="3"/>
  <c r="T290" i="3"/>
  <c r="T311" i="3"/>
  <c r="W314" i="3"/>
  <c r="W293" i="3"/>
  <c r="W335" i="3"/>
  <c r="S339" i="3"/>
  <c r="S297" i="3"/>
  <c r="S318" i="3"/>
  <c r="V342" i="3"/>
  <c r="V300" i="3"/>
  <c r="V321" i="3"/>
  <c r="S342" i="3"/>
  <c r="S300" i="3"/>
  <c r="S321" i="3"/>
  <c r="U309" i="3"/>
  <c r="U288" i="3"/>
  <c r="U330" i="3"/>
  <c r="U296" i="3"/>
  <c r="U338" i="3"/>
  <c r="U317" i="3"/>
  <c r="U339" i="3"/>
  <c r="U297" i="3"/>
  <c r="U318" i="3"/>
  <c r="W225" i="3"/>
  <c r="W330" i="3"/>
  <c r="W288" i="3"/>
  <c r="W309" i="3"/>
  <c r="W338" i="3"/>
  <c r="W296" i="3"/>
  <c r="W317" i="3"/>
  <c r="T199" i="3"/>
  <c r="T304" i="3"/>
  <c r="T325" i="3"/>
  <c r="T283" i="3"/>
  <c r="R289" i="3"/>
  <c r="R310" i="3"/>
  <c r="R331" i="3"/>
  <c r="AY102" i="2"/>
  <c r="X273" i="3" s="1"/>
  <c r="T322" i="3"/>
  <c r="T343" i="3"/>
  <c r="T301" i="3"/>
  <c r="R305" i="3"/>
  <c r="R284" i="3"/>
  <c r="R326" i="3"/>
  <c r="U308" i="3"/>
  <c r="U287" i="3"/>
  <c r="U329" i="3"/>
  <c r="T315" i="3"/>
  <c r="T336" i="3"/>
  <c r="T294" i="3"/>
  <c r="W318" i="3"/>
  <c r="W297" i="3"/>
  <c r="W339" i="3"/>
  <c r="S322" i="3"/>
  <c r="S301" i="3"/>
  <c r="S343" i="3"/>
  <c r="S242" i="3"/>
  <c r="S305" i="3"/>
  <c r="S284" i="3"/>
  <c r="S326" i="3"/>
  <c r="S311" i="3"/>
  <c r="S332" i="3"/>
  <c r="S290" i="3"/>
  <c r="U340" i="3"/>
  <c r="U319" i="3"/>
  <c r="U298" i="3"/>
  <c r="Q336" i="3"/>
  <c r="Q315" i="3"/>
  <c r="Q294" i="3"/>
  <c r="S329" i="3"/>
  <c r="S287" i="3"/>
  <c r="S308" i="3"/>
  <c r="Q343" i="3"/>
  <c r="Q301" i="3"/>
  <c r="Q322" i="3"/>
  <c r="V260" i="3"/>
  <c r="V325" i="3"/>
  <c r="V283" i="3"/>
  <c r="V304" i="3"/>
  <c r="T310" i="3"/>
  <c r="T331" i="3"/>
  <c r="T289" i="3"/>
  <c r="R295" i="3"/>
  <c r="R316" i="3"/>
  <c r="R337" i="3"/>
  <c r="Q344" i="3"/>
  <c r="Q323" i="3"/>
  <c r="Q302" i="3"/>
  <c r="T284" i="3"/>
  <c r="T326" i="3"/>
  <c r="T305" i="3"/>
  <c r="W287" i="3"/>
  <c r="W308" i="3"/>
  <c r="W329" i="3"/>
  <c r="S291" i="3"/>
  <c r="S333" i="3"/>
  <c r="S312" i="3"/>
  <c r="V336" i="3"/>
  <c r="V294" i="3"/>
  <c r="V315" i="3"/>
  <c r="R340" i="3"/>
  <c r="R298" i="3"/>
  <c r="R319" i="3"/>
  <c r="U343" i="3"/>
  <c r="U301" i="3"/>
  <c r="U322" i="3"/>
  <c r="U332" i="3"/>
  <c r="U290" i="3"/>
  <c r="U311" i="3"/>
  <c r="W340" i="3"/>
  <c r="W319" i="3"/>
  <c r="W298" i="3"/>
  <c r="V320" i="3"/>
  <c r="V341" i="3"/>
  <c r="V299" i="3"/>
  <c r="W325" i="3"/>
  <c r="W283" i="3"/>
  <c r="W304" i="3"/>
  <c r="S198" i="3"/>
  <c r="V289" i="3"/>
  <c r="V331" i="3"/>
  <c r="V310" i="3"/>
  <c r="T253" i="3"/>
  <c r="T337" i="3"/>
  <c r="T316" i="3"/>
  <c r="T295" i="3"/>
  <c r="U218" i="3"/>
  <c r="V221" i="3"/>
  <c r="V284" i="3"/>
  <c r="V326" i="3"/>
  <c r="V305" i="3"/>
  <c r="R288" i="3"/>
  <c r="R330" i="3"/>
  <c r="R309" i="3"/>
  <c r="U291" i="3"/>
  <c r="U333" i="3"/>
  <c r="U312" i="3"/>
  <c r="T298" i="3"/>
  <c r="T340" i="3"/>
  <c r="T319" i="3"/>
  <c r="W301" i="3"/>
  <c r="W343" i="3"/>
  <c r="W322" i="3"/>
  <c r="W311" i="3"/>
  <c r="W290" i="3"/>
  <c r="W332" i="3"/>
  <c r="U342" i="3"/>
  <c r="U321" i="3"/>
  <c r="U300" i="3"/>
  <c r="R283" i="3"/>
  <c r="R304" i="3"/>
  <c r="R325" i="3"/>
  <c r="V332" i="3"/>
  <c r="V290" i="3"/>
  <c r="V311" i="3"/>
  <c r="T228" i="3"/>
  <c r="R306" i="3"/>
  <c r="R285" i="3"/>
  <c r="R327" i="3"/>
  <c r="Q290" i="3"/>
  <c r="Q311" i="3"/>
  <c r="Q332" i="3"/>
  <c r="V337" i="3"/>
  <c r="V295" i="3"/>
  <c r="V316" i="3"/>
  <c r="T309" i="3"/>
  <c r="T288" i="3"/>
  <c r="T330" i="3"/>
  <c r="W312" i="3"/>
  <c r="W291" i="3"/>
  <c r="W333" i="3"/>
  <c r="S316" i="3"/>
  <c r="S295" i="3"/>
  <c r="S337" i="3"/>
  <c r="V340" i="3"/>
  <c r="V319" i="3"/>
  <c r="V298" i="3"/>
  <c r="R323" i="3"/>
  <c r="R344" i="3"/>
  <c r="R302" i="3"/>
  <c r="S334" i="3"/>
  <c r="S313" i="3"/>
  <c r="S292" i="3"/>
  <c r="W342" i="3"/>
  <c r="W300" i="3"/>
  <c r="W321" i="3"/>
  <c r="S200" i="3"/>
  <c r="V222" i="3"/>
  <c r="V201" i="3"/>
  <c r="T241" i="3"/>
  <c r="T223" i="3"/>
  <c r="U200" i="3"/>
  <c r="Q275" i="3"/>
  <c r="W24" i="7"/>
  <c r="W31" i="7"/>
  <c r="W37" i="7"/>
  <c r="U242" i="3"/>
  <c r="X31" i="7"/>
  <c r="X24" i="7"/>
  <c r="X37" i="7"/>
  <c r="V212" i="3"/>
  <c r="AY100" i="2"/>
  <c r="X271" i="3" s="1"/>
  <c r="V254" i="3"/>
  <c r="AY98" i="2"/>
  <c r="X269" i="3" s="1"/>
  <c r="W221" i="3"/>
  <c r="V255" i="3"/>
  <c r="T232" i="3"/>
  <c r="W200" i="3"/>
  <c r="U221" i="3"/>
  <c r="T211" i="3"/>
  <c r="AY94" i="2"/>
  <c r="X265" i="3" s="1"/>
  <c r="AY110" i="2"/>
  <c r="X281" i="3" s="1"/>
  <c r="X260" i="3" s="1"/>
  <c r="V202" i="3"/>
  <c r="S239" i="3"/>
  <c r="W229" i="3"/>
  <c r="U229" i="3"/>
  <c r="AY92" i="2"/>
  <c r="X263" i="3" s="1"/>
  <c r="W208" i="3"/>
  <c r="U208" i="3"/>
  <c r="T220" i="3"/>
  <c r="W250" i="3"/>
  <c r="T219" i="3"/>
  <c r="Q218" i="3"/>
  <c r="S240" i="3"/>
  <c r="W240" i="3"/>
  <c r="T221" i="3"/>
  <c r="V244" i="3"/>
  <c r="T225" i="3"/>
  <c r="V248" i="3"/>
  <c r="T229" i="3"/>
  <c r="V252" i="3"/>
  <c r="T233" i="3"/>
  <c r="V235" i="3"/>
  <c r="U238" i="3"/>
  <c r="R239" i="3"/>
  <c r="V239" i="3"/>
  <c r="W258" i="3"/>
  <c r="V219" i="3"/>
  <c r="S260" i="3"/>
  <c r="W260" i="3"/>
  <c r="T212" i="3"/>
  <c r="T208" i="3"/>
  <c r="T204" i="3"/>
  <c r="T200" i="3"/>
  <c r="T198" i="3"/>
  <c r="V217" i="3"/>
  <c r="V214" i="3"/>
  <c r="V218" i="3"/>
  <c r="R218" i="3"/>
  <c r="U217" i="3"/>
  <c r="W219" i="3"/>
  <c r="S219" i="3"/>
  <c r="V259" i="3"/>
  <c r="R251" i="3"/>
  <c r="R209" i="3"/>
  <c r="R230" i="3"/>
  <c r="R125" i="3"/>
  <c r="R167" i="3"/>
  <c r="R146" i="3"/>
  <c r="R243" i="3"/>
  <c r="R201" i="3"/>
  <c r="R222" i="3"/>
  <c r="R117" i="3"/>
  <c r="R159" i="3"/>
  <c r="R138" i="3"/>
  <c r="AY107" i="2"/>
  <c r="X278" i="3" s="1"/>
  <c r="R278" i="3"/>
  <c r="X134" i="3"/>
  <c r="X176" i="3"/>
  <c r="V198" i="3"/>
  <c r="V236" i="3"/>
  <c r="V257" i="3"/>
  <c r="Q235" i="3"/>
  <c r="Q256" i="3"/>
  <c r="T213" i="3"/>
  <c r="V211" i="3"/>
  <c r="R253" i="3"/>
  <c r="R211" i="3"/>
  <c r="R232" i="3"/>
  <c r="R169" i="3"/>
  <c r="R148" i="3"/>
  <c r="R127" i="3"/>
  <c r="Q210" i="3"/>
  <c r="T230" i="3"/>
  <c r="T251" i="3"/>
  <c r="V228" i="3"/>
  <c r="V249" i="3"/>
  <c r="Q227" i="3"/>
  <c r="Q248" i="3"/>
  <c r="T205" i="3"/>
  <c r="V203" i="3"/>
  <c r="R245" i="3"/>
  <c r="R203" i="3"/>
  <c r="R224" i="3"/>
  <c r="R161" i="3"/>
  <c r="R140" i="3"/>
  <c r="R119" i="3"/>
  <c r="Q202" i="3"/>
  <c r="T222" i="3"/>
  <c r="T243" i="3"/>
  <c r="V220" i="3"/>
  <c r="V241" i="3"/>
  <c r="S220" i="3"/>
  <c r="S199" i="3"/>
  <c r="S241" i="3"/>
  <c r="W220" i="3"/>
  <c r="W199" i="3"/>
  <c r="W241" i="3"/>
  <c r="AY93" i="2"/>
  <c r="X264" i="3" s="1"/>
  <c r="Q264" i="3"/>
  <c r="U243" i="3"/>
  <c r="U222" i="3"/>
  <c r="U201" i="3"/>
  <c r="S224" i="3"/>
  <c r="S203" i="3"/>
  <c r="S245" i="3"/>
  <c r="W224" i="3"/>
  <c r="W203" i="3"/>
  <c r="W245" i="3"/>
  <c r="AY97" i="2"/>
  <c r="X268" i="3" s="1"/>
  <c r="Q268" i="3"/>
  <c r="U247" i="3"/>
  <c r="U226" i="3"/>
  <c r="U205" i="3"/>
  <c r="S228" i="3"/>
  <c r="S207" i="3"/>
  <c r="S249" i="3"/>
  <c r="W228" i="3"/>
  <c r="W207" i="3"/>
  <c r="W249" i="3"/>
  <c r="AY101" i="2"/>
  <c r="X272" i="3" s="1"/>
  <c r="Q272" i="3"/>
  <c r="U251" i="3"/>
  <c r="U230" i="3"/>
  <c r="U209" i="3"/>
  <c r="S232" i="3"/>
  <c r="S211" i="3"/>
  <c r="S253" i="3"/>
  <c r="W253" i="3"/>
  <c r="W232" i="3"/>
  <c r="W211" i="3"/>
  <c r="AY105" i="2"/>
  <c r="X276" i="3" s="1"/>
  <c r="Q276" i="3"/>
  <c r="U234" i="3"/>
  <c r="U213" i="3"/>
  <c r="U255" i="3"/>
  <c r="S257" i="3"/>
  <c r="S236" i="3"/>
  <c r="S215" i="3"/>
  <c r="W236" i="3"/>
  <c r="W215" i="3"/>
  <c r="W257" i="3"/>
  <c r="T258" i="3"/>
  <c r="T237" i="3"/>
  <c r="T216" i="3"/>
  <c r="R233" i="3"/>
  <c r="R254" i="3"/>
  <c r="R212" i="3"/>
  <c r="R149" i="3"/>
  <c r="X149" i="3" s="1"/>
  <c r="R170" i="3"/>
  <c r="X170" i="3" s="1"/>
  <c r="R128" i="3"/>
  <c r="Q238" i="3"/>
  <c r="Q259" i="3"/>
  <c r="Q217" i="3"/>
  <c r="Q154" i="3"/>
  <c r="Q175" i="3"/>
  <c r="Q133" i="3"/>
  <c r="Q258" i="3"/>
  <c r="Q216" i="3"/>
  <c r="Q237" i="3"/>
  <c r="Q153" i="3"/>
  <c r="Q132" i="3"/>
  <c r="Q174" i="3"/>
  <c r="R255" i="3"/>
  <c r="R213" i="3"/>
  <c r="R234" i="3"/>
  <c r="R129" i="3"/>
  <c r="R171" i="3"/>
  <c r="R150" i="3"/>
  <c r="R247" i="3"/>
  <c r="R205" i="3"/>
  <c r="R226" i="3"/>
  <c r="R121" i="3"/>
  <c r="R163" i="3"/>
  <c r="R142" i="3"/>
  <c r="X155" i="3"/>
  <c r="Q239" i="3"/>
  <c r="Q260" i="3"/>
  <c r="R231" i="3"/>
  <c r="R252" i="3"/>
  <c r="R210" i="3"/>
  <c r="R147" i="3"/>
  <c r="X147" i="3" s="1"/>
  <c r="R168" i="3"/>
  <c r="X168" i="3" s="1"/>
  <c r="R126" i="3"/>
  <c r="X126" i="3" s="1"/>
  <c r="R229" i="3"/>
  <c r="R250" i="3"/>
  <c r="R208" i="3"/>
  <c r="R166" i="3"/>
  <c r="R124" i="3"/>
  <c r="R145" i="3"/>
  <c r="R227" i="3"/>
  <c r="R248" i="3"/>
  <c r="R206" i="3"/>
  <c r="R164" i="3"/>
  <c r="R122" i="3"/>
  <c r="X122" i="3" s="1"/>
  <c r="R143" i="3"/>
  <c r="R225" i="3"/>
  <c r="R246" i="3"/>
  <c r="R204" i="3"/>
  <c r="R141" i="3"/>
  <c r="X141" i="3" s="1"/>
  <c r="R162" i="3"/>
  <c r="X162" i="3" s="1"/>
  <c r="R120" i="3"/>
  <c r="X120" i="3" s="1"/>
  <c r="R223" i="3"/>
  <c r="R244" i="3"/>
  <c r="R202" i="3"/>
  <c r="R139" i="3"/>
  <c r="R160" i="3"/>
  <c r="X160" i="3" s="1"/>
  <c r="R118" i="3"/>
  <c r="X118" i="3" s="1"/>
  <c r="R221" i="3"/>
  <c r="R242" i="3"/>
  <c r="R200" i="3"/>
  <c r="R158" i="3"/>
  <c r="R116" i="3"/>
  <c r="R137" i="3"/>
  <c r="X137" i="3" s="1"/>
  <c r="V240" i="3"/>
  <c r="R219" i="3"/>
  <c r="R240" i="3"/>
  <c r="R198" i="3"/>
  <c r="R156" i="3"/>
  <c r="R114" i="3"/>
  <c r="X114" i="3" s="1"/>
  <c r="R135" i="3"/>
  <c r="R235" i="3"/>
  <c r="R256" i="3"/>
  <c r="R214" i="3"/>
  <c r="R172" i="3"/>
  <c r="X172" i="3" s="1"/>
  <c r="R130" i="3"/>
  <c r="R151" i="3"/>
  <c r="X151" i="3" s="1"/>
  <c r="V215" i="3"/>
  <c r="R215" i="3"/>
  <c r="R173" i="3"/>
  <c r="R152" i="3"/>
  <c r="R131" i="3"/>
  <c r="Q214" i="3"/>
  <c r="T234" i="3"/>
  <c r="T255" i="3"/>
  <c r="V232" i="3"/>
  <c r="V253" i="3"/>
  <c r="Q231" i="3"/>
  <c r="Q252" i="3"/>
  <c r="T209" i="3"/>
  <c r="V207" i="3"/>
  <c r="R249" i="3"/>
  <c r="R207" i="3"/>
  <c r="R228" i="3"/>
  <c r="R165" i="3"/>
  <c r="R144" i="3"/>
  <c r="R123" i="3"/>
  <c r="Q206" i="3"/>
  <c r="T226" i="3"/>
  <c r="T247" i="3"/>
  <c r="V224" i="3"/>
  <c r="V245" i="3"/>
  <c r="Q223" i="3"/>
  <c r="Q244" i="3"/>
  <c r="T201" i="3"/>
  <c r="V199" i="3"/>
  <c r="R241" i="3"/>
  <c r="R199" i="3"/>
  <c r="R220" i="3"/>
  <c r="R115" i="3"/>
  <c r="R157" i="3"/>
  <c r="R136" i="3"/>
  <c r="AY90" i="2"/>
  <c r="X261" i="3" s="1"/>
  <c r="Q261" i="3"/>
  <c r="AY91" i="2"/>
  <c r="X262" i="3" s="1"/>
  <c r="Q262" i="3"/>
  <c r="U241" i="3"/>
  <c r="U220" i="3"/>
  <c r="U199" i="3"/>
  <c r="S222" i="3"/>
  <c r="S201" i="3"/>
  <c r="S243" i="3"/>
  <c r="W222" i="3"/>
  <c r="W201" i="3"/>
  <c r="W243" i="3"/>
  <c r="AY95" i="2"/>
  <c r="X266" i="3" s="1"/>
  <c r="Q266" i="3"/>
  <c r="U245" i="3"/>
  <c r="U224" i="3"/>
  <c r="U203" i="3"/>
  <c r="S226" i="3"/>
  <c r="S205" i="3"/>
  <c r="S247" i="3"/>
  <c r="W226" i="3"/>
  <c r="W205" i="3"/>
  <c r="W247" i="3"/>
  <c r="AY99" i="2"/>
  <c r="X270" i="3" s="1"/>
  <c r="Q270" i="3"/>
  <c r="U249" i="3"/>
  <c r="U228" i="3"/>
  <c r="U207" i="3"/>
  <c r="S230" i="3"/>
  <c r="S209" i="3"/>
  <c r="S251" i="3"/>
  <c r="W230" i="3"/>
  <c r="W209" i="3"/>
  <c r="W251" i="3"/>
  <c r="AY103" i="2"/>
  <c r="X274" i="3" s="1"/>
  <c r="Q274" i="3"/>
  <c r="U253" i="3"/>
  <c r="U232" i="3"/>
  <c r="U211" i="3"/>
  <c r="S255" i="3"/>
  <c r="S234" i="3"/>
  <c r="S213" i="3"/>
  <c r="W234" i="3"/>
  <c r="W213" i="3"/>
  <c r="W255" i="3"/>
  <c r="Q236" i="3"/>
  <c r="Q215" i="3"/>
  <c r="Q257" i="3"/>
  <c r="U236" i="3"/>
  <c r="U215" i="3"/>
  <c r="U257" i="3"/>
  <c r="AY108" i="2"/>
  <c r="X279" i="3" s="1"/>
  <c r="R279" i="3"/>
  <c r="V258" i="3"/>
  <c r="V237" i="3"/>
  <c r="V216" i="3"/>
  <c r="AY109" i="2"/>
  <c r="X280" i="3" s="1"/>
  <c r="R280" i="3"/>
  <c r="AO93" i="2"/>
  <c r="F87" i="5"/>
  <c r="G87" i="5" s="1"/>
  <c r="J9" i="5" s="1"/>
  <c r="E87" i="4"/>
  <c r="AO97" i="2"/>
  <c r="F91" i="5"/>
  <c r="G91" i="5" s="1"/>
  <c r="J13" i="5" s="1"/>
  <c r="E91" i="4"/>
  <c r="AO101" i="2"/>
  <c r="F95" i="5"/>
  <c r="G95" i="5" s="1"/>
  <c r="J17" i="5" s="1"/>
  <c r="E95" i="4"/>
  <c r="AO105" i="2"/>
  <c r="F99" i="5"/>
  <c r="G99" i="5" s="1"/>
  <c r="J21" i="5" s="1"/>
  <c r="E99" i="4"/>
  <c r="AO109" i="2"/>
  <c r="F103" i="5"/>
  <c r="G103" i="5" s="1"/>
  <c r="J25" i="5" s="1"/>
  <c r="E103" i="4"/>
  <c r="AO94" i="2"/>
  <c r="E88" i="4"/>
  <c r="F88" i="5"/>
  <c r="G88" i="5" s="1"/>
  <c r="J10" i="5" s="1"/>
  <c r="AO98" i="2"/>
  <c r="E92" i="4"/>
  <c r="F92" i="5"/>
  <c r="G92" i="5" s="1"/>
  <c r="J14" i="5" s="1"/>
  <c r="AO102" i="2"/>
  <c r="E96" i="4"/>
  <c r="F96" i="5"/>
  <c r="G96" i="5" s="1"/>
  <c r="J18" i="5" s="1"/>
  <c r="AO106" i="2"/>
  <c r="E100" i="4"/>
  <c r="F100" i="5"/>
  <c r="G100" i="5" s="1"/>
  <c r="J22" i="5" s="1"/>
  <c r="AO110" i="2"/>
  <c r="E104" i="4"/>
  <c r="F104" i="5"/>
  <c r="G104" i="5" s="1"/>
  <c r="J26" i="5" s="1"/>
  <c r="F84" i="5"/>
  <c r="G84" i="5" s="1"/>
  <c r="J6" i="5" s="1"/>
  <c r="E84" i="4"/>
  <c r="AO91" i="2"/>
  <c r="F85" i="5"/>
  <c r="G85" i="5" s="1"/>
  <c r="J7" i="5" s="1"/>
  <c r="E85" i="4"/>
  <c r="AO95" i="2"/>
  <c r="F89" i="5"/>
  <c r="G89" i="5" s="1"/>
  <c r="J11" i="5" s="1"/>
  <c r="E89" i="4"/>
  <c r="AO99" i="2"/>
  <c r="F93" i="5"/>
  <c r="G93" i="5" s="1"/>
  <c r="J15" i="5" s="1"/>
  <c r="E93" i="4"/>
  <c r="AO103" i="2"/>
  <c r="F97" i="5"/>
  <c r="G97" i="5" s="1"/>
  <c r="J19" i="5" s="1"/>
  <c r="E97" i="4"/>
  <c r="AO107" i="2"/>
  <c r="F101" i="5"/>
  <c r="G101" i="5" s="1"/>
  <c r="J23" i="5" s="1"/>
  <c r="E101" i="4"/>
  <c r="AO92" i="2"/>
  <c r="E86" i="4"/>
  <c r="F86" i="5"/>
  <c r="G86" i="5" s="1"/>
  <c r="J8" i="5" s="1"/>
  <c r="AO96" i="2"/>
  <c r="E90" i="4"/>
  <c r="F90" i="5"/>
  <c r="G90" i="5" s="1"/>
  <c r="J12" i="5" s="1"/>
  <c r="AO100" i="2"/>
  <c r="E94" i="4"/>
  <c r="F94" i="5"/>
  <c r="G94" i="5" s="1"/>
  <c r="J16" i="5" s="1"/>
  <c r="AO104" i="2"/>
  <c r="E98" i="4"/>
  <c r="F98" i="5"/>
  <c r="G98" i="5" s="1"/>
  <c r="J20" i="5" s="1"/>
  <c r="AO108" i="2"/>
  <c r="E102" i="4"/>
  <c r="F102" i="5"/>
  <c r="G102" i="5" s="1"/>
  <c r="J24" i="5" s="1"/>
  <c r="AN112" i="2"/>
  <c r="AO90" i="2"/>
  <c r="X246" i="3" l="1"/>
  <c r="X204" i="3"/>
  <c r="X313" i="3"/>
  <c r="X334" i="3"/>
  <c r="R322" i="3"/>
  <c r="R301" i="3"/>
  <c r="X301" i="3" s="1"/>
  <c r="R343" i="3"/>
  <c r="X343" i="3" s="1"/>
  <c r="R341" i="3"/>
  <c r="X341" i="3" s="1"/>
  <c r="R299" i="3"/>
  <c r="X299" i="3" s="1"/>
  <c r="R320" i="3"/>
  <c r="X320" i="3" s="1"/>
  <c r="X322" i="3"/>
  <c r="X344" i="3"/>
  <c r="X309" i="3"/>
  <c r="Q338" i="3"/>
  <c r="X338" i="3" s="1"/>
  <c r="Q296" i="3"/>
  <c r="Q317" i="3"/>
  <c r="X317" i="3" s="1"/>
  <c r="X330" i="3"/>
  <c r="X302" i="3"/>
  <c r="X288" i="3"/>
  <c r="X296" i="3"/>
  <c r="X286" i="3"/>
  <c r="R300" i="3"/>
  <c r="X300" i="3" s="1"/>
  <c r="R342" i="3"/>
  <c r="X342" i="3" s="1"/>
  <c r="R321" i="3"/>
  <c r="X321" i="3" s="1"/>
  <c r="Q306" i="3"/>
  <c r="X306" i="3" s="1"/>
  <c r="Q285" i="3"/>
  <c r="X285" i="3" s="1"/>
  <c r="Q327" i="3"/>
  <c r="X327" i="3" s="1"/>
  <c r="X328" i="3"/>
  <c r="Q331" i="3"/>
  <c r="X331" i="3" s="1"/>
  <c r="Q289" i="3"/>
  <c r="X289" i="3" s="1"/>
  <c r="Q310" i="3"/>
  <c r="X310" i="3" s="1"/>
  <c r="X323" i="3"/>
  <c r="X307" i="3"/>
  <c r="X294" i="3"/>
  <c r="X311" i="3"/>
  <c r="X340" i="3"/>
  <c r="Q283" i="3"/>
  <c r="X283" i="3" s="1"/>
  <c r="Q325" i="3"/>
  <c r="X325" i="3" s="1"/>
  <c r="Q304" i="3"/>
  <c r="X304" i="3" s="1"/>
  <c r="Q329" i="3"/>
  <c r="X329" i="3" s="1"/>
  <c r="Q287" i="3"/>
  <c r="X287" i="3" s="1"/>
  <c r="Q308" i="3"/>
  <c r="X308" i="3" s="1"/>
  <c r="Q297" i="3"/>
  <c r="X297" i="3" s="1"/>
  <c r="Q318" i="3"/>
  <c r="X318" i="3" s="1"/>
  <c r="Q339" i="3"/>
  <c r="X339" i="3" s="1"/>
  <c r="X315" i="3"/>
  <c r="X290" i="3"/>
  <c r="X298" i="3"/>
  <c r="X326" i="3"/>
  <c r="Q312" i="3"/>
  <c r="X312" i="3" s="1"/>
  <c r="Q291" i="3"/>
  <c r="X291" i="3" s="1"/>
  <c r="Q333" i="3"/>
  <c r="X333" i="3" s="1"/>
  <c r="Q324" i="3"/>
  <c r="X324" i="3" s="1"/>
  <c r="Q282" i="3"/>
  <c r="X282" i="3" s="1"/>
  <c r="Q303" i="3"/>
  <c r="X303" i="3" s="1"/>
  <c r="X336" i="3"/>
  <c r="X284" i="3"/>
  <c r="X319" i="3"/>
  <c r="Q335" i="3"/>
  <c r="X335" i="3" s="1"/>
  <c r="Q293" i="3"/>
  <c r="X293" i="3" s="1"/>
  <c r="Q314" i="3"/>
  <c r="X314" i="3" s="1"/>
  <c r="Q295" i="3"/>
  <c r="X295" i="3" s="1"/>
  <c r="Q337" i="3"/>
  <c r="X337" i="3" s="1"/>
  <c r="Q316" i="3"/>
  <c r="X316" i="3" s="1"/>
  <c r="X332" i="3"/>
  <c r="X305" i="3"/>
  <c r="X292" i="3"/>
  <c r="X218" i="3"/>
  <c r="X225" i="3"/>
  <c r="Q233" i="3"/>
  <c r="X233" i="3" s="1"/>
  <c r="Q254" i="3"/>
  <c r="X254" i="3" s="1"/>
  <c r="Q212" i="3"/>
  <c r="X212" i="3" s="1"/>
  <c r="R257" i="3"/>
  <c r="X257" i="3" s="1"/>
  <c r="X130" i="3"/>
  <c r="X139" i="3"/>
  <c r="X164" i="3"/>
  <c r="X128" i="3"/>
  <c r="R236" i="3"/>
  <c r="X236" i="3" s="1"/>
  <c r="R259" i="3"/>
  <c r="X259" i="3" s="1"/>
  <c r="R238" i="3"/>
  <c r="R217" i="3"/>
  <c r="X217" i="3" s="1"/>
  <c r="Q228" i="3"/>
  <c r="Q207" i="3"/>
  <c r="Q249" i="3"/>
  <c r="Q220" i="3"/>
  <c r="Q199" i="3"/>
  <c r="Q241" i="3"/>
  <c r="Q240" i="3"/>
  <c r="Q219" i="3"/>
  <c r="Q198" i="3"/>
  <c r="X136" i="3"/>
  <c r="X115" i="3"/>
  <c r="X244" i="3"/>
  <c r="X144" i="3"/>
  <c r="X231" i="3"/>
  <c r="X214" i="3"/>
  <c r="X131" i="3"/>
  <c r="X173" i="3"/>
  <c r="X158" i="3"/>
  <c r="X200" i="3"/>
  <c r="X163" i="3"/>
  <c r="X250" i="3"/>
  <c r="X229" i="3"/>
  <c r="X166" i="3"/>
  <c r="X171" i="3"/>
  <c r="X132" i="3"/>
  <c r="X133" i="3"/>
  <c r="X154" i="3"/>
  <c r="X156" i="3"/>
  <c r="X116" i="3"/>
  <c r="Q234" i="3"/>
  <c r="Q213" i="3"/>
  <c r="Q255" i="3"/>
  <c r="Q226" i="3"/>
  <c r="Q205" i="3"/>
  <c r="Q247" i="3"/>
  <c r="X140" i="3"/>
  <c r="X227" i="3"/>
  <c r="X143" i="3"/>
  <c r="X148" i="3"/>
  <c r="X235" i="3"/>
  <c r="X242" i="3"/>
  <c r="X221" i="3"/>
  <c r="X138" i="3"/>
  <c r="X117" i="3"/>
  <c r="X208" i="3"/>
  <c r="X124" i="3"/>
  <c r="X145" i="3"/>
  <c r="X146" i="3"/>
  <c r="X125" i="3"/>
  <c r="X175" i="3"/>
  <c r="X135" i="3"/>
  <c r="R258" i="3"/>
  <c r="R237" i="3"/>
  <c r="R216" i="3"/>
  <c r="X216" i="3" s="1"/>
  <c r="X215" i="3"/>
  <c r="Q232" i="3"/>
  <c r="Q211" i="3"/>
  <c r="Q253" i="3"/>
  <c r="Q224" i="3"/>
  <c r="Q203" i="3"/>
  <c r="Q245" i="3"/>
  <c r="X157" i="3"/>
  <c r="X223" i="3"/>
  <c r="X206" i="3"/>
  <c r="X123" i="3"/>
  <c r="X165" i="3"/>
  <c r="X252" i="3"/>
  <c r="X152" i="3"/>
  <c r="X239" i="3"/>
  <c r="X142" i="3"/>
  <c r="X121" i="3"/>
  <c r="X150" i="3"/>
  <c r="X129" i="3"/>
  <c r="X174" i="3"/>
  <c r="X153" i="3"/>
  <c r="Q230" i="3"/>
  <c r="Q209" i="3"/>
  <c r="Q251" i="3"/>
  <c r="Q222" i="3"/>
  <c r="Q201" i="3"/>
  <c r="Q243" i="3"/>
  <c r="X202" i="3"/>
  <c r="X119" i="3"/>
  <c r="X161" i="3"/>
  <c r="X248" i="3"/>
  <c r="X210" i="3"/>
  <c r="X127" i="3"/>
  <c r="X169" i="3"/>
  <c r="X256" i="3"/>
  <c r="X159" i="3"/>
  <c r="X167" i="3"/>
  <c r="X238" i="3" l="1"/>
  <c r="X201" i="3"/>
  <c r="X209" i="3"/>
  <c r="X245" i="3"/>
  <c r="X224" i="3"/>
  <c r="X253" i="3"/>
  <c r="X232" i="3"/>
  <c r="X205" i="3"/>
  <c r="X213" i="3"/>
  <c r="X258" i="3"/>
  <c r="X237" i="3"/>
  <c r="X219" i="3"/>
  <c r="X199" i="3"/>
  <c r="X207" i="3"/>
  <c r="X243" i="3"/>
  <c r="X222" i="3"/>
  <c r="X251" i="3"/>
  <c r="X230" i="3"/>
  <c r="X203" i="3"/>
  <c r="X211" i="3"/>
  <c r="X247" i="3"/>
  <c r="X226" i="3"/>
  <c r="X255" i="3"/>
  <c r="X234" i="3"/>
  <c r="X198" i="3"/>
  <c r="X240" i="3"/>
  <c r="X241" i="3"/>
  <c r="X220" i="3"/>
  <c r="X249" i="3"/>
  <c r="X228" i="3"/>
  <c r="G7" i="8" l="1"/>
  <c r="G9" i="8"/>
  <c r="G11" i="8"/>
  <c r="G12" i="8"/>
  <c r="G13" i="8"/>
  <c r="G15" i="8"/>
  <c r="G16" i="8"/>
  <c r="G18" i="8"/>
  <c r="G20" i="8"/>
  <c r="G22" i="8"/>
  <c r="G23" i="8"/>
  <c r="G25" i="8"/>
  <c r="G26" i="8"/>
  <c r="G24" i="8"/>
  <c r="G21" i="8"/>
  <c r="G17" i="8"/>
  <c r="G14" i="8"/>
  <c r="G8" i="8"/>
  <c r="G19" i="8"/>
  <c r="G10" i="8"/>
  <c r="G6" i="8"/>
  <c r="G85" i="8" l="1"/>
  <c r="G89" i="8"/>
  <c r="G93" i="8"/>
  <c r="G97" i="8"/>
  <c r="G101" i="8"/>
  <c r="G103" i="8"/>
  <c r="G84" i="8"/>
  <c r="G86" i="8"/>
  <c r="G92" i="8"/>
  <c r="G94" i="8"/>
  <c r="G100" i="8"/>
  <c r="G102" i="8"/>
  <c r="G104" i="8"/>
  <c r="G66" i="8"/>
  <c r="I14" i="8" s="1"/>
  <c r="G74" i="8"/>
  <c r="I22" i="8" s="1"/>
  <c r="G78" i="8"/>
  <c r="I26" i="8" s="1"/>
  <c r="G68" i="8" l="1"/>
  <c r="I16" i="8" s="1"/>
  <c r="G35" i="4"/>
  <c r="H9" i="4" s="1"/>
  <c r="G41" i="4"/>
  <c r="H15" i="4" s="1"/>
  <c r="G52" i="4"/>
  <c r="H26" i="4" s="1"/>
  <c r="G51" i="4"/>
  <c r="H25" i="4" s="1"/>
  <c r="G50" i="4"/>
  <c r="H24" i="4" s="1"/>
  <c r="G49" i="4"/>
  <c r="H23" i="4" s="1"/>
  <c r="G48" i="4"/>
  <c r="H22" i="4" s="1"/>
  <c r="G47" i="4"/>
  <c r="H21" i="4" s="1"/>
  <c r="G46" i="4"/>
  <c r="H20" i="4" s="1"/>
  <c r="G45" i="4"/>
  <c r="H19" i="4" s="1"/>
  <c r="G44" i="4"/>
  <c r="H18" i="4" s="1"/>
  <c r="G43" i="4"/>
  <c r="H17" i="4" s="1"/>
  <c r="G40" i="4"/>
  <c r="H14" i="4" s="1"/>
  <c r="G38" i="4"/>
  <c r="H12" i="4" s="1"/>
  <c r="G36" i="4"/>
  <c r="H10" i="4" s="1"/>
  <c r="G34" i="4"/>
  <c r="H8" i="4" s="1"/>
  <c r="G96" i="8"/>
  <c r="G88" i="8"/>
  <c r="G37" i="4"/>
  <c r="H11" i="4" s="1"/>
  <c r="G33" i="4"/>
  <c r="H7" i="4" s="1"/>
  <c r="G42" i="4"/>
  <c r="H16" i="4" s="1"/>
  <c r="G32" i="4"/>
  <c r="H6" i="4" s="1"/>
  <c r="G39" i="4"/>
  <c r="H13" i="4" s="1"/>
  <c r="G87" i="8"/>
  <c r="G91" i="8"/>
  <c r="G95" i="8"/>
  <c r="G99" i="8"/>
  <c r="G98" i="8"/>
  <c r="G90" i="8"/>
  <c r="J26" i="8"/>
  <c r="I104" i="8"/>
  <c r="J24" i="8"/>
  <c r="J22" i="8"/>
  <c r="I100" i="8"/>
  <c r="J16" i="8"/>
  <c r="I94" i="8"/>
  <c r="J14" i="8"/>
  <c r="I92" i="8"/>
  <c r="J8" i="8"/>
  <c r="J6" i="8"/>
  <c r="J25" i="8"/>
  <c r="J23" i="8"/>
  <c r="J19" i="8"/>
  <c r="J15" i="8"/>
  <c r="J11" i="8"/>
  <c r="J7" i="8"/>
  <c r="G32" i="8"/>
  <c r="H6" i="8" s="1"/>
  <c r="G76" i="8"/>
  <c r="I24" i="8" s="1"/>
  <c r="G62" i="8"/>
  <c r="I10" i="8" s="1"/>
  <c r="G39" i="8"/>
  <c r="H13" i="8" s="1"/>
  <c r="G71" i="8"/>
  <c r="I19" i="8" s="1"/>
  <c r="G70" i="8"/>
  <c r="I18" i="8" s="1"/>
  <c r="G61" i="8"/>
  <c r="I9" i="8" s="1"/>
  <c r="J12" i="8" l="1"/>
  <c r="J20" i="8"/>
  <c r="J21" i="8"/>
  <c r="J17" i="8"/>
  <c r="J13" i="8"/>
  <c r="J9" i="8"/>
  <c r="I87" i="8"/>
  <c r="I97" i="8"/>
  <c r="I102" i="8"/>
  <c r="G34" i="8"/>
  <c r="H8" i="8" s="1"/>
  <c r="J10" i="8"/>
  <c r="I88" i="8"/>
  <c r="J18" i="8"/>
  <c r="I96" i="8"/>
  <c r="G69" i="8"/>
  <c r="I17" i="8" s="1"/>
  <c r="G40" i="8"/>
  <c r="H14" i="8" s="1"/>
  <c r="G49" i="8"/>
  <c r="H23" i="8" s="1"/>
  <c r="G59" i="8"/>
  <c r="G44" i="8"/>
  <c r="H18" i="8" s="1"/>
  <c r="G47" i="8"/>
  <c r="H21" i="8" s="1"/>
  <c r="G58" i="8"/>
  <c r="G35" i="8"/>
  <c r="H9" i="8" s="1"/>
  <c r="G52" i="8"/>
  <c r="H26" i="8" s="1"/>
  <c r="G77" i="8"/>
  <c r="G63" i="8"/>
  <c r="G65" i="8"/>
  <c r="I13" i="8" s="1"/>
  <c r="G73" i="8"/>
  <c r="I21" i="8" s="1"/>
  <c r="G72" i="8"/>
  <c r="I20" i="8" s="1"/>
  <c r="G37" i="8"/>
  <c r="H11" i="8" s="1"/>
  <c r="G43" i="8"/>
  <c r="H17" i="8" s="1"/>
  <c r="G50" i="8"/>
  <c r="H24" i="8" s="1"/>
  <c r="G33" i="8"/>
  <c r="H7" i="8" s="1"/>
  <c r="G41" i="8"/>
  <c r="H15" i="8" s="1"/>
  <c r="G45" i="8"/>
  <c r="H19" i="8" s="1"/>
  <c r="G64" i="8"/>
  <c r="I12" i="8" s="1"/>
  <c r="G67" i="8"/>
  <c r="G36" i="8"/>
  <c r="H10" i="8" s="1"/>
  <c r="G42" i="8"/>
  <c r="H16" i="8" s="1"/>
  <c r="G46" i="8"/>
  <c r="H20" i="8" s="1"/>
  <c r="G48" i="8"/>
  <c r="H22" i="8" s="1"/>
  <c r="G60" i="8"/>
  <c r="G51" i="8"/>
  <c r="H25" i="8" s="1"/>
  <c r="G75" i="8"/>
  <c r="G38" i="8"/>
  <c r="H12" i="8" s="1"/>
  <c r="I25" i="8" l="1"/>
  <c r="I103" i="8"/>
  <c r="I6" i="8"/>
  <c r="I84" i="8"/>
  <c r="I91" i="8"/>
  <c r="I95" i="8"/>
  <c r="I99" i="8"/>
  <c r="I98" i="8"/>
  <c r="I90" i="8"/>
  <c r="I23" i="8"/>
  <c r="I101" i="8"/>
  <c r="I8" i="8"/>
  <c r="I86" i="8"/>
  <c r="I15" i="8"/>
  <c r="I93" i="8"/>
  <c r="I11" i="8"/>
  <c r="I89" i="8"/>
  <c r="I7" i="8"/>
  <c r="I85" i="8"/>
  <c r="AR119" i="9" l="1"/>
  <c r="BL119" i="9" s="1"/>
  <c r="BM119" i="9" l="1"/>
  <c r="D89" i="8" l="1"/>
  <c r="D92" i="8" l="1"/>
  <c r="D92" i="5"/>
  <c r="D92" i="4"/>
  <c r="F102" i="4"/>
  <c r="G102" i="4" s="1"/>
  <c r="F90" i="4"/>
  <c r="G90" i="4" s="1"/>
  <c r="F92" i="4"/>
  <c r="G92" i="4" s="1"/>
  <c r="D89" i="5"/>
  <c r="F100" i="4"/>
  <c r="G100" i="4" s="1"/>
  <c r="F91" i="4"/>
  <c r="G91" i="4" s="1"/>
  <c r="F88" i="4"/>
  <c r="G88" i="4" s="1"/>
  <c r="F101" i="4"/>
  <c r="G101" i="4" s="1"/>
  <c r="F104" i="4"/>
  <c r="G104" i="4" s="1"/>
  <c r="F96" i="4"/>
  <c r="G96" i="4" s="1"/>
  <c r="F86" i="4"/>
  <c r="G86" i="4" s="1"/>
  <c r="F87" i="4"/>
  <c r="G87" i="4" s="1"/>
  <c r="D89" i="4"/>
  <c r="F89" i="4" l="1"/>
  <c r="G89" i="4" s="1"/>
  <c r="J9" i="4"/>
  <c r="I87" i="4"/>
  <c r="J8" i="4"/>
  <c r="I86" i="4"/>
  <c r="J18" i="4"/>
  <c r="I96" i="4"/>
  <c r="F98" i="4"/>
  <c r="G98" i="4" s="1"/>
  <c r="J26" i="4"/>
  <c r="I104" i="4"/>
  <c r="J23" i="4"/>
  <c r="I101" i="4"/>
  <c r="J10" i="4"/>
  <c r="I88" i="4"/>
  <c r="F97" i="4"/>
  <c r="G97" i="4" s="1"/>
  <c r="F84" i="4"/>
  <c r="G84" i="4" s="1"/>
  <c r="F103" i="4"/>
  <c r="G103" i="4" s="1"/>
  <c r="F94" i="4"/>
  <c r="G94" i="4" s="1"/>
  <c r="J24" i="4"/>
  <c r="I102" i="4"/>
  <c r="F85" i="4"/>
  <c r="G85" i="4" s="1"/>
  <c r="F95" i="4"/>
  <c r="G95" i="4" s="1"/>
  <c r="J13" i="4"/>
  <c r="I91" i="4"/>
  <c r="J22" i="4"/>
  <c r="I100" i="4"/>
  <c r="F93" i="4"/>
  <c r="G93" i="4" s="1"/>
  <c r="J14" i="4"/>
  <c r="I92" i="4"/>
  <c r="J12" i="4"/>
  <c r="I90" i="4"/>
  <c r="F99" i="4"/>
  <c r="G99" i="4" s="1"/>
  <c r="J16" i="4" l="1"/>
  <c r="I94" i="4"/>
  <c r="J20" i="4"/>
  <c r="I98" i="4"/>
  <c r="J15" i="4"/>
  <c r="I93" i="4"/>
  <c r="J21" i="4"/>
  <c r="I99" i="4"/>
  <c r="J17" i="4"/>
  <c r="I95" i="4"/>
  <c r="J7" i="4"/>
  <c r="I85" i="4"/>
  <c r="J25" i="4"/>
  <c r="I103" i="4"/>
  <c r="J6" i="4"/>
  <c r="I84" i="4"/>
  <c r="J19" i="4"/>
  <c r="I97" i="4"/>
  <c r="J11" i="4"/>
  <c r="I89" i="4"/>
  <c r="AE9" i="10" l="1"/>
  <c r="AJ9" i="10" s="1"/>
  <c r="D7" i="11" s="1"/>
  <c r="G7" i="11" s="1"/>
  <c r="AE93" i="10"/>
  <c r="AJ93" i="10" s="1"/>
  <c r="D91" i="11" s="1"/>
  <c r="K7" i="11" s="1"/>
  <c r="AE177" i="10"/>
  <c r="AJ177" i="10" s="1"/>
  <c r="D175" i="11" s="1"/>
  <c r="O7" i="11" s="1"/>
  <c r="AE261" i="10"/>
  <c r="AJ261" i="10" s="1"/>
  <c r="D259" i="11" s="1"/>
  <c r="S7" i="11" s="1"/>
  <c r="AH72" i="3"/>
  <c r="AH156" i="3"/>
  <c r="AH240" i="3"/>
  <c r="AH324" i="3"/>
  <c r="AE10" i="10"/>
  <c r="AJ10" i="10" s="1"/>
  <c r="D8" i="11" s="1"/>
  <c r="G8" i="11" s="1"/>
  <c r="AE94" i="10"/>
  <c r="AJ94" i="10" s="1"/>
  <c r="D92" i="11" s="1"/>
  <c r="K8" i="11" s="1"/>
  <c r="AE178" i="10"/>
  <c r="AJ178" i="10" s="1"/>
  <c r="D176" i="11" s="1"/>
  <c r="O8" i="11" s="1"/>
  <c r="AE262" i="10"/>
  <c r="AJ262" i="10" s="1"/>
  <c r="D260" i="11" s="1"/>
  <c r="S8" i="11" s="1"/>
  <c r="AH73" i="3"/>
  <c r="AH157" i="3"/>
  <c r="AH241" i="3"/>
  <c r="AH325" i="3"/>
  <c r="AE11" i="10"/>
  <c r="AJ11" i="10" s="1"/>
  <c r="D9" i="11" s="1"/>
  <c r="G9" i="11" s="1"/>
  <c r="AE95" i="10"/>
  <c r="AJ95" i="10" s="1"/>
  <c r="D93" i="11" s="1"/>
  <c r="K9" i="11" s="1"/>
  <c r="AE179" i="10"/>
  <c r="AJ179" i="10" s="1"/>
  <c r="D177" i="11" s="1"/>
  <c r="O9" i="11" s="1"/>
  <c r="AE263" i="10"/>
  <c r="AJ263" i="10" s="1"/>
  <c r="D261" i="11" s="1"/>
  <c r="S9" i="11" s="1"/>
  <c r="AH74" i="3"/>
  <c r="AH158" i="3"/>
  <c r="AH242" i="3"/>
  <c r="AH326" i="3"/>
  <c r="AE12" i="10"/>
  <c r="AJ12" i="10" s="1"/>
  <c r="D10" i="11" s="1"/>
  <c r="G10" i="11" s="1"/>
  <c r="AE96" i="10"/>
  <c r="AJ96" i="10" s="1"/>
  <c r="D94" i="11" s="1"/>
  <c r="K10" i="11" s="1"/>
  <c r="AE180" i="10"/>
  <c r="AJ180" i="10" s="1"/>
  <c r="D178" i="11" s="1"/>
  <c r="O10" i="11" s="1"/>
  <c r="AE264" i="10"/>
  <c r="AJ264" i="10" s="1"/>
  <c r="D262" i="11" s="1"/>
  <c r="S10" i="11" s="1"/>
  <c r="AH75" i="3"/>
  <c r="AH159" i="3"/>
  <c r="AH243" i="3"/>
  <c r="AH327" i="3"/>
  <c r="AE13" i="10"/>
  <c r="AJ13" i="10" s="1"/>
  <c r="D11" i="11" s="1"/>
  <c r="G13" i="11" s="1"/>
  <c r="AE97" i="10"/>
  <c r="AJ97" i="10" s="1"/>
  <c r="D95" i="11" s="1"/>
  <c r="K13" i="11" s="1"/>
  <c r="AE181" i="10"/>
  <c r="AJ181" i="10" s="1"/>
  <c r="D179" i="11" s="1"/>
  <c r="O13" i="11" s="1"/>
  <c r="AE265" i="10"/>
  <c r="AJ265" i="10" s="1"/>
  <c r="D263" i="11" s="1"/>
  <c r="S13" i="11" s="1"/>
  <c r="AH76" i="3"/>
  <c r="AH160" i="3"/>
  <c r="AH244" i="3"/>
  <c r="AH328" i="3"/>
  <c r="AE14" i="10"/>
  <c r="AJ14" i="10" s="1"/>
  <c r="D12" i="11" s="1"/>
  <c r="G14" i="11" s="1"/>
  <c r="AE98" i="10"/>
  <c r="AJ98" i="10" s="1"/>
  <c r="D96" i="11" s="1"/>
  <c r="K14" i="11" s="1"/>
  <c r="AE182" i="10"/>
  <c r="AJ182" i="10" s="1"/>
  <c r="D180" i="11" s="1"/>
  <c r="O14" i="11" s="1"/>
  <c r="AE224" i="10"/>
  <c r="AJ224" i="10" s="1"/>
  <c r="D222" i="11" s="1"/>
  <c r="Q14" i="11" s="1"/>
  <c r="AE266" i="10"/>
  <c r="AJ266" i="10" s="1"/>
  <c r="D264" i="11" s="1"/>
  <c r="S14" i="11" s="1"/>
  <c r="AH35" i="3"/>
  <c r="AH77" i="3"/>
  <c r="AH119" i="3"/>
  <c r="AH161" i="3"/>
  <c r="AH203" i="3"/>
  <c r="AH245" i="3"/>
  <c r="AH287" i="3"/>
  <c r="AH329" i="3"/>
  <c r="AE135" i="10"/>
  <c r="AJ135" i="10" s="1"/>
  <c r="D133" i="11" s="1"/>
  <c r="M7" i="11" s="1"/>
  <c r="AH30" i="3"/>
  <c r="AH198" i="3"/>
  <c r="AH366" i="3"/>
  <c r="AE136" i="10"/>
  <c r="AJ136" i="10" s="1"/>
  <c r="D134" i="11" s="1"/>
  <c r="M8" i="11" s="1"/>
  <c r="AH31" i="3"/>
  <c r="AH199" i="3"/>
  <c r="AH367" i="3"/>
  <c r="AE137" i="10"/>
  <c r="AJ137" i="10" s="1"/>
  <c r="D135" i="11" s="1"/>
  <c r="M9" i="11" s="1"/>
  <c r="AH32" i="3"/>
  <c r="AH200" i="3"/>
  <c r="AH368" i="3"/>
  <c r="AE138" i="10"/>
  <c r="AJ138" i="10" s="1"/>
  <c r="D136" i="11" s="1"/>
  <c r="M10" i="11" s="1"/>
  <c r="AH33" i="3"/>
  <c r="AH201" i="3"/>
  <c r="AH369" i="3"/>
  <c r="AE139" i="10"/>
  <c r="AJ139" i="10" s="1"/>
  <c r="D137" i="11" s="1"/>
  <c r="M13" i="11" s="1"/>
  <c r="AH34" i="3"/>
  <c r="AH202" i="3"/>
  <c r="AH370" i="3"/>
  <c r="AE140" i="10"/>
  <c r="AJ140" i="10" s="1"/>
  <c r="D138" i="11" s="1"/>
  <c r="M14" i="11" s="1"/>
  <c r="AE245" i="10"/>
  <c r="AJ245" i="10" s="1"/>
  <c r="D243" i="11" s="1"/>
  <c r="R14" i="11" s="1"/>
  <c r="AH56" i="3"/>
  <c r="AH140" i="3"/>
  <c r="AH224" i="3"/>
  <c r="AH308" i="3"/>
  <c r="AH371" i="3"/>
  <c r="AE15" i="10"/>
  <c r="AJ15" i="10" s="1"/>
  <c r="D13" i="11" s="1"/>
  <c r="G15" i="11" s="1"/>
  <c r="AE57" i="10"/>
  <c r="AJ57" i="10" s="1"/>
  <c r="D55" i="11" s="1"/>
  <c r="I15" i="11" s="1"/>
  <c r="AE99" i="10"/>
  <c r="AJ99" i="10" s="1"/>
  <c r="D97" i="11" s="1"/>
  <c r="K15" i="11" s="1"/>
  <c r="AE141" i="10"/>
  <c r="AJ141" i="10" s="1"/>
  <c r="D139" i="11" s="1"/>
  <c r="M15" i="11" s="1"/>
  <c r="AE183" i="10"/>
  <c r="AJ183" i="10" s="1"/>
  <c r="D181" i="11" s="1"/>
  <c r="O15" i="11" s="1"/>
  <c r="AE225" i="10"/>
  <c r="AJ225" i="10" s="1"/>
  <c r="D223" i="11" s="1"/>
  <c r="Q15" i="11" s="1"/>
  <c r="AE267" i="10"/>
  <c r="AJ267" i="10" s="1"/>
  <c r="D265" i="11" s="1"/>
  <c r="S15" i="11" s="1"/>
  <c r="AH36" i="3"/>
  <c r="AH78" i="3"/>
  <c r="AH120" i="3"/>
  <c r="AH162" i="3"/>
  <c r="AH204" i="3"/>
  <c r="AH246" i="3"/>
  <c r="AH288" i="3"/>
  <c r="AH330" i="3"/>
  <c r="AH372" i="3"/>
  <c r="AE16" i="10"/>
  <c r="AJ16" i="10" s="1"/>
  <c r="D14" i="11" s="1"/>
  <c r="G16" i="11" s="1"/>
  <c r="AE58" i="10"/>
  <c r="AJ58" i="10" s="1"/>
  <c r="D56" i="11" s="1"/>
  <c r="I16" i="11" s="1"/>
  <c r="AE100" i="10"/>
  <c r="AJ100" i="10" s="1"/>
  <c r="D98" i="11" s="1"/>
  <c r="K16" i="11" s="1"/>
  <c r="AE142" i="10"/>
  <c r="AJ142" i="10" s="1"/>
  <c r="D140" i="11" s="1"/>
  <c r="M16" i="11" s="1"/>
  <c r="AE184" i="10"/>
  <c r="AJ184" i="10" s="1"/>
  <c r="D182" i="11" s="1"/>
  <c r="O16" i="11" s="1"/>
  <c r="AE226" i="10"/>
  <c r="AJ226" i="10" s="1"/>
  <c r="D224" i="11" s="1"/>
  <c r="Q16" i="11" s="1"/>
  <c r="AE268" i="10"/>
  <c r="AJ268" i="10" s="1"/>
  <c r="D266" i="11" s="1"/>
  <c r="S16" i="11" s="1"/>
  <c r="AH37" i="3"/>
  <c r="AH79" i="3"/>
  <c r="AH121" i="3"/>
  <c r="AH163" i="3"/>
  <c r="AH205" i="3"/>
  <c r="AH247" i="3"/>
  <c r="AH289" i="3"/>
  <c r="AH331" i="3"/>
  <c r="AH373" i="3"/>
  <c r="AE17" i="10"/>
  <c r="AJ17" i="10" s="1"/>
  <c r="D15" i="11" s="1"/>
  <c r="G19" i="11" s="1"/>
  <c r="AE59" i="10"/>
  <c r="AJ59" i="10" s="1"/>
  <c r="D57" i="11" s="1"/>
  <c r="I19" i="11" s="1"/>
  <c r="AE101" i="10"/>
  <c r="AJ101" i="10" s="1"/>
  <c r="D99" i="11" s="1"/>
  <c r="K19" i="11" s="1"/>
  <c r="AE143" i="10"/>
  <c r="AJ143" i="10" s="1"/>
  <c r="D141" i="11" s="1"/>
  <c r="M19" i="11" s="1"/>
  <c r="AE185" i="10"/>
  <c r="AJ185" i="10" s="1"/>
  <c r="D183" i="11" s="1"/>
  <c r="O19" i="11" s="1"/>
  <c r="AE227" i="10"/>
  <c r="AJ227" i="10" s="1"/>
  <c r="D225" i="11" s="1"/>
  <c r="Q19" i="11" s="1"/>
  <c r="AE269" i="10"/>
  <c r="AJ269" i="10" s="1"/>
  <c r="D267" i="11" s="1"/>
  <c r="S19" i="11" s="1"/>
  <c r="AH38" i="3"/>
  <c r="AH80" i="3"/>
  <c r="AH122" i="3"/>
  <c r="AH164" i="3"/>
  <c r="AH206" i="3"/>
  <c r="AH248" i="3"/>
  <c r="AH290" i="3"/>
  <c r="AH332" i="3"/>
  <c r="AH374" i="3"/>
  <c r="AE18" i="10"/>
  <c r="AJ18" i="10" s="1"/>
  <c r="D16" i="11" s="1"/>
  <c r="G20" i="11" s="1"/>
  <c r="AE60" i="10"/>
  <c r="AJ60" i="10" s="1"/>
  <c r="D58" i="11" s="1"/>
  <c r="I20" i="11" s="1"/>
  <c r="AE102" i="10"/>
  <c r="AJ102" i="10" s="1"/>
  <c r="D100" i="11" s="1"/>
  <c r="K20" i="11" s="1"/>
  <c r="AE144" i="10"/>
  <c r="AJ144" i="10" s="1"/>
  <c r="D142" i="11" s="1"/>
  <c r="M20" i="11" s="1"/>
  <c r="AE186" i="10"/>
  <c r="AJ186" i="10" s="1"/>
  <c r="D184" i="11" s="1"/>
  <c r="O20" i="11" s="1"/>
  <c r="AE228" i="10"/>
  <c r="AJ228" i="10" s="1"/>
  <c r="D226" i="11" s="1"/>
  <c r="Q20" i="11" s="1"/>
  <c r="AE270" i="10"/>
  <c r="AJ270" i="10" s="1"/>
  <c r="D268" i="11" s="1"/>
  <c r="S20" i="11" s="1"/>
  <c r="AH39" i="3"/>
  <c r="AH81" i="3"/>
  <c r="AH123" i="3"/>
  <c r="AE51" i="10"/>
  <c r="AJ51" i="10" s="1"/>
  <c r="D49" i="11" s="1"/>
  <c r="I7" i="11" s="1"/>
  <c r="AE219" i="10"/>
  <c r="AJ219" i="10" s="1"/>
  <c r="D217" i="11" s="1"/>
  <c r="Q7" i="11" s="1"/>
  <c r="AH114" i="3"/>
  <c r="AH282" i="3"/>
  <c r="AE52" i="10"/>
  <c r="AJ52" i="10" s="1"/>
  <c r="D50" i="11" s="1"/>
  <c r="I8" i="11" s="1"/>
  <c r="AE220" i="10"/>
  <c r="AJ220" i="10" s="1"/>
  <c r="D218" i="11" s="1"/>
  <c r="Q8" i="11" s="1"/>
  <c r="AH115" i="3"/>
  <c r="AH283" i="3"/>
  <c r="AE53" i="10"/>
  <c r="AJ53" i="10" s="1"/>
  <c r="D51" i="11" s="1"/>
  <c r="I9" i="11" s="1"/>
  <c r="AE221" i="10"/>
  <c r="AJ221" i="10" s="1"/>
  <c r="D219" i="11" s="1"/>
  <c r="Q9" i="11" s="1"/>
  <c r="AH116" i="3"/>
  <c r="AH284" i="3"/>
  <c r="AE54" i="10"/>
  <c r="AJ54" i="10" s="1"/>
  <c r="D52" i="11" s="1"/>
  <c r="I10" i="11" s="1"/>
  <c r="AE222" i="10"/>
  <c r="AJ222" i="10" s="1"/>
  <c r="D220" i="11" s="1"/>
  <c r="Q10" i="11" s="1"/>
  <c r="AH117" i="3"/>
  <c r="AH285" i="3"/>
  <c r="AE55" i="10"/>
  <c r="AJ55" i="10" s="1"/>
  <c r="D53" i="11" s="1"/>
  <c r="I13" i="11" s="1"/>
  <c r="AE223" i="10"/>
  <c r="AJ223" i="10" s="1"/>
  <c r="D221" i="11" s="1"/>
  <c r="Q13" i="11" s="1"/>
  <c r="AH118" i="3"/>
  <c r="AH286" i="3"/>
  <c r="AE56" i="10"/>
  <c r="AJ56" i="10" s="1"/>
  <c r="D54" i="11" s="1"/>
  <c r="I14" i="11" s="1"/>
  <c r="AE203" i="10"/>
  <c r="AJ203" i="10" s="1"/>
  <c r="D201" i="11" s="1"/>
  <c r="P14" i="11" s="1"/>
  <c r="AH98" i="3"/>
  <c r="AH182" i="3"/>
  <c r="AH266" i="3"/>
  <c r="AH350" i="3"/>
  <c r="AE36" i="10"/>
  <c r="AJ36" i="10" s="1"/>
  <c r="D34" i="11" s="1"/>
  <c r="H15" i="11" s="1"/>
  <c r="AE78" i="10"/>
  <c r="AJ78" i="10" s="1"/>
  <c r="D76" i="11" s="1"/>
  <c r="J15" i="11" s="1"/>
  <c r="AE120" i="10"/>
  <c r="AJ120" i="10" s="1"/>
  <c r="D118" i="11" s="1"/>
  <c r="L15" i="11" s="1"/>
  <c r="AE162" i="10"/>
  <c r="AJ162" i="10" s="1"/>
  <c r="D160" i="11" s="1"/>
  <c r="N15" i="11" s="1"/>
  <c r="AE204" i="10"/>
  <c r="AJ204" i="10" s="1"/>
  <c r="D202" i="11" s="1"/>
  <c r="P15" i="11" s="1"/>
  <c r="AE246" i="10"/>
  <c r="AJ246" i="10" s="1"/>
  <c r="D244" i="11" s="1"/>
  <c r="R15" i="11" s="1"/>
  <c r="AH57" i="3"/>
  <c r="AH99" i="3"/>
  <c r="AH141" i="3"/>
  <c r="AH183" i="3"/>
  <c r="AH225" i="3"/>
  <c r="AH267" i="3"/>
  <c r="AH309" i="3"/>
  <c r="AH351" i="3"/>
  <c r="AE37" i="10"/>
  <c r="AJ37" i="10" s="1"/>
  <c r="D35" i="11" s="1"/>
  <c r="H16" i="11" s="1"/>
  <c r="AE121" i="10"/>
  <c r="AJ121" i="10" s="1"/>
  <c r="D119" i="11" s="1"/>
  <c r="L16" i="11" s="1"/>
  <c r="AE205" i="10"/>
  <c r="AJ205" i="10" s="1"/>
  <c r="D203" i="11" s="1"/>
  <c r="P16" i="11" s="1"/>
  <c r="AH100" i="3"/>
  <c r="AH184" i="3"/>
  <c r="AH268" i="3"/>
  <c r="AH352" i="3"/>
  <c r="AE38" i="10"/>
  <c r="AJ38" i="10" s="1"/>
  <c r="D36" i="11" s="1"/>
  <c r="H19" i="11" s="1"/>
  <c r="AE122" i="10"/>
  <c r="AJ122" i="10" s="1"/>
  <c r="D120" i="11" s="1"/>
  <c r="L19" i="11" s="1"/>
  <c r="AE206" i="10"/>
  <c r="AJ206" i="10" s="1"/>
  <c r="D204" i="11" s="1"/>
  <c r="P19" i="11" s="1"/>
  <c r="AH101" i="3"/>
  <c r="AH185" i="3"/>
  <c r="AH269" i="3"/>
  <c r="AH353" i="3"/>
  <c r="AE39" i="10"/>
  <c r="AJ39" i="10" s="1"/>
  <c r="D37" i="11" s="1"/>
  <c r="H20" i="11" s="1"/>
  <c r="AE123" i="10"/>
  <c r="AJ123" i="10" s="1"/>
  <c r="D121" i="11" s="1"/>
  <c r="L20" i="11" s="1"/>
  <c r="AE207" i="10"/>
  <c r="AJ207" i="10" s="1"/>
  <c r="D205" i="11" s="1"/>
  <c r="P20" i="11" s="1"/>
  <c r="AH102" i="3"/>
  <c r="AH165" i="3"/>
  <c r="AH207" i="3"/>
  <c r="AH249" i="3"/>
  <c r="AH291" i="3"/>
  <c r="AH333" i="3"/>
  <c r="AH375" i="3"/>
  <c r="AE19" i="10"/>
  <c r="AJ19" i="10" s="1"/>
  <c r="D17" i="11" s="1"/>
  <c r="G21" i="11" s="1"/>
  <c r="AE61" i="10"/>
  <c r="AJ61" i="10" s="1"/>
  <c r="D59" i="11" s="1"/>
  <c r="I21" i="11" s="1"/>
  <c r="AE103" i="10"/>
  <c r="AJ103" i="10" s="1"/>
  <c r="D101" i="11" s="1"/>
  <c r="K21" i="11" s="1"/>
  <c r="AE145" i="10"/>
  <c r="AJ145" i="10" s="1"/>
  <c r="D143" i="11" s="1"/>
  <c r="M21" i="11" s="1"/>
  <c r="AE187" i="10"/>
  <c r="AJ187" i="10" s="1"/>
  <c r="D185" i="11" s="1"/>
  <c r="O21" i="11" s="1"/>
  <c r="AE229" i="10"/>
  <c r="AJ229" i="10" s="1"/>
  <c r="D227" i="11" s="1"/>
  <c r="Q21" i="11" s="1"/>
  <c r="AE271" i="10"/>
  <c r="AJ271" i="10" s="1"/>
  <c r="D269" i="11" s="1"/>
  <c r="S21" i="11" s="1"/>
  <c r="AH40" i="3"/>
  <c r="AH82" i="3"/>
  <c r="AH124" i="3"/>
  <c r="AH166" i="3"/>
  <c r="AH208" i="3"/>
  <c r="AH250" i="3"/>
  <c r="AH292" i="3"/>
  <c r="AH334" i="3"/>
  <c r="AH376" i="3"/>
  <c r="AE20" i="10"/>
  <c r="AJ20" i="10" s="1"/>
  <c r="D18" i="11" s="1"/>
  <c r="G22" i="11" s="1"/>
  <c r="AE62" i="10"/>
  <c r="AJ62" i="10" s="1"/>
  <c r="D60" i="11" s="1"/>
  <c r="I22" i="11" s="1"/>
  <c r="AE104" i="10"/>
  <c r="AJ104" i="10" s="1"/>
  <c r="D102" i="11" s="1"/>
  <c r="K22" i="11" s="1"/>
  <c r="AE146" i="10"/>
  <c r="AJ146" i="10" s="1"/>
  <c r="D144" i="11" s="1"/>
  <c r="M22" i="11" s="1"/>
  <c r="AE188" i="10"/>
  <c r="AJ188" i="10" s="1"/>
  <c r="D186" i="11" s="1"/>
  <c r="O22" i="11" s="1"/>
  <c r="AE230" i="10"/>
  <c r="AJ230" i="10" s="1"/>
  <c r="D228" i="11" s="1"/>
  <c r="Q22" i="11" s="1"/>
  <c r="AE272" i="10"/>
  <c r="AJ272" i="10" s="1"/>
  <c r="D270" i="11" s="1"/>
  <c r="S22" i="11" s="1"/>
  <c r="AH41" i="3"/>
  <c r="AH83" i="3"/>
  <c r="AH125" i="3"/>
  <c r="AH167" i="3"/>
  <c r="AH209" i="3"/>
  <c r="AH251" i="3"/>
  <c r="AH293" i="3"/>
  <c r="AH335" i="3"/>
  <c r="AH377" i="3"/>
  <c r="AE21" i="10"/>
  <c r="AJ21" i="10" s="1"/>
  <c r="D19" i="11" s="1"/>
  <c r="G25" i="11" s="1"/>
  <c r="AE63" i="10"/>
  <c r="AJ63" i="10" s="1"/>
  <c r="D61" i="11" s="1"/>
  <c r="I25" i="11" s="1"/>
  <c r="AE105" i="10"/>
  <c r="AJ105" i="10" s="1"/>
  <c r="D103" i="11" s="1"/>
  <c r="K25" i="11" s="1"/>
  <c r="AE147" i="10"/>
  <c r="AJ147" i="10" s="1"/>
  <c r="D145" i="11" s="1"/>
  <c r="M25" i="11" s="1"/>
  <c r="AE189" i="10"/>
  <c r="AJ189" i="10" s="1"/>
  <c r="D187" i="11" s="1"/>
  <c r="O25" i="11" s="1"/>
  <c r="AE231" i="10"/>
  <c r="AJ231" i="10" s="1"/>
  <c r="D229" i="11" s="1"/>
  <c r="Q25" i="11" s="1"/>
  <c r="AE273" i="10"/>
  <c r="AJ273" i="10" s="1"/>
  <c r="D271" i="11" s="1"/>
  <c r="S25" i="11" s="1"/>
  <c r="AH42" i="3"/>
  <c r="AH84" i="3"/>
  <c r="AH126" i="3"/>
  <c r="AH168" i="3"/>
  <c r="AH210" i="3"/>
  <c r="AH252" i="3"/>
  <c r="AH294" i="3"/>
  <c r="AH336" i="3"/>
  <c r="AH378" i="3"/>
  <c r="AE22" i="10"/>
  <c r="AE64" i="10"/>
  <c r="AE106" i="10"/>
  <c r="AE148" i="10"/>
  <c r="AE190" i="10"/>
  <c r="AE232" i="10"/>
  <c r="AE274" i="10"/>
  <c r="AH43" i="3"/>
  <c r="AH85" i="3"/>
  <c r="AH127" i="3"/>
  <c r="AH169" i="3"/>
  <c r="AH211" i="3"/>
  <c r="AH253" i="3"/>
  <c r="AH295" i="3"/>
  <c r="AH337" i="3"/>
  <c r="AH379" i="3"/>
  <c r="AE23" i="10"/>
  <c r="AJ23" i="10" s="1"/>
  <c r="D21" i="11" s="1"/>
  <c r="G27" i="11" s="1"/>
  <c r="AE65" i="10"/>
  <c r="AJ65" i="10" s="1"/>
  <c r="D63" i="11" s="1"/>
  <c r="I27" i="11" s="1"/>
  <c r="AE107" i="10"/>
  <c r="AJ107" i="10" s="1"/>
  <c r="D105" i="11" s="1"/>
  <c r="K27" i="11" s="1"/>
  <c r="AE149" i="10"/>
  <c r="AJ149" i="10" s="1"/>
  <c r="D147" i="11" s="1"/>
  <c r="M27" i="11" s="1"/>
  <c r="AE191" i="10"/>
  <c r="AJ191" i="10" s="1"/>
  <c r="D189" i="11" s="1"/>
  <c r="O27" i="11" s="1"/>
  <c r="AE233" i="10"/>
  <c r="AJ233" i="10" s="1"/>
  <c r="D231" i="11" s="1"/>
  <c r="Q27" i="11" s="1"/>
  <c r="AE275" i="10"/>
  <c r="AJ275" i="10" s="1"/>
  <c r="D273" i="11" s="1"/>
  <c r="S27" i="11" s="1"/>
  <c r="AH44" i="3"/>
  <c r="AH86" i="3"/>
  <c r="AH128" i="3"/>
  <c r="AH170" i="3"/>
  <c r="AH212" i="3"/>
  <c r="AH254" i="3"/>
  <c r="AH296" i="3"/>
  <c r="AH338" i="3"/>
  <c r="AH380" i="3"/>
  <c r="AE24" i="10"/>
  <c r="AJ24" i="10" s="1"/>
  <c r="D22" i="11" s="1"/>
  <c r="G28" i="11" s="1"/>
  <c r="AE66" i="10"/>
  <c r="AJ66" i="10" s="1"/>
  <c r="D64" i="11" s="1"/>
  <c r="I28" i="11" s="1"/>
  <c r="AE108" i="10"/>
  <c r="AJ108" i="10" s="1"/>
  <c r="D106" i="11" s="1"/>
  <c r="K28" i="11" s="1"/>
  <c r="AE150" i="10"/>
  <c r="AJ150" i="10" s="1"/>
  <c r="D148" i="11" s="1"/>
  <c r="M28" i="11" s="1"/>
  <c r="AE192" i="10"/>
  <c r="AJ192" i="10" s="1"/>
  <c r="D190" i="11" s="1"/>
  <c r="O28" i="11" s="1"/>
  <c r="AE234" i="10"/>
  <c r="AJ234" i="10" s="1"/>
  <c r="D232" i="11" s="1"/>
  <c r="Q28" i="11" s="1"/>
  <c r="AE276" i="10"/>
  <c r="AJ276" i="10" s="1"/>
  <c r="D274" i="11" s="1"/>
  <c r="S28" i="11" s="1"/>
  <c r="AH45" i="3"/>
  <c r="AH87" i="3"/>
  <c r="AH129" i="3"/>
  <c r="AH171" i="3"/>
  <c r="AH213" i="3"/>
  <c r="AH255" i="3"/>
  <c r="AH297" i="3"/>
  <c r="AH339" i="3"/>
  <c r="AH381" i="3"/>
  <c r="AE25" i="10"/>
  <c r="AJ25" i="10" s="1"/>
  <c r="D23" i="11" s="1"/>
  <c r="G32" i="11" s="1"/>
  <c r="AE67" i="10"/>
  <c r="AJ67" i="10" s="1"/>
  <c r="D65" i="11" s="1"/>
  <c r="I32" i="11" s="1"/>
  <c r="AE109" i="10"/>
  <c r="AJ109" i="10" s="1"/>
  <c r="D107" i="11" s="1"/>
  <c r="K32" i="11" s="1"/>
  <c r="AE151" i="10"/>
  <c r="AJ151" i="10" s="1"/>
  <c r="D149" i="11" s="1"/>
  <c r="M32" i="11" s="1"/>
  <c r="AE193" i="10"/>
  <c r="AJ193" i="10" s="1"/>
  <c r="D191" i="11" s="1"/>
  <c r="O32" i="11" s="1"/>
  <c r="AE235" i="10"/>
  <c r="AJ235" i="10" s="1"/>
  <c r="D233" i="11" s="1"/>
  <c r="Q32" i="11" s="1"/>
  <c r="AE277" i="10"/>
  <c r="AJ277" i="10" s="1"/>
  <c r="D275" i="11" s="1"/>
  <c r="S32" i="11" s="1"/>
  <c r="AH46" i="3"/>
  <c r="AH88" i="3"/>
  <c r="AH130" i="3"/>
  <c r="AH172" i="3"/>
  <c r="AH214" i="3"/>
  <c r="AH256" i="3"/>
  <c r="AH298" i="3"/>
  <c r="AH340" i="3"/>
  <c r="AH382" i="3"/>
  <c r="AE26" i="10"/>
  <c r="AJ26" i="10" s="1"/>
  <c r="D24" i="11" s="1"/>
  <c r="G33" i="11" s="1"/>
  <c r="AE68" i="10"/>
  <c r="AJ68" i="10" s="1"/>
  <c r="D66" i="11" s="1"/>
  <c r="I33" i="11" s="1"/>
  <c r="AE110" i="10"/>
  <c r="AJ110" i="10" s="1"/>
  <c r="D108" i="11" s="1"/>
  <c r="K33" i="11" s="1"/>
  <c r="AE152" i="10"/>
  <c r="AJ152" i="10" s="1"/>
  <c r="D150" i="11" s="1"/>
  <c r="M33" i="11" s="1"/>
  <c r="AE194" i="10"/>
  <c r="AJ194" i="10" s="1"/>
  <c r="D192" i="11" s="1"/>
  <c r="O33" i="11" s="1"/>
  <c r="AE236" i="10"/>
  <c r="AJ236" i="10" s="1"/>
  <c r="D234" i="11" s="1"/>
  <c r="Q33" i="11" s="1"/>
  <c r="AE278" i="10"/>
  <c r="AJ278" i="10" s="1"/>
  <c r="D276" i="11" s="1"/>
  <c r="S33" i="11" s="1"/>
  <c r="AH47" i="3"/>
  <c r="AH89" i="3"/>
  <c r="AH131" i="3"/>
  <c r="AH173" i="3"/>
  <c r="AH215" i="3"/>
  <c r="AH257" i="3"/>
  <c r="AH299" i="3"/>
  <c r="AH341" i="3"/>
  <c r="AH383" i="3"/>
  <c r="AE27" i="10"/>
  <c r="AJ27" i="10" s="1"/>
  <c r="D25" i="11" s="1"/>
  <c r="G34" i="11" s="1"/>
  <c r="AE69" i="10"/>
  <c r="AJ69" i="10" s="1"/>
  <c r="D67" i="11" s="1"/>
  <c r="I34" i="11" s="1"/>
  <c r="AE111" i="10"/>
  <c r="AJ111" i="10" s="1"/>
  <c r="D109" i="11" s="1"/>
  <c r="K34" i="11" s="1"/>
  <c r="AE153" i="10"/>
  <c r="AJ153" i="10" s="1"/>
  <c r="D151" i="11" s="1"/>
  <c r="M34" i="11" s="1"/>
  <c r="AE195" i="10"/>
  <c r="AJ195" i="10" s="1"/>
  <c r="D193" i="11" s="1"/>
  <c r="O34" i="11" s="1"/>
  <c r="AE237" i="10"/>
  <c r="AJ237" i="10" s="1"/>
  <c r="D235" i="11" s="1"/>
  <c r="Q34" i="11" s="1"/>
  <c r="AE279" i="10"/>
  <c r="AJ279" i="10" s="1"/>
  <c r="D277" i="11" s="1"/>
  <c r="S34" i="11" s="1"/>
  <c r="AH48" i="3"/>
  <c r="AH90" i="3"/>
  <c r="AH132" i="3"/>
  <c r="AH174" i="3"/>
  <c r="AH216" i="3"/>
  <c r="AH258" i="3"/>
  <c r="AH300" i="3"/>
  <c r="AH342" i="3"/>
  <c r="AH384" i="3"/>
  <c r="AE79" i="10"/>
  <c r="AJ79" i="10" s="1"/>
  <c r="D77" i="11" s="1"/>
  <c r="J16" i="11" s="1"/>
  <c r="AE163" i="10"/>
  <c r="AJ163" i="10" s="1"/>
  <c r="D161" i="11" s="1"/>
  <c r="N16" i="11" s="1"/>
  <c r="AE247" i="10"/>
  <c r="AJ247" i="10" s="1"/>
  <c r="D245" i="11" s="1"/>
  <c r="R16" i="11" s="1"/>
  <c r="AH58" i="3"/>
  <c r="AH142" i="3"/>
  <c r="AH226" i="3"/>
  <c r="AH310" i="3"/>
  <c r="AE80" i="10"/>
  <c r="AJ80" i="10" s="1"/>
  <c r="D78" i="11" s="1"/>
  <c r="J19" i="11" s="1"/>
  <c r="AE164" i="10"/>
  <c r="AJ164" i="10" s="1"/>
  <c r="D162" i="11" s="1"/>
  <c r="N19" i="11" s="1"/>
  <c r="AE248" i="10"/>
  <c r="AJ248" i="10" s="1"/>
  <c r="D246" i="11" s="1"/>
  <c r="R19" i="11" s="1"/>
  <c r="AH59" i="3"/>
  <c r="AH143" i="3"/>
  <c r="AH227" i="3"/>
  <c r="AH311" i="3"/>
  <c r="AE81" i="10"/>
  <c r="AJ81" i="10" s="1"/>
  <c r="D79" i="11" s="1"/>
  <c r="J20" i="11" s="1"/>
  <c r="AE165" i="10"/>
  <c r="AJ165" i="10" s="1"/>
  <c r="D163" i="11" s="1"/>
  <c r="N20" i="11" s="1"/>
  <c r="AE249" i="10"/>
  <c r="AJ249" i="10" s="1"/>
  <c r="D247" i="11" s="1"/>
  <c r="R20" i="11" s="1"/>
  <c r="AH60" i="3"/>
  <c r="AH144" i="3"/>
  <c r="AH186" i="3"/>
  <c r="AH228" i="3"/>
  <c r="AH270" i="3"/>
  <c r="AH312" i="3"/>
  <c r="AH354" i="3"/>
  <c r="AE40" i="10"/>
  <c r="AJ40" i="10" s="1"/>
  <c r="D38" i="11" s="1"/>
  <c r="H21" i="11" s="1"/>
  <c r="AE82" i="10"/>
  <c r="AJ82" i="10" s="1"/>
  <c r="D80" i="11" s="1"/>
  <c r="J21" i="11" s="1"/>
  <c r="AE124" i="10"/>
  <c r="AJ124" i="10" s="1"/>
  <c r="D122" i="11" s="1"/>
  <c r="L21" i="11" s="1"/>
  <c r="AE166" i="10"/>
  <c r="AJ166" i="10" s="1"/>
  <c r="D164" i="11" s="1"/>
  <c r="N21" i="11" s="1"/>
  <c r="AE208" i="10"/>
  <c r="AJ208" i="10" s="1"/>
  <c r="D206" i="11" s="1"/>
  <c r="P21" i="11" s="1"/>
  <c r="AE250" i="10"/>
  <c r="AJ250" i="10" s="1"/>
  <c r="D248" i="11" s="1"/>
  <c r="R21" i="11" s="1"/>
  <c r="AH61" i="3"/>
  <c r="AH103" i="3"/>
  <c r="AH145" i="3"/>
  <c r="AH187" i="3"/>
  <c r="AH229" i="3"/>
  <c r="AH271" i="3"/>
  <c r="AH313" i="3"/>
  <c r="AH355" i="3"/>
  <c r="AE41" i="10"/>
  <c r="AJ41" i="10" s="1"/>
  <c r="D39" i="11" s="1"/>
  <c r="H22" i="11" s="1"/>
  <c r="AE83" i="10"/>
  <c r="AJ83" i="10" s="1"/>
  <c r="D81" i="11" s="1"/>
  <c r="J22" i="11" s="1"/>
  <c r="AE125" i="10"/>
  <c r="AJ125" i="10" s="1"/>
  <c r="D123" i="11" s="1"/>
  <c r="L22" i="11" s="1"/>
  <c r="AE167" i="10"/>
  <c r="AJ167" i="10" s="1"/>
  <c r="D165" i="11" s="1"/>
  <c r="N22" i="11" s="1"/>
  <c r="AE209" i="10"/>
  <c r="AJ209" i="10" s="1"/>
  <c r="D207" i="11" s="1"/>
  <c r="P22" i="11" s="1"/>
  <c r="AE251" i="10"/>
  <c r="AJ251" i="10" s="1"/>
  <c r="D249" i="11" s="1"/>
  <c r="R22" i="11" s="1"/>
  <c r="AH62" i="3"/>
  <c r="AH104" i="3"/>
  <c r="AH146" i="3"/>
  <c r="AH188" i="3"/>
  <c r="AH230" i="3"/>
  <c r="AH272" i="3"/>
  <c r="AH314" i="3"/>
  <c r="AH356" i="3"/>
  <c r="AE42" i="10"/>
  <c r="AJ42" i="10" s="1"/>
  <c r="D40" i="11" s="1"/>
  <c r="H25" i="11" s="1"/>
  <c r="AE84" i="10"/>
  <c r="AJ84" i="10" s="1"/>
  <c r="D82" i="11" s="1"/>
  <c r="J25" i="11" s="1"/>
  <c r="AE126" i="10"/>
  <c r="AJ126" i="10" s="1"/>
  <c r="D124" i="11" s="1"/>
  <c r="L25" i="11" s="1"/>
  <c r="AE168" i="10"/>
  <c r="AJ168" i="10" s="1"/>
  <c r="D166" i="11" s="1"/>
  <c r="N25" i="11" s="1"/>
  <c r="AE210" i="10"/>
  <c r="AJ210" i="10" s="1"/>
  <c r="D208" i="11" s="1"/>
  <c r="P25" i="11" s="1"/>
  <c r="AE252" i="10"/>
  <c r="AJ252" i="10" s="1"/>
  <c r="D250" i="11" s="1"/>
  <c r="R25" i="11" s="1"/>
  <c r="AH63" i="3"/>
  <c r="AH105" i="3"/>
  <c r="AH147" i="3"/>
  <c r="AH189" i="3"/>
  <c r="AH231" i="3"/>
  <c r="AH273" i="3"/>
  <c r="AH315" i="3"/>
  <c r="AH357" i="3"/>
  <c r="AE43" i="10"/>
  <c r="AE85" i="10"/>
  <c r="AE127" i="10"/>
  <c r="AE169" i="10"/>
  <c r="AE211" i="10"/>
  <c r="AE253" i="10"/>
  <c r="AH64" i="3"/>
  <c r="AH106" i="3"/>
  <c r="AH148" i="3"/>
  <c r="AH190" i="3"/>
  <c r="AH232" i="3"/>
  <c r="AH274" i="3"/>
  <c r="AH316" i="3"/>
  <c r="AH358" i="3"/>
  <c r="AE44" i="10"/>
  <c r="AJ44" i="10" s="1"/>
  <c r="D42" i="11" s="1"/>
  <c r="H27" i="11" s="1"/>
  <c r="AE86" i="10"/>
  <c r="AJ86" i="10" s="1"/>
  <c r="D84" i="11" s="1"/>
  <c r="J27" i="11" s="1"/>
  <c r="AE128" i="10"/>
  <c r="AJ128" i="10" s="1"/>
  <c r="D126" i="11" s="1"/>
  <c r="L27" i="11" s="1"/>
  <c r="AE170" i="10"/>
  <c r="AJ170" i="10" s="1"/>
  <c r="D168" i="11" s="1"/>
  <c r="N27" i="11" s="1"/>
  <c r="AE212" i="10"/>
  <c r="AJ212" i="10" s="1"/>
  <c r="D210" i="11" s="1"/>
  <c r="P27" i="11" s="1"/>
  <c r="AE254" i="10"/>
  <c r="AJ254" i="10" s="1"/>
  <c r="D252" i="11" s="1"/>
  <c r="R27" i="11" s="1"/>
  <c r="AH65" i="3"/>
  <c r="AH107" i="3"/>
  <c r="AH149" i="3"/>
  <c r="AH191" i="3"/>
  <c r="AH233" i="3"/>
  <c r="AH275" i="3"/>
  <c r="AH317" i="3"/>
  <c r="AH359" i="3"/>
  <c r="AE45" i="10"/>
  <c r="AJ45" i="10" s="1"/>
  <c r="D43" i="11" s="1"/>
  <c r="H28" i="11" s="1"/>
  <c r="AE87" i="10"/>
  <c r="AJ87" i="10" s="1"/>
  <c r="D85" i="11" s="1"/>
  <c r="J28" i="11" s="1"/>
  <c r="AE129" i="10"/>
  <c r="AJ129" i="10" s="1"/>
  <c r="D127" i="11" s="1"/>
  <c r="L28" i="11" s="1"/>
  <c r="AE171" i="10"/>
  <c r="AJ171" i="10" s="1"/>
  <c r="D169" i="11" s="1"/>
  <c r="N28" i="11" s="1"/>
  <c r="AE213" i="10"/>
  <c r="AJ213" i="10" s="1"/>
  <c r="D211" i="11" s="1"/>
  <c r="P28" i="11" s="1"/>
  <c r="AE255" i="10"/>
  <c r="AJ255" i="10" s="1"/>
  <c r="D253" i="11" s="1"/>
  <c r="R28" i="11" s="1"/>
  <c r="AH66" i="3"/>
  <c r="AH108" i="3"/>
  <c r="AH150" i="3"/>
  <c r="AH192" i="3"/>
  <c r="AH234" i="3"/>
  <c r="AH276" i="3"/>
  <c r="AH318" i="3"/>
  <c r="AH360" i="3"/>
  <c r="AE46" i="10"/>
  <c r="AJ46" i="10" s="1"/>
  <c r="D44" i="11" s="1"/>
  <c r="H32" i="11" s="1"/>
  <c r="AE88" i="10"/>
  <c r="AJ88" i="10" s="1"/>
  <c r="D86" i="11" s="1"/>
  <c r="J32" i="11" s="1"/>
  <c r="AE130" i="10"/>
  <c r="AJ130" i="10" s="1"/>
  <c r="D128" i="11" s="1"/>
  <c r="L32" i="11" s="1"/>
  <c r="AE172" i="10"/>
  <c r="AJ172" i="10" s="1"/>
  <c r="D170" i="11" s="1"/>
  <c r="N32" i="11" s="1"/>
  <c r="AE214" i="10"/>
  <c r="AJ214" i="10" s="1"/>
  <c r="D212" i="11" s="1"/>
  <c r="P32" i="11" s="1"/>
  <c r="AE256" i="10"/>
  <c r="AJ256" i="10" s="1"/>
  <c r="D254" i="11" s="1"/>
  <c r="R32" i="11" s="1"/>
  <c r="AH67" i="3"/>
  <c r="AH109" i="3"/>
  <c r="AH151" i="3"/>
  <c r="AH193" i="3"/>
  <c r="AH235" i="3"/>
  <c r="AH277" i="3"/>
  <c r="AH319" i="3"/>
  <c r="AH361" i="3"/>
  <c r="AE47" i="10"/>
  <c r="AJ47" i="10" s="1"/>
  <c r="D45" i="11" s="1"/>
  <c r="H33" i="11" s="1"/>
  <c r="AE89" i="10"/>
  <c r="AJ89" i="10" s="1"/>
  <c r="D87" i="11" s="1"/>
  <c r="J33" i="11" s="1"/>
  <c r="AE131" i="10"/>
  <c r="AJ131" i="10" s="1"/>
  <c r="D129" i="11" s="1"/>
  <c r="L33" i="11" s="1"/>
  <c r="AE173" i="10"/>
  <c r="AJ173" i="10" s="1"/>
  <c r="D171" i="11" s="1"/>
  <c r="N33" i="11" s="1"/>
  <c r="AE215" i="10"/>
  <c r="AJ215" i="10" s="1"/>
  <c r="D213" i="11" s="1"/>
  <c r="P33" i="11" s="1"/>
  <c r="AE257" i="10"/>
  <c r="AJ257" i="10" s="1"/>
  <c r="D255" i="11" s="1"/>
  <c r="R33" i="11" s="1"/>
  <c r="AH68" i="3"/>
  <c r="AH110" i="3"/>
  <c r="AH194" i="3"/>
  <c r="AH278" i="3"/>
  <c r="AH362" i="3"/>
  <c r="AE48" i="10"/>
  <c r="AJ48" i="10" s="1"/>
  <c r="D46" i="11" s="1"/>
  <c r="H34" i="11" s="1"/>
  <c r="AE132" i="10"/>
  <c r="AJ132" i="10" s="1"/>
  <c r="D130" i="11" s="1"/>
  <c r="L34" i="11" s="1"/>
  <c r="AE216" i="10"/>
  <c r="AJ216" i="10" s="1"/>
  <c r="D214" i="11" s="1"/>
  <c r="P34" i="11" s="1"/>
  <c r="AH111" i="3"/>
  <c r="AH195" i="3"/>
  <c r="AH279" i="3"/>
  <c r="AH363" i="3"/>
  <c r="AE28" i="10"/>
  <c r="AJ28" i="10" s="1"/>
  <c r="D26" i="11" s="1"/>
  <c r="G38" i="11" s="1"/>
  <c r="AE70" i="10"/>
  <c r="AJ70" i="10" s="1"/>
  <c r="D68" i="11" s="1"/>
  <c r="I38" i="11" s="1"/>
  <c r="AE112" i="10"/>
  <c r="AJ112" i="10" s="1"/>
  <c r="D110" i="11" s="1"/>
  <c r="K38" i="11" s="1"/>
  <c r="AE154" i="10"/>
  <c r="AJ154" i="10" s="1"/>
  <c r="D152" i="11" s="1"/>
  <c r="M38" i="11" s="1"/>
  <c r="AE196" i="10"/>
  <c r="AJ196" i="10" s="1"/>
  <c r="D194" i="11" s="1"/>
  <c r="O38" i="11" s="1"/>
  <c r="AE238" i="10"/>
  <c r="AJ238" i="10" s="1"/>
  <c r="D236" i="11" s="1"/>
  <c r="Q38" i="11" s="1"/>
  <c r="AE280" i="10"/>
  <c r="AJ280" i="10" s="1"/>
  <c r="D278" i="11" s="1"/>
  <c r="S38" i="11" s="1"/>
  <c r="AH49" i="3"/>
  <c r="AH91" i="3"/>
  <c r="AH133" i="3"/>
  <c r="AH175" i="3"/>
  <c r="AH217" i="3"/>
  <c r="AH259" i="3"/>
  <c r="AH301" i="3"/>
  <c r="AH343" i="3"/>
  <c r="AH385" i="3"/>
  <c r="AE29" i="10"/>
  <c r="AJ29" i="10" s="1"/>
  <c r="D27" i="11" s="1"/>
  <c r="G39" i="11" s="1"/>
  <c r="AE71" i="10"/>
  <c r="AJ71" i="10" s="1"/>
  <c r="D69" i="11" s="1"/>
  <c r="I39" i="11" s="1"/>
  <c r="AE113" i="10"/>
  <c r="AJ113" i="10" s="1"/>
  <c r="D111" i="11" s="1"/>
  <c r="K39" i="11" s="1"/>
  <c r="AE155" i="10"/>
  <c r="AJ155" i="10" s="1"/>
  <c r="D153" i="11" s="1"/>
  <c r="M39" i="11" s="1"/>
  <c r="AE197" i="10"/>
  <c r="AJ197" i="10" s="1"/>
  <c r="D195" i="11" s="1"/>
  <c r="O39" i="11" s="1"/>
  <c r="AE239" i="10"/>
  <c r="AJ239" i="10" s="1"/>
  <c r="D237" i="11" s="1"/>
  <c r="Q39" i="11" s="1"/>
  <c r="AE281" i="10"/>
  <c r="AJ281" i="10" s="1"/>
  <c r="D279" i="11" s="1"/>
  <c r="S39" i="11" s="1"/>
  <c r="AH50" i="3"/>
  <c r="AH92" i="3"/>
  <c r="AH134" i="3"/>
  <c r="AH176" i="3"/>
  <c r="AH218" i="3"/>
  <c r="AH260" i="3"/>
  <c r="AH302" i="3"/>
  <c r="AH344" i="3"/>
  <c r="AH386" i="3"/>
  <c r="AH152" i="3"/>
  <c r="AH236" i="3"/>
  <c r="AH320" i="3"/>
  <c r="AE90" i="10"/>
  <c r="AJ90" i="10" s="1"/>
  <c r="D88" i="11" s="1"/>
  <c r="J34" i="11" s="1"/>
  <c r="AE174" i="10"/>
  <c r="AJ174" i="10" s="1"/>
  <c r="D172" i="11" s="1"/>
  <c r="N34" i="11" s="1"/>
  <c r="AE258" i="10"/>
  <c r="AJ258" i="10" s="1"/>
  <c r="D256" i="11" s="1"/>
  <c r="R34" i="11" s="1"/>
  <c r="AH69" i="3"/>
  <c r="AH153" i="3"/>
  <c r="AH237" i="3"/>
  <c r="AH321" i="3"/>
  <c r="AE49" i="10"/>
  <c r="AJ49" i="10" s="1"/>
  <c r="D47" i="11" s="1"/>
  <c r="H38" i="11" s="1"/>
  <c r="AE91" i="10"/>
  <c r="AJ91" i="10" s="1"/>
  <c r="D89" i="11" s="1"/>
  <c r="J38" i="11" s="1"/>
  <c r="AE133" i="10"/>
  <c r="AJ133" i="10" s="1"/>
  <c r="D131" i="11" s="1"/>
  <c r="L38" i="11" s="1"/>
  <c r="AE175" i="10"/>
  <c r="AJ175" i="10" s="1"/>
  <c r="D173" i="11" s="1"/>
  <c r="N38" i="11" s="1"/>
  <c r="AE217" i="10"/>
  <c r="AJ217" i="10" s="1"/>
  <c r="D215" i="11" s="1"/>
  <c r="P38" i="11" s="1"/>
  <c r="AE259" i="10"/>
  <c r="AJ259" i="10" s="1"/>
  <c r="D257" i="11" s="1"/>
  <c r="R38" i="11" s="1"/>
  <c r="AH70" i="3"/>
  <c r="AH112" i="3"/>
  <c r="AH154" i="3"/>
  <c r="AH196" i="3"/>
  <c r="AH238" i="3"/>
  <c r="AH280" i="3"/>
  <c r="AH322" i="3"/>
  <c r="AH364" i="3"/>
  <c r="AE50" i="10"/>
  <c r="AJ50" i="10" s="1"/>
  <c r="D48" i="11" s="1"/>
  <c r="H39" i="11" s="1"/>
  <c r="AE92" i="10"/>
  <c r="AJ92" i="10" s="1"/>
  <c r="D90" i="11" s="1"/>
  <c r="J39" i="11" s="1"/>
  <c r="AE134" i="10"/>
  <c r="AJ134" i="10" s="1"/>
  <c r="D132" i="11" s="1"/>
  <c r="L39" i="11" s="1"/>
  <c r="AE176" i="10"/>
  <c r="AJ176" i="10" s="1"/>
  <c r="D174" i="11" s="1"/>
  <c r="N39" i="11" s="1"/>
  <c r="AE218" i="10"/>
  <c r="AJ218" i="10" s="1"/>
  <c r="D216" i="11" s="1"/>
  <c r="P39" i="11" s="1"/>
  <c r="AE260" i="10"/>
  <c r="AJ260" i="10" s="1"/>
  <c r="D258" i="11" s="1"/>
  <c r="R39" i="11" s="1"/>
  <c r="AH71" i="3"/>
  <c r="AH113" i="3"/>
  <c r="AH155" i="3"/>
  <c r="AH197" i="3"/>
  <c r="AH239" i="3"/>
  <c r="AH281" i="3"/>
  <c r="AH323" i="3"/>
  <c r="AH365" i="3"/>
  <c r="AE161" i="10"/>
  <c r="AJ161" i="10" s="1"/>
  <c r="D159" i="11" s="1"/>
  <c r="N14" i="11" s="1"/>
  <c r="AE77" i="10"/>
  <c r="AJ77" i="10" s="1"/>
  <c r="D75" i="11" s="1"/>
  <c r="J14" i="11" s="1"/>
  <c r="AH307" i="3"/>
  <c r="AH223" i="3"/>
  <c r="AH139" i="3"/>
  <c r="AH55" i="3"/>
  <c r="AE244" i="10"/>
  <c r="AJ244" i="10" s="1"/>
  <c r="D242" i="11" s="1"/>
  <c r="R13" i="11" s="1"/>
  <c r="AE160" i="10"/>
  <c r="AJ160" i="10" s="1"/>
  <c r="D158" i="11" s="1"/>
  <c r="N13" i="11" s="1"/>
  <c r="AE76" i="10"/>
  <c r="AJ76" i="10" s="1"/>
  <c r="D74" i="11" s="1"/>
  <c r="J13" i="11" s="1"/>
  <c r="AH306" i="3"/>
  <c r="AH222" i="3"/>
  <c r="AH138" i="3"/>
  <c r="AH54" i="3"/>
  <c r="AE243" i="10"/>
  <c r="AJ243" i="10" s="1"/>
  <c r="D241" i="11" s="1"/>
  <c r="R10" i="11" s="1"/>
  <c r="AE159" i="10"/>
  <c r="AJ159" i="10" s="1"/>
  <c r="D157" i="11" s="1"/>
  <c r="N10" i="11" s="1"/>
  <c r="AE75" i="10"/>
  <c r="AJ75" i="10" s="1"/>
  <c r="D73" i="11" s="1"/>
  <c r="J10" i="11" s="1"/>
  <c r="AH305" i="3"/>
  <c r="AH221" i="3"/>
  <c r="AH137" i="3"/>
  <c r="AH53" i="3"/>
  <c r="AE242" i="10"/>
  <c r="AJ242" i="10" s="1"/>
  <c r="D240" i="11" s="1"/>
  <c r="R9" i="11" s="1"/>
  <c r="AE158" i="10"/>
  <c r="AJ158" i="10" s="1"/>
  <c r="D156" i="11" s="1"/>
  <c r="N9" i="11" s="1"/>
  <c r="AE74" i="10"/>
  <c r="AJ74" i="10" s="1"/>
  <c r="D72" i="11" s="1"/>
  <c r="J9" i="11" s="1"/>
  <c r="AH304" i="3"/>
  <c r="AH220" i="3"/>
  <c r="AH136" i="3"/>
  <c r="AH52" i="3"/>
  <c r="AE241" i="10"/>
  <c r="AJ241" i="10" s="1"/>
  <c r="D239" i="11" s="1"/>
  <c r="R8" i="11" s="1"/>
  <c r="AE157" i="10"/>
  <c r="AJ157" i="10" s="1"/>
  <c r="D155" i="11" s="1"/>
  <c r="N8" i="11" s="1"/>
  <c r="AE73" i="10"/>
  <c r="AJ73" i="10" s="1"/>
  <c r="D71" i="11" s="1"/>
  <c r="J8" i="11" s="1"/>
  <c r="AH303" i="3"/>
  <c r="AH219" i="3"/>
  <c r="AH135" i="3"/>
  <c r="AH51" i="3"/>
  <c r="AE240" i="10"/>
  <c r="AJ240" i="10" s="1"/>
  <c r="D238" i="11" s="1"/>
  <c r="R7" i="11" s="1"/>
  <c r="AE156" i="10"/>
  <c r="AJ156" i="10" s="1"/>
  <c r="D154" i="11" s="1"/>
  <c r="N7" i="11" s="1"/>
  <c r="AE72" i="10"/>
  <c r="AJ72" i="10" s="1"/>
  <c r="D70" i="11" s="1"/>
  <c r="J7" i="11" s="1"/>
  <c r="AE119" i="10"/>
  <c r="AJ119" i="10" s="1"/>
  <c r="D117" i="11" s="1"/>
  <c r="L14" i="11" s="1"/>
  <c r="AE35" i="10"/>
  <c r="AJ35" i="10" s="1"/>
  <c r="D33" i="11" s="1"/>
  <c r="H14" i="11" s="1"/>
  <c r="AH349" i="3"/>
  <c r="AH265" i="3"/>
  <c r="AH181" i="3"/>
  <c r="AH97" i="3"/>
  <c r="AE202" i="10"/>
  <c r="AJ202" i="10" s="1"/>
  <c r="D200" i="11" s="1"/>
  <c r="P13" i="11" s="1"/>
  <c r="AE118" i="10"/>
  <c r="AJ118" i="10" s="1"/>
  <c r="D116" i="11" s="1"/>
  <c r="L13" i="11" s="1"/>
  <c r="AE34" i="10"/>
  <c r="AJ34" i="10" s="1"/>
  <c r="D32" i="11" s="1"/>
  <c r="H13" i="11" s="1"/>
  <c r="AH348" i="3"/>
  <c r="AH264" i="3"/>
  <c r="AH180" i="3"/>
  <c r="AH96" i="3"/>
  <c r="AE201" i="10"/>
  <c r="AJ201" i="10" s="1"/>
  <c r="D199" i="11" s="1"/>
  <c r="P10" i="11" s="1"/>
  <c r="AE117" i="10"/>
  <c r="AJ117" i="10" s="1"/>
  <c r="D115" i="11" s="1"/>
  <c r="L10" i="11" s="1"/>
  <c r="AE33" i="10"/>
  <c r="AJ33" i="10" s="1"/>
  <c r="D31" i="11" s="1"/>
  <c r="H10" i="11" s="1"/>
  <c r="AH347" i="3"/>
  <c r="AH263" i="3"/>
  <c r="AH179" i="3"/>
  <c r="AH95" i="3"/>
  <c r="AE200" i="10"/>
  <c r="AJ200" i="10" s="1"/>
  <c r="D198" i="11" s="1"/>
  <c r="P9" i="11" s="1"/>
  <c r="AE116" i="10"/>
  <c r="AJ116" i="10" s="1"/>
  <c r="D114" i="11" s="1"/>
  <c r="L9" i="11" s="1"/>
  <c r="AE32" i="10"/>
  <c r="AJ32" i="10" s="1"/>
  <c r="D30" i="11" s="1"/>
  <c r="H9" i="11" s="1"/>
  <c r="AH346" i="3"/>
  <c r="AH262" i="3"/>
  <c r="AH178" i="3"/>
  <c r="AH94" i="3"/>
  <c r="AE199" i="10"/>
  <c r="AJ199" i="10" s="1"/>
  <c r="D197" i="11" s="1"/>
  <c r="P8" i="11" s="1"/>
  <c r="AE115" i="10"/>
  <c r="AJ115" i="10" s="1"/>
  <c r="D113" i="11" s="1"/>
  <c r="L8" i="11" s="1"/>
  <c r="AE31" i="10"/>
  <c r="AJ31" i="10" s="1"/>
  <c r="D29" i="11" s="1"/>
  <c r="H8" i="11" s="1"/>
  <c r="AH345" i="3"/>
  <c r="AH261" i="3"/>
  <c r="AH177" i="3"/>
  <c r="AH93" i="3"/>
  <c r="AE198" i="10"/>
  <c r="AJ198" i="10" s="1"/>
  <c r="D196" i="11" s="1"/>
  <c r="P7" i="11" s="1"/>
  <c r="AE114" i="10"/>
  <c r="AJ114" i="10" s="1"/>
  <c r="D112" i="11" s="1"/>
  <c r="L7" i="11" s="1"/>
  <c r="AE30" i="10"/>
  <c r="AJ30" i="10" s="1"/>
  <c r="D28" i="11" s="1"/>
  <c r="H7" i="11" s="1"/>
  <c r="D352" i="7" l="1"/>
  <c r="W20" i="7" s="1"/>
  <c r="D343" i="7"/>
  <c r="W7" i="7" s="1"/>
  <c r="D359" i="7"/>
  <c r="W32" i="7" s="1"/>
  <c r="D353" i="7"/>
  <c r="W21" i="7" s="1"/>
  <c r="D351" i="7"/>
  <c r="W19" i="7" s="1"/>
  <c r="D370" i="7"/>
  <c r="X15" i="7" s="1"/>
  <c r="D360" i="7"/>
  <c r="W33" i="7" s="1"/>
  <c r="D382" i="7"/>
  <c r="X34" i="7" s="1"/>
  <c r="D367" i="7"/>
  <c r="X10" i="7" s="1"/>
  <c r="D364" i="7"/>
  <c r="X7" i="7" s="1"/>
  <c r="D379" i="7"/>
  <c r="X28" i="7" s="1"/>
  <c r="D348" i="7"/>
  <c r="W14" i="7" s="1"/>
  <c r="D372" i="7"/>
  <c r="X19" i="7" s="1"/>
  <c r="D369" i="7"/>
  <c r="X14" i="7" s="1"/>
  <c r="D383" i="7"/>
  <c r="X38" i="7" s="1"/>
  <c r="D347" i="7"/>
  <c r="W13" i="7" s="1"/>
  <c r="D357" i="7"/>
  <c r="W27" i="7" s="1"/>
  <c r="D361" i="7"/>
  <c r="W34" i="7" s="1"/>
  <c r="D356" i="7"/>
  <c r="W26" i="7" s="1"/>
  <c r="D381" i="7"/>
  <c r="X33" i="7" s="1"/>
  <c r="D378" i="7"/>
  <c r="X27" i="7" s="1"/>
  <c r="D375" i="7"/>
  <c r="X22" i="7" s="1"/>
  <c r="D344" i="7"/>
  <c r="W8" i="7" s="1"/>
  <c r="D350" i="7"/>
  <c r="W16" i="7" s="1"/>
  <c r="D366" i="7"/>
  <c r="X9" i="7" s="1"/>
  <c r="D345" i="7"/>
  <c r="W9" i="7" s="1"/>
  <c r="D363" i="7"/>
  <c r="D355" i="7"/>
  <c r="W25" i="7" s="1"/>
  <c r="D371" i="7"/>
  <c r="X16" i="7" s="1"/>
  <c r="D376" i="7"/>
  <c r="X25" i="7" s="1"/>
  <c r="D346" i="7"/>
  <c r="W10" i="7" s="1"/>
  <c r="D358" i="7"/>
  <c r="W28" i="7" s="1"/>
  <c r="D373" i="7"/>
  <c r="X20" i="7" s="1"/>
  <c r="D362" i="7"/>
  <c r="W38" i="7" s="1"/>
  <c r="D384" i="7"/>
  <c r="D354" i="7"/>
  <c r="W22" i="7" s="1"/>
  <c r="D380" i="7"/>
  <c r="X32" i="7" s="1"/>
  <c r="D377" i="7"/>
  <c r="X26" i="7" s="1"/>
  <c r="D374" i="7"/>
  <c r="X21" i="7" s="1"/>
  <c r="D349" i="7"/>
  <c r="W15" i="7" s="1"/>
  <c r="D368" i="7"/>
  <c r="X13" i="7" s="1"/>
  <c r="D365" i="7"/>
  <c r="X8" i="7" s="1"/>
  <c r="D177" i="7"/>
  <c r="O9" i="7" s="1"/>
  <c r="D126" i="7"/>
  <c r="L27" i="7" s="1"/>
  <c r="D261" i="7"/>
  <c r="S9" i="7" s="1"/>
  <c r="D95" i="7"/>
  <c r="K13" i="7" s="1"/>
  <c r="D301" i="7"/>
  <c r="U7" i="7" s="1"/>
  <c r="D135" i="7"/>
  <c r="M9" i="7" s="1"/>
  <c r="D153" i="7"/>
  <c r="M39" i="7" s="1"/>
  <c r="D236" i="7"/>
  <c r="Q38" i="7" s="1"/>
  <c r="D235" i="7"/>
  <c r="Q34" i="7" s="1"/>
  <c r="D258" i="7"/>
  <c r="R39" i="7" s="1"/>
  <c r="D317" i="7"/>
  <c r="U32" i="7" s="1"/>
  <c r="D62" i="7"/>
  <c r="I26" i="7" s="1"/>
  <c r="D145" i="7"/>
  <c r="M25" i="7" s="1"/>
  <c r="D228" i="7"/>
  <c r="Q22" i="7" s="1"/>
  <c r="D311" i="7"/>
  <c r="U21" i="7" s="1"/>
  <c r="D225" i="7"/>
  <c r="Q19" i="7" s="1"/>
  <c r="D87" i="7"/>
  <c r="J33" i="7" s="1"/>
  <c r="D254" i="7"/>
  <c r="R32" i="7" s="1"/>
  <c r="D84" i="7"/>
  <c r="J27" i="7" s="1"/>
  <c r="D251" i="7"/>
  <c r="R26" i="7" s="1"/>
  <c r="D81" i="7"/>
  <c r="J22" i="7" s="1"/>
  <c r="D248" i="7"/>
  <c r="R21" i="7" s="1"/>
  <c r="D267" i="7"/>
  <c r="S19" i="7" s="1"/>
  <c r="D161" i="7"/>
  <c r="N16" i="7" s="1"/>
  <c r="D328" i="7"/>
  <c r="V15" i="7" s="1"/>
  <c r="D32" i="7"/>
  <c r="H13" i="7" s="1"/>
  <c r="D29" i="7"/>
  <c r="H8" i="7" s="1"/>
  <c r="D75" i="7"/>
  <c r="J14" i="7" s="1"/>
  <c r="D240" i="7"/>
  <c r="R9" i="7" s="1"/>
  <c r="D270" i="7"/>
  <c r="S22" i="7" s="1"/>
  <c r="D324" i="7"/>
  <c r="V9" i="7" s="1"/>
  <c r="D179" i="7"/>
  <c r="O13" i="7" s="1"/>
  <c r="D219" i="7"/>
  <c r="Q9" i="7" s="1"/>
  <c r="D53" i="7"/>
  <c r="I13" i="7" s="1"/>
  <c r="D111" i="7"/>
  <c r="K39" i="7" s="1"/>
  <c r="D194" i="7"/>
  <c r="O38" i="7" s="1"/>
  <c r="D151" i="7"/>
  <c r="M34" i="7" s="1"/>
  <c r="D216" i="7"/>
  <c r="P39" i="7" s="1"/>
  <c r="D276" i="7"/>
  <c r="S33" i="7" s="1"/>
  <c r="D275" i="7"/>
  <c r="S32" i="7" s="1"/>
  <c r="D103" i="7"/>
  <c r="K25" i="7" s="1"/>
  <c r="D186" i="7"/>
  <c r="O22" i="7" s="1"/>
  <c r="D269" i="7"/>
  <c r="S21" i="7" s="1"/>
  <c r="D141" i="7"/>
  <c r="M19" i="7" s="1"/>
  <c r="D45" i="7"/>
  <c r="H33" i="7" s="1"/>
  <c r="D212" i="7"/>
  <c r="P32" i="7" s="1"/>
  <c r="D42" i="7"/>
  <c r="H27" i="7" s="1"/>
  <c r="D209" i="7"/>
  <c r="P26" i="7" s="1"/>
  <c r="D39" i="7"/>
  <c r="H22" i="7" s="1"/>
  <c r="D206" i="7"/>
  <c r="P21" i="7" s="1"/>
  <c r="D183" i="7"/>
  <c r="O19" i="7" s="1"/>
  <c r="D283" i="7"/>
  <c r="T10" i="7" s="1"/>
  <c r="D280" i="7"/>
  <c r="T7" i="7" s="1"/>
  <c r="D119" i="7"/>
  <c r="L16" i="7" s="1"/>
  <c r="D286" i="7"/>
  <c r="T15" i="7" s="1"/>
  <c r="D33" i="7"/>
  <c r="H14" i="7" s="1"/>
  <c r="D156" i="7"/>
  <c r="N9" i="7" s="1"/>
  <c r="D129" i="7"/>
  <c r="L33" i="7" s="1"/>
  <c r="D263" i="7"/>
  <c r="S13" i="7" s="1"/>
  <c r="D303" i="7"/>
  <c r="U9" i="7" s="1"/>
  <c r="D137" i="7"/>
  <c r="M13" i="7" s="1"/>
  <c r="D69" i="7"/>
  <c r="I39" i="7" s="1"/>
  <c r="D152" i="7"/>
  <c r="M38" i="7" s="1"/>
  <c r="D67" i="7"/>
  <c r="I34" i="7" s="1"/>
  <c r="D174" i="7"/>
  <c r="N39" i="7" s="1"/>
  <c r="D341" i="7"/>
  <c r="V38" i="7" s="1"/>
  <c r="D192" i="7"/>
  <c r="O33" i="7" s="1"/>
  <c r="D233" i="7"/>
  <c r="Q32" i="7" s="1"/>
  <c r="D316" i="7"/>
  <c r="U28" i="7" s="1"/>
  <c r="D61" i="7"/>
  <c r="I25" i="7" s="1"/>
  <c r="D144" i="7"/>
  <c r="M22" i="7" s="1"/>
  <c r="D227" i="7"/>
  <c r="Q21" i="7" s="1"/>
  <c r="D310" i="7"/>
  <c r="U20" i="7" s="1"/>
  <c r="D57" i="7"/>
  <c r="I19" i="7" s="1"/>
  <c r="D340" i="7"/>
  <c r="V34" i="7" s="1"/>
  <c r="D170" i="7"/>
  <c r="N32" i="7" s="1"/>
  <c r="D337" i="7"/>
  <c r="V28" i="7" s="1"/>
  <c r="D167" i="7"/>
  <c r="N26" i="7" s="1"/>
  <c r="D334" i="7"/>
  <c r="V25" i="7" s="1"/>
  <c r="D164" i="7"/>
  <c r="N21" i="7" s="1"/>
  <c r="D331" i="7"/>
  <c r="V20" i="7" s="1"/>
  <c r="D99" i="7"/>
  <c r="K19" i="7" s="1"/>
  <c r="D307" i="7"/>
  <c r="U15" i="7" s="1"/>
  <c r="D115" i="7"/>
  <c r="L10" i="7" s="1"/>
  <c r="D112" i="7"/>
  <c r="L7" i="7" s="1"/>
  <c r="D77" i="7"/>
  <c r="J16" i="7" s="1"/>
  <c r="D244" i="7"/>
  <c r="R15" i="7" s="1"/>
  <c r="D72" i="7"/>
  <c r="J9" i="7" s="1"/>
  <c r="D319" i="7"/>
  <c r="U34" i="7" s="1"/>
  <c r="D117" i="7"/>
  <c r="L14" i="7" s="1"/>
  <c r="D92" i="7"/>
  <c r="K8" i="7" s="1"/>
  <c r="D221" i="7"/>
  <c r="Q13" i="7" s="1"/>
  <c r="D110" i="7"/>
  <c r="K38" i="7" s="1"/>
  <c r="D132" i="7"/>
  <c r="L39" i="7" s="1"/>
  <c r="D299" i="7"/>
  <c r="T38" i="7" s="1"/>
  <c r="D108" i="7"/>
  <c r="K33" i="7" s="1"/>
  <c r="D191" i="7"/>
  <c r="O32" i="7" s="1"/>
  <c r="D274" i="7"/>
  <c r="S28" i="7" s="1"/>
  <c r="D102" i="7"/>
  <c r="K22" i="7" s="1"/>
  <c r="D185" i="7"/>
  <c r="O21" i="7" s="1"/>
  <c r="D268" i="7"/>
  <c r="S20" i="7" s="1"/>
  <c r="D298" i="7"/>
  <c r="T34" i="7" s="1"/>
  <c r="D128" i="7"/>
  <c r="L32" i="7" s="1"/>
  <c r="D295" i="7"/>
  <c r="T28" i="7" s="1"/>
  <c r="D125" i="7"/>
  <c r="L26" i="7" s="1"/>
  <c r="D292" i="7"/>
  <c r="T25" i="7" s="1"/>
  <c r="D122" i="7"/>
  <c r="L21" i="7" s="1"/>
  <c r="D289" i="7"/>
  <c r="T20" i="7" s="1"/>
  <c r="D265" i="7"/>
  <c r="S15" i="7" s="1"/>
  <c r="D35" i="7"/>
  <c r="H16" i="7" s="1"/>
  <c r="D202" i="7"/>
  <c r="P15" i="7" s="1"/>
  <c r="D199" i="7"/>
  <c r="P10" i="7" s="1"/>
  <c r="D196" i="7"/>
  <c r="P7" i="7" s="1"/>
  <c r="D325" i="7"/>
  <c r="V10" i="7" s="1"/>
  <c r="D322" i="7"/>
  <c r="V7" i="7" s="1"/>
  <c r="D200" i="7"/>
  <c r="P13" i="7" s="1"/>
  <c r="D176" i="7"/>
  <c r="O8" i="7" s="1"/>
  <c r="D50" i="7"/>
  <c r="I8" i="7" s="1"/>
  <c r="D305" i="7"/>
  <c r="U13" i="7" s="1"/>
  <c r="D68" i="7"/>
  <c r="I38" i="7" s="1"/>
  <c r="D90" i="7"/>
  <c r="J39" i="7" s="1"/>
  <c r="D257" i="7"/>
  <c r="R38" i="7" s="1"/>
  <c r="D66" i="7"/>
  <c r="I33" i="7" s="1"/>
  <c r="D149" i="7"/>
  <c r="M32" i="7" s="1"/>
  <c r="D232" i="7"/>
  <c r="Q28" i="7" s="1"/>
  <c r="D315" i="7"/>
  <c r="U27" i="7" s="1"/>
  <c r="D60" i="7"/>
  <c r="I22" i="7" s="1"/>
  <c r="D143" i="7"/>
  <c r="M21" i="7" s="1"/>
  <c r="D226" i="7"/>
  <c r="Q20" i="7" s="1"/>
  <c r="D256" i="7"/>
  <c r="R34" i="7" s="1"/>
  <c r="D86" i="7"/>
  <c r="J32" i="7" s="1"/>
  <c r="D253" i="7"/>
  <c r="R28" i="7" s="1"/>
  <c r="D83" i="7"/>
  <c r="J26" i="7" s="1"/>
  <c r="D250" i="7"/>
  <c r="R25" i="7" s="1"/>
  <c r="D80" i="7"/>
  <c r="J21" i="7" s="1"/>
  <c r="D247" i="7"/>
  <c r="R20" i="7" s="1"/>
  <c r="D223" i="7"/>
  <c r="Q15" i="7" s="1"/>
  <c r="D264" i="7"/>
  <c r="S14" i="7" s="1"/>
  <c r="D330" i="7"/>
  <c r="V19" i="7" s="1"/>
  <c r="D160" i="7"/>
  <c r="N15" i="7" s="1"/>
  <c r="D306" i="7"/>
  <c r="U14" i="7" s="1"/>
  <c r="D31" i="7"/>
  <c r="H10" i="7" s="1"/>
  <c r="D28" i="7"/>
  <c r="H7" i="7" s="1"/>
  <c r="D241" i="7"/>
  <c r="R10" i="7" s="1"/>
  <c r="D238" i="7"/>
  <c r="R7" i="7" s="1"/>
  <c r="D51" i="7"/>
  <c r="I9" i="7" s="1"/>
  <c r="D187" i="7"/>
  <c r="O25" i="7" s="1"/>
  <c r="D296" i="7"/>
  <c r="T32" i="7" s="1"/>
  <c r="D260" i="7"/>
  <c r="S8" i="7" s="1"/>
  <c r="D94" i="7"/>
  <c r="K10" i="7" s="1"/>
  <c r="D134" i="7"/>
  <c r="M8" i="7" s="1"/>
  <c r="D48" i="7"/>
  <c r="H39" i="7" s="1"/>
  <c r="D215" i="7"/>
  <c r="P38" i="7" s="1"/>
  <c r="D107" i="7"/>
  <c r="K32" i="7" s="1"/>
  <c r="D190" i="7"/>
  <c r="O28" i="7" s="1"/>
  <c r="D273" i="7"/>
  <c r="S27" i="7" s="1"/>
  <c r="D101" i="7"/>
  <c r="K21" i="7" s="1"/>
  <c r="D184" i="7"/>
  <c r="O20" i="7" s="1"/>
  <c r="D214" i="7"/>
  <c r="P34" i="7" s="1"/>
  <c r="D44" i="7"/>
  <c r="H32" i="7" s="1"/>
  <c r="D211" i="7"/>
  <c r="P28" i="7" s="1"/>
  <c r="D41" i="7"/>
  <c r="H26" i="7" s="1"/>
  <c r="D208" i="7"/>
  <c r="P25" i="7" s="1"/>
  <c r="D38" i="7"/>
  <c r="H21" i="7" s="1"/>
  <c r="D205" i="7"/>
  <c r="P20" i="7" s="1"/>
  <c r="D181" i="7"/>
  <c r="O15" i="7" s="1"/>
  <c r="D180" i="7"/>
  <c r="O14" i="7" s="1"/>
  <c r="D282" i="7"/>
  <c r="T9" i="7" s="1"/>
  <c r="D121" i="7"/>
  <c r="L20" i="7" s="1"/>
  <c r="D288" i="7"/>
  <c r="T19" i="7" s="1"/>
  <c r="D118" i="7"/>
  <c r="L15" i="7" s="1"/>
  <c r="D222" i="7"/>
  <c r="Q14" i="7" s="1"/>
  <c r="D157" i="7"/>
  <c r="N10" i="7" s="1"/>
  <c r="D154" i="7"/>
  <c r="N7" i="7" s="1"/>
  <c r="D217" i="7"/>
  <c r="Q7" i="7" s="1"/>
  <c r="D309" i="7"/>
  <c r="U19" i="7" s="1"/>
  <c r="D197" i="7"/>
  <c r="P8" i="7" s="1"/>
  <c r="D178" i="7"/>
  <c r="O10" i="7" s="1"/>
  <c r="D218" i="7"/>
  <c r="Q8" i="7" s="1"/>
  <c r="D52" i="7"/>
  <c r="I10" i="7" s="1"/>
  <c r="D318" i="7"/>
  <c r="U33" i="7" s="1"/>
  <c r="D173" i="7"/>
  <c r="N38" i="7" s="1"/>
  <c r="D277" i="7"/>
  <c r="S34" i="7" s="1"/>
  <c r="D65" i="7"/>
  <c r="I32" i="7" s="1"/>
  <c r="D148" i="7"/>
  <c r="M28" i="7" s="1"/>
  <c r="D231" i="7"/>
  <c r="Q27" i="7" s="1"/>
  <c r="D314" i="7"/>
  <c r="U26" i="7" s="1"/>
  <c r="D59" i="7"/>
  <c r="I21" i="7" s="1"/>
  <c r="D142" i="7"/>
  <c r="M20" i="7" s="1"/>
  <c r="D308" i="7"/>
  <c r="U16" i="7" s="1"/>
  <c r="D172" i="7"/>
  <c r="N34" i="7" s="1"/>
  <c r="D339" i="7"/>
  <c r="V33" i="7" s="1"/>
  <c r="D169" i="7"/>
  <c r="N28" i="7" s="1"/>
  <c r="D336" i="7"/>
  <c r="V27" i="7" s="1"/>
  <c r="D166" i="7"/>
  <c r="N25" i="7" s="1"/>
  <c r="D333" i="7"/>
  <c r="V22" i="7" s="1"/>
  <c r="D163" i="7"/>
  <c r="N20" i="7" s="1"/>
  <c r="D139" i="7"/>
  <c r="M15" i="7" s="1"/>
  <c r="D96" i="7"/>
  <c r="K14" i="7" s="1"/>
  <c r="D114" i="7"/>
  <c r="L9" i="7" s="1"/>
  <c r="D79" i="7"/>
  <c r="J20" i="7" s="1"/>
  <c r="D246" i="7"/>
  <c r="R19" i="7" s="1"/>
  <c r="D76" i="7"/>
  <c r="J15" i="7" s="1"/>
  <c r="D138" i="7"/>
  <c r="M14" i="7" s="1"/>
  <c r="D327" i="7"/>
  <c r="V14" i="7" s="1"/>
  <c r="D73" i="7"/>
  <c r="J10" i="7" s="1"/>
  <c r="D70" i="7"/>
  <c r="J7" i="7" s="1"/>
  <c r="D278" i="7"/>
  <c r="S38" i="7" s="1"/>
  <c r="D290" i="7"/>
  <c r="T21" i="7" s="1"/>
  <c r="D262" i="7"/>
  <c r="S10" i="7" s="1"/>
  <c r="D302" i="7"/>
  <c r="U8" i="7" s="1"/>
  <c r="D136" i="7"/>
  <c r="M10" i="7" s="1"/>
  <c r="D234" i="7"/>
  <c r="Q33" i="7" s="1"/>
  <c r="D131" i="7"/>
  <c r="L38" i="7" s="1"/>
  <c r="D193" i="7"/>
  <c r="O34" i="7" s="1"/>
  <c r="D106" i="7"/>
  <c r="K28" i="7" s="1"/>
  <c r="D189" i="7"/>
  <c r="O27" i="7" s="1"/>
  <c r="D272" i="7"/>
  <c r="S26" i="7" s="1"/>
  <c r="D58" i="7"/>
  <c r="I20" i="7" s="1"/>
  <c r="D224" i="7"/>
  <c r="Q16" i="7" s="1"/>
  <c r="D130" i="7"/>
  <c r="L34" i="7" s="1"/>
  <c r="D297" i="7"/>
  <c r="T33" i="7" s="1"/>
  <c r="D127" i="7"/>
  <c r="L28" i="7" s="1"/>
  <c r="D294" i="7"/>
  <c r="T27" i="7" s="1"/>
  <c r="D124" i="7"/>
  <c r="L25" i="7" s="1"/>
  <c r="D291" i="7"/>
  <c r="T22" i="7" s="1"/>
  <c r="D100" i="7"/>
  <c r="K20" i="7" s="1"/>
  <c r="D266" i="7"/>
  <c r="S16" i="7" s="1"/>
  <c r="D97" i="7"/>
  <c r="K15" i="7" s="1"/>
  <c r="D37" i="7"/>
  <c r="H20" i="7" s="1"/>
  <c r="D204" i="7"/>
  <c r="P19" i="7" s="1"/>
  <c r="D34" i="7"/>
  <c r="H15" i="7" s="1"/>
  <c r="D54" i="7"/>
  <c r="I14" i="7" s="1"/>
  <c r="D198" i="7"/>
  <c r="P9" i="7" s="1"/>
  <c r="D285" i="7"/>
  <c r="T14" i="7" s="1"/>
  <c r="D326" i="7"/>
  <c r="V13" i="7" s="1"/>
  <c r="D323" i="7"/>
  <c r="V8" i="7" s="1"/>
  <c r="D104" i="7"/>
  <c r="K26" i="7" s="1"/>
  <c r="D123" i="7"/>
  <c r="L22" i="7" s="1"/>
  <c r="D91" i="7"/>
  <c r="K7" i="7" s="1"/>
  <c r="D220" i="7"/>
  <c r="Q10" i="7" s="1"/>
  <c r="D321" i="7"/>
  <c r="U39" i="7" s="1"/>
  <c r="D150" i="7"/>
  <c r="M33" i="7" s="1"/>
  <c r="D89" i="7"/>
  <c r="J38" i="7" s="1"/>
  <c r="D109" i="7"/>
  <c r="K34" i="7" s="1"/>
  <c r="D64" i="7"/>
  <c r="I28" i="7" s="1"/>
  <c r="D147" i="7"/>
  <c r="M27" i="7" s="1"/>
  <c r="D230" i="7"/>
  <c r="Q26" i="7" s="1"/>
  <c r="D313" i="7"/>
  <c r="U25" i="7" s="1"/>
  <c r="D140" i="7"/>
  <c r="M16" i="7" s="1"/>
  <c r="D88" i="7"/>
  <c r="J34" i="7" s="1"/>
  <c r="D255" i="7"/>
  <c r="R33" i="7" s="1"/>
  <c r="D85" i="7"/>
  <c r="J28" i="7" s="1"/>
  <c r="D252" i="7"/>
  <c r="R27" i="7" s="1"/>
  <c r="D82" i="7"/>
  <c r="J25" i="7" s="1"/>
  <c r="D249" i="7"/>
  <c r="R22" i="7" s="1"/>
  <c r="D182" i="7"/>
  <c r="O16" i="7" s="1"/>
  <c r="D55" i="7"/>
  <c r="I15" i="7" s="1"/>
  <c r="D162" i="7"/>
  <c r="N19" i="7" s="1"/>
  <c r="D329" i="7"/>
  <c r="V16" i="7" s="1"/>
  <c r="D30" i="7"/>
  <c r="H9" i="7" s="1"/>
  <c r="D243" i="7"/>
  <c r="R14" i="7" s="1"/>
  <c r="D242" i="7"/>
  <c r="R13" i="7" s="1"/>
  <c r="D239" i="7"/>
  <c r="R8" i="7" s="1"/>
  <c r="D300" i="7"/>
  <c r="T39" i="7" s="1"/>
  <c r="D293" i="7"/>
  <c r="T26" i="7" s="1"/>
  <c r="D36" i="7"/>
  <c r="H19" i="7" s="1"/>
  <c r="D175" i="7"/>
  <c r="O7" i="7" s="1"/>
  <c r="D49" i="7"/>
  <c r="I7" i="7" s="1"/>
  <c r="D304" i="7"/>
  <c r="U10" i="7" s="1"/>
  <c r="D279" i="7"/>
  <c r="S39" i="7" s="1"/>
  <c r="D47" i="7"/>
  <c r="H38" i="7" s="1"/>
  <c r="D105" i="7"/>
  <c r="K27" i="7" s="1"/>
  <c r="D188" i="7"/>
  <c r="O26" i="7" s="1"/>
  <c r="D271" i="7"/>
  <c r="S25" i="7" s="1"/>
  <c r="D56" i="7"/>
  <c r="I16" i="7" s="1"/>
  <c r="D46" i="7"/>
  <c r="H34" i="7" s="1"/>
  <c r="D213" i="7"/>
  <c r="P33" i="7" s="1"/>
  <c r="D43" i="7"/>
  <c r="H28" i="7" s="1"/>
  <c r="D210" i="7"/>
  <c r="P27" i="7" s="1"/>
  <c r="D40" i="7"/>
  <c r="H25" i="7" s="1"/>
  <c r="D207" i="7"/>
  <c r="P22" i="7" s="1"/>
  <c r="D98" i="7"/>
  <c r="K16" i="7" s="1"/>
  <c r="D284" i="7"/>
  <c r="T13" i="7" s="1"/>
  <c r="D281" i="7"/>
  <c r="T8" i="7" s="1"/>
  <c r="D120" i="7"/>
  <c r="L19" i="7" s="1"/>
  <c r="D287" i="7"/>
  <c r="T16" i="7" s="1"/>
  <c r="D201" i="7"/>
  <c r="P14" i="7" s="1"/>
  <c r="D158" i="7"/>
  <c r="N13" i="7" s="1"/>
  <c r="D155" i="7"/>
  <c r="N8" i="7" s="1"/>
  <c r="D195" i="7"/>
  <c r="O39" i="7" s="1"/>
  <c r="D203" i="7"/>
  <c r="P16" i="7" s="1"/>
  <c r="D259" i="7"/>
  <c r="S7" i="7" s="1"/>
  <c r="D93" i="7"/>
  <c r="K9" i="7" s="1"/>
  <c r="D133" i="7"/>
  <c r="M7" i="7" s="1"/>
  <c r="D237" i="7"/>
  <c r="Q39" i="7" s="1"/>
  <c r="D320" i="7"/>
  <c r="U38" i="7" s="1"/>
  <c r="D342" i="7"/>
  <c r="D63" i="7"/>
  <c r="I27" i="7" s="1"/>
  <c r="D146" i="7"/>
  <c r="M26" i="7" s="1"/>
  <c r="D229" i="7"/>
  <c r="Q25" i="7" s="1"/>
  <c r="D312" i="7"/>
  <c r="U22" i="7" s="1"/>
  <c r="D171" i="7"/>
  <c r="N33" i="7" s="1"/>
  <c r="D338" i="7"/>
  <c r="V32" i="7" s="1"/>
  <c r="D168" i="7"/>
  <c r="N27" i="7" s="1"/>
  <c r="D335" i="7"/>
  <c r="V26" i="7" s="1"/>
  <c r="D165" i="7"/>
  <c r="N22" i="7" s="1"/>
  <c r="D332" i="7"/>
  <c r="V21" i="7" s="1"/>
  <c r="D116" i="7"/>
  <c r="L13" i="7" s="1"/>
  <c r="D113" i="7"/>
  <c r="L8" i="7" s="1"/>
  <c r="D78" i="7"/>
  <c r="J19" i="7" s="1"/>
  <c r="D245" i="7"/>
  <c r="R16" i="7" s="1"/>
  <c r="D159" i="7"/>
  <c r="N14" i="7" s="1"/>
  <c r="D74" i="7"/>
  <c r="J13" i="7" s="1"/>
  <c r="D71" i="7"/>
  <c r="J8" i="7" s="1"/>
  <c r="AE302" i="10"/>
  <c r="AJ302" i="10" s="1"/>
  <c r="D300" i="11" s="1"/>
  <c r="AH29" i="3"/>
  <c r="D27" i="7" s="1"/>
  <c r="AE301" i="10"/>
  <c r="AJ301" i="10" s="1"/>
  <c r="D299" i="11" s="1"/>
  <c r="AH28" i="3"/>
  <c r="D26" i="7" s="1"/>
  <c r="AE299" i="10"/>
  <c r="AJ299" i="10" s="1"/>
  <c r="D297" i="11" s="1"/>
  <c r="AH26" i="3"/>
  <c r="D24" i="7" s="1"/>
  <c r="AE298" i="10"/>
  <c r="AJ298" i="10" s="1"/>
  <c r="D296" i="11" s="1"/>
  <c r="AH25" i="3"/>
  <c r="D23" i="7" s="1"/>
  <c r="AE297" i="10"/>
  <c r="AJ297" i="10" s="1"/>
  <c r="D295" i="11" s="1"/>
  <c r="AH24" i="3"/>
  <c r="D22" i="7" s="1"/>
  <c r="AE296" i="10"/>
  <c r="AJ296" i="10" s="1"/>
  <c r="D294" i="11" s="1"/>
  <c r="AH23" i="3"/>
  <c r="D21" i="7" s="1"/>
  <c r="AE295" i="10"/>
  <c r="AH22" i="3"/>
  <c r="D20" i="7" s="1"/>
  <c r="AF211" i="10"/>
  <c r="AJ211" i="10" s="1"/>
  <c r="D209" i="11" s="1"/>
  <c r="P26" i="11" s="1"/>
  <c r="AF127" i="10"/>
  <c r="AJ127" i="10"/>
  <c r="D125" i="11" s="1"/>
  <c r="L26" i="11" s="1"/>
  <c r="AF43" i="10"/>
  <c r="AJ43" i="10" s="1"/>
  <c r="AE294" i="10"/>
  <c r="AJ294" i="10" s="1"/>
  <c r="D292" i="11" s="1"/>
  <c r="AH21" i="3"/>
  <c r="D19" i="7" s="1"/>
  <c r="AE293" i="10"/>
  <c r="AJ293" i="10" s="1"/>
  <c r="D291" i="11" s="1"/>
  <c r="AH20" i="3"/>
  <c r="D18" i="7" s="1"/>
  <c r="AE292" i="10"/>
  <c r="AJ292" i="10" s="1"/>
  <c r="D290" i="11" s="1"/>
  <c r="AH19" i="3"/>
  <c r="D17" i="7" s="1"/>
  <c r="AF232" i="10"/>
  <c r="AJ232" i="10" s="1"/>
  <c r="D230" i="11" s="1"/>
  <c r="Q26" i="11" s="1"/>
  <c r="AF148" i="10"/>
  <c r="AJ148" i="10" s="1"/>
  <c r="D146" i="11" s="1"/>
  <c r="M26" i="11" s="1"/>
  <c r="AF64" i="10"/>
  <c r="AJ64" i="10" s="1"/>
  <c r="AE288" i="10"/>
  <c r="AJ288" i="10" s="1"/>
  <c r="D286" i="11" s="1"/>
  <c r="AH15" i="3"/>
  <c r="D13" i="7" s="1"/>
  <c r="AE287" i="10"/>
  <c r="AJ287" i="10" s="1"/>
  <c r="D285" i="11" s="1"/>
  <c r="AH14" i="3"/>
  <c r="D12" i="7" s="1"/>
  <c r="AE282" i="10"/>
  <c r="AJ282" i="10" s="1"/>
  <c r="D280" i="11" s="1"/>
  <c r="AH9" i="3"/>
  <c r="D7" i="7" s="1"/>
  <c r="AE283" i="10"/>
  <c r="AJ283" i="10" s="1"/>
  <c r="D281" i="11" s="1"/>
  <c r="AH10" i="3"/>
  <c r="D8" i="7" s="1"/>
  <c r="AE284" i="10"/>
  <c r="AJ284" i="10" s="1"/>
  <c r="D282" i="11" s="1"/>
  <c r="AH11" i="3"/>
  <c r="D9" i="7" s="1"/>
  <c r="AE285" i="10"/>
  <c r="AJ285" i="10" s="1"/>
  <c r="D283" i="11" s="1"/>
  <c r="AH12" i="3"/>
  <c r="D10" i="7" s="1"/>
  <c r="AE286" i="10"/>
  <c r="AJ286" i="10" s="1"/>
  <c r="D284" i="11" s="1"/>
  <c r="AH13" i="3"/>
  <c r="D11" i="7" s="1"/>
  <c r="AE300" i="10"/>
  <c r="AJ300" i="10" s="1"/>
  <c r="D298" i="11" s="1"/>
  <c r="AH27" i="3"/>
  <c r="D25" i="7" s="1"/>
  <c r="AF253" i="10"/>
  <c r="AJ253" i="10" s="1"/>
  <c r="D251" i="11" s="1"/>
  <c r="R26" i="11" s="1"/>
  <c r="AF169" i="10"/>
  <c r="AJ169" i="10" s="1"/>
  <c r="D167" i="11" s="1"/>
  <c r="N26" i="11" s="1"/>
  <c r="AF85" i="10"/>
  <c r="AJ85" i="10"/>
  <c r="AF274" i="10"/>
  <c r="AJ274" i="10"/>
  <c r="D272" i="11" s="1"/>
  <c r="S26" i="11" s="1"/>
  <c r="AF190" i="10"/>
  <c r="AJ190" i="10" s="1"/>
  <c r="D188" i="11" s="1"/>
  <c r="O26" i="11" s="1"/>
  <c r="AF106" i="10"/>
  <c r="AJ106" i="10" s="1"/>
  <c r="D104" i="11" s="1"/>
  <c r="K26" i="11" s="1"/>
  <c r="AF22" i="10"/>
  <c r="AJ22" i="10"/>
  <c r="AE291" i="10"/>
  <c r="AJ291" i="10" s="1"/>
  <c r="D289" i="11" s="1"/>
  <c r="AH18" i="3"/>
  <c r="D16" i="7" s="1"/>
  <c r="AE290" i="10"/>
  <c r="AJ290" i="10" s="1"/>
  <c r="D288" i="11" s="1"/>
  <c r="AH17" i="3"/>
  <c r="D15" i="7" s="1"/>
  <c r="AE289" i="10"/>
  <c r="AJ289" i="10" s="1"/>
  <c r="D287" i="11" s="1"/>
  <c r="AH16" i="3"/>
  <c r="D14" i="7" s="1"/>
  <c r="E288" i="11" l="1"/>
  <c r="H288" i="11" s="1"/>
  <c r="G19" i="7"/>
  <c r="AM22" i="10"/>
  <c r="D20" i="11"/>
  <c r="G26" i="11" s="1"/>
  <c r="AM25" i="10"/>
  <c r="D83" i="11"/>
  <c r="J26" i="11" s="1"/>
  <c r="G13" i="7"/>
  <c r="E284" i="11"/>
  <c r="H284" i="11" s="1"/>
  <c r="G10" i="7"/>
  <c r="E283" i="11"/>
  <c r="H283" i="11" s="1"/>
  <c r="G9" i="7"/>
  <c r="E282" i="11"/>
  <c r="H282" i="11" s="1"/>
  <c r="G8" i="7"/>
  <c r="E281" i="11"/>
  <c r="H281" i="11" s="1"/>
  <c r="G7" i="7"/>
  <c r="E280" i="11"/>
  <c r="H280" i="11" s="1"/>
  <c r="G14" i="7"/>
  <c r="E285" i="11"/>
  <c r="H285" i="11" s="1"/>
  <c r="E286" i="11"/>
  <c r="H286" i="11" s="1"/>
  <c r="G15" i="7"/>
  <c r="D62" i="11"/>
  <c r="I26" i="11" s="1"/>
  <c r="AM24" i="10"/>
  <c r="E290" i="11"/>
  <c r="H290" i="11" s="1"/>
  <c r="G21" i="7"/>
  <c r="G22" i="7"/>
  <c r="E291" i="11"/>
  <c r="H291" i="11" s="1"/>
  <c r="E292" i="11"/>
  <c r="H292" i="11" s="1"/>
  <c r="G25" i="7"/>
  <c r="D41" i="11"/>
  <c r="H26" i="11" s="1"/>
  <c r="AM23" i="10"/>
  <c r="G26" i="7"/>
  <c r="E293" i="11"/>
  <c r="H293" i="11" s="1"/>
  <c r="E294" i="11"/>
  <c r="H294" i="11" s="1"/>
  <c r="G27" i="7"/>
  <c r="G28" i="7"/>
  <c r="E295" i="11"/>
  <c r="H295" i="11" s="1"/>
  <c r="E296" i="11"/>
  <c r="H296" i="11" s="1"/>
  <c r="G32" i="7"/>
  <c r="G33" i="7"/>
  <c r="E297" i="11"/>
  <c r="H297" i="11" s="1"/>
  <c r="G38" i="7"/>
  <c r="E299" i="11"/>
  <c r="H299" i="11" s="1"/>
  <c r="E300" i="11"/>
  <c r="H300" i="11" s="1"/>
  <c r="G39" i="7"/>
  <c r="G16" i="7"/>
  <c r="E287" i="11"/>
  <c r="H287" i="11" s="1"/>
  <c r="G20" i="7"/>
  <c r="E289" i="11"/>
  <c r="H289" i="11" s="1"/>
  <c r="E298" i="11"/>
  <c r="H298" i="11" s="1"/>
  <c r="G34" i="7"/>
  <c r="T16" i="11"/>
  <c r="G287" i="11"/>
  <c r="T19" i="11"/>
  <c r="G288" i="11"/>
  <c r="G289" i="11"/>
  <c r="T20" i="11"/>
  <c r="T34" i="11"/>
  <c r="G298" i="11"/>
  <c r="G284" i="11"/>
  <c r="T13" i="11"/>
  <c r="G283" i="11"/>
  <c r="T10" i="11"/>
  <c r="T9" i="11"/>
  <c r="G282" i="11"/>
  <c r="T8" i="11"/>
  <c r="G281" i="11"/>
  <c r="G280" i="11"/>
  <c r="T7" i="11"/>
  <c r="G285" i="11"/>
  <c r="T14" i="11"/>
  <c r="G286" i="11"/>
  <c r="T15" i="11"/>
  <c r="G290" i="11"/>
  <c r="T21" i="11"/>
  <c r="T22" i="11"/>
  <c r="G291" i="11"/>
  <c r="G292" i="11"/>
  <c r="T25" i="11"/>
  <c r="AF295" i="10"/>
  <c r="AJ295" i="10" s="1"/>
  <c r="D293" i="11" s="1"/>
  <c r="T27" i="11"/>
  <c r="G294" i="11"/>
  <c r="T28" i="11"/>
  <c r="G295" i="11"/>
  <c r="G296" i="11"/>
  <c r="T32" i="11"/>
  <c r="T33" i="11"/>
  <c r="G297" i="11"/>
  <c r="T38" i="11"/>
  <c r="G299" i="11"/>
  <c r="T39" i="11"/>
  <c r="G300" i="11"/>
  <c r="G293" i="11" l="1"/>
  <c r="T2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  <author>Belzer, David B</author>
    <author>David</author>
  </authors>
  <commentList>
    <comment ref="AN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Calculated as sum of quantity x price for eaqh fuel</t>
        </r>
      </text>
    </comment>
    <comment ref="Y77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In Table 7.6, original implied price was calc. as 30/1, but 1 is rounded.  Changed 1 to 1.5</t>
        </r>
      </text>
    </comment>
    <comment ref="AN89" authorId="2" shapeId="0" xr:uid="{CC1B21DE-69B0-4585-AB55-F689106B5D35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Calculated cost for all purchased-offsite fuels.  Won't match T. 7.6 in column AP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Belzer, David B</author>
  </authors>
  <commentList>
    <comment ref="AJ1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Include coke, only for 331
</t>
        </r>
      </text>
    </comment>
    <comment ref="AV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Roughly estimate coke price as 3 x coal price</t>
        </r>
      </text>
    </comment>
    <comment ref="AJ45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Include coke, only for 331
</t>
        </r>
      </text>
    </comment>
    <comment ref="AV45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Roughly estimate coke price as 3 x coal price</t>
        </r>
      </text>
    </comment>
    <comment ref="AJ75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Include coke, only for 331
</t>
        </r>
      </text>
    </comment>
    <comment ref="AV7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Roughly estimate coke price as 3 x coal price</t>
        </r>
      </text>
    </comment>
    <comment ref="AW77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In Table 7.6, original implied price was calc. as 30/1, but 1 is rounded.  Changed 1 to 1.5</t>
        </r>
      </text>
    </comment>
    <comment ref="AJ131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Include coke, only for 331
</t>
        </r>
      </text>
    </comment>
    <comment ref="AV13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Roughly estimate coke price as 3 x coal price</t>
        </r>
      </text>
    </comment>
    <comment ref="AW133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In Table 7.6, original implied price was calc. as 30/1, but 1 is rounded.  Changed 1 to 1.5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tc={5602317C-7801-476C-8E48-08F8529620D5}</author>
  </authors>
  <commentList>
    <comment ref="G218" authorId="0" shapeId="0" xr:uid="{5602317C-7801-476C-8E48-08F8529620D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using Table 3.2, all data converted to TBTU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Belzer, David B</author>
  </authors>
  <commentList>
    <comment ref="E10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A25, from MECS 1991.  SIC linked to closest NAICS</t>
        </r>
      </text>
    </comment>
    <comment ref="F1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A20 from 1994 MECS</t>
        </r>
      </text>
    </comment>
    <comment ref="C12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Adjust price to include beverages, weight 70% beverage, 30% tobacco</t>
        </r>
      </text>
    </comment>
    <comment ref="E19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assume 10% decline from 1988
</t>
        </r>
      </text>
    </comment>
    <comment ref="C27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D27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27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F27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39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A25, from MECS 1991.  SIC linked to closest NAICS</t>
        </r>
      </text>
    </comment>
    <comment ref="F39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A20 from 1994 MECS</t>
        </r>
      </text>
    </comment>
    <comment ref="C56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D56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56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F56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68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A25, from MECS 1991.  SIC linked to closest NAICS</t>
        </r>
      </text>
    </comment>
    <comment ref="F68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A20 from 1994 MECS</t>
        </r>
      </text>
    </comment>
    <comment ref="C85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D85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85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F85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99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A25, from MECS 1991.  SIC linked to closest NAICS</t>
        </r>
      </text>
    </comment>
    <comment ref="F99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A20 from 1994 MECS</t>
        </r>
      </text>
    </comment>
    <comment ref="C116" authorId="0" shapeId="0" xr:uid="{00000000-0006-0000-0500-000017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D116" authorId="0" shapeId="0" xr:uid="{00000000-0006-0000-0500-000018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116" authorId="0" shapeId="0" xr:uid="{00000000-0006-0000-0500-000019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F116" authorId="0" shapeId="0" xr:uid="{00000000-0006-0000-0500-00001A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128" authorId="0" shapeId="0" xr:uid="{00000000-0006-0000-0500-00001B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A25, from MECS 1991.  SIC linked to closest NAICS</t>
        </r>
      </text>
    </comment>
    <comment ref="F128" authorId="0" shapeId="0" xr:uid="{00000000-0006-0000-0500-00001C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A20 from 1994 MECS</t>
        </r>
      </text>
    </comment>
    <comment ref="C145" authorId="0" shapeId="0" xr:uid="{00000000-0006-0000-0500-00001D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D145" authorId="0" shapeId="0" xr:uid="{00000000-0006-0000-0500-00001E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145" authorId="0" shapeId="0" xr:uid="{00000000-0006-0000-0500-00001F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F145" authorId="0" shapeId="0" xr:uid="{00000000-0006-0000-0500-000020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159" authorId="0" shapeId="0" xr:uid="{00000000-0006-0000-0500-000021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A25, from MECS 1991.  SIC linked to closest NAICS</t>
        </r>
      </text>
    </comment>
    <comment ref="F159" authorId="0" shapeId="0" xr:uid="{00000000-0006-0000-0500-000022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A20 from 1994 MECS</t>
        </r>
      </text>
    </comment>
    <comment ref="C176" authorId="0" shapeId="0" xr:uid="{00000000-0006-0000-0500-000023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D176" authorId="0" shapeId="0" xr:uid="{00000000-0006-0000-0500-000024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176" authorId="0" shapeId="0" xr:uid="{00000000-0006-0000-0500-000025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F176" authorId="0" shapeId="0" xr:uid="{00000000-0006-0000-0500-000026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190" authorId="0" shapeId="0" xr:uid="{00000000-0006-0000-0500-000027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A25, from MECS 1991.  SIC linked to closest NAICS</t>
        </r>
      </text>
    </comment>
    <comment ref="F190" authorId="0" shapeId="0" xr:uid="{00000000-0006-0000-0500-000028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Table A20 from 1994 MECS</t>
        </r>
      </text>
    </comment>
    <comment ref="C207" authorId="0" shapeId="0" xr:uid="{00000000-0006-0000-0500-000029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D207" authorId="0" shapeId="0" xr:uid="{00000000-0006-0000-0500-00002A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E207" authorId="0" shapeId="0" xr:uid="{00000000-0006-0000-0500-00002B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  <comment ref="F207" authorId="0" shapeId="0" xr:uid="{00000000-0006-0000-0500-00002C000000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70% weight on electrical equipment and 30% on Instruments
</t>
        </r>
      </text>
    </comment>
  </commentList>
</comments>
</file>

<file path=xl/sharedStrings.xml><?xml version="1.0" encoding="utf-8"?>
<sst xmlns="http://schemas.openxmlformats.org/spreadsheetml/2006/main" count="2332" uniqueCount="351">
  <si>
    <t>Total</t>
  </si>
  <si>
    <t>Fuel</t>
  </si>
  <si>
    <t>Electricity</t>
  </si>
  <si>
    <t>Expenditures</t>
  </si>
  <si>
    <t>Purchased Fuel</t>
  </si>
  <si>
    <t>Pub Price</t>
  </si>
  <si>
    <t>All Energy</t>
  </si>
  <si>
    <t>Calc. Price-1</t>
  </si>
  <si>
    <t>Calc Price-2</t>
  </si>
  <si>
    <t>Quantity of Purchased Energy</t>
  </si>
  <si>
    <t>311</t>
  </si>
  <si>
    <t>Food</t>
  </si>
  <si>
    <t>312</t>
  </si>
  <si>
    <t>Beverage and Tobacco Products</t>
  </si>
  <si>
    <t>313</t>
  </si>
  <si>
    <t>Textile Mills</t>
  </si>
  <si>
    <t>314</t>
  </si>
  <si>
    <t>Textile Product Mills</t>
  </si>
  <si>
    <t>315</t>
  </si>
  <si>
    <t>Apparel</t>
  </si>
  <si>
    <t>316</t>
  </si>
  <si>
    <t>Leather and Allied Products</t>
  </si>
  <si>
    <t>321</t>
  </si>
  <si>
    <t>Wood Products</t>
  </si>
  <si>
    <t>322</t>
  </si>
  <si>
    <t>Paper</t>
  </si>
  <si>
    <t>323</t>
  </si>
  <si>
    <t>Printing and Related Support</t>
  </si>
  <si>
    <t>324</t>
  </si>
  <si>
    <t>Petroleum and Coal Products</t>
  </si>
  <si>
    <t>325</t>
  </si>
  <si>
    <t>Chemicals</t>
  </si>
  <si>
    <t>326</t>
  </si>
  <si>
    <t>Plastics and Rubber Products</t>
  </si>
  <si>
    <t>327</t>
  </si>
  <si>
    <t>Nonmetallic Mineral Products</t>
  </si>
  <si>
    <t>331</t>
  </si>
  <si>
    <t>Primary Metals</t>
  </si>
  <si>
    <t>332</t>
  </si>
  <si>
    <t>Fabricated Metal Products</t>
  </si>
  <si>
    <t>333</t>
  </si>
  <si>
    <t>Machinery</t>
  </si>
  <si>
    <t>334</t>
  </si>
  <si>
    <t>Computer and Electronic Products</t>
  </si>
  <si>
    <t>335</t>
  </si>
  <si>
    <t>Electrical Equip., Appliances, and Components</t>
  </si>
  <si>
    <t>336</t>
  </si>
  <si>
    <t>Transportation Equipment</t>
  </si>
  <si>
    <t>337</t>
  </si>
  <si>
    <t>Furniture and Related Products</t>
  </si>
  <si>
    <t>339</t>
  </si>
  <si>
    <t>Miscellaneous</t>
  </si>
  <si>
    <t>Calculated Total</t>
  </si>
  <si>
    <t>Residual</t>
  </si>
  <si>
    <t>Distillate</t>
  </si>
  <si>
    <t>LPG and</t>
  </si>
  <si>
    <t>Coke</t>
  </si>
  <si>
    <t>Electricity(b)</t>
  </si>
  <si>
    <t>Fuel Oil</t>
  </si>
  <si>
    <t>Fuel Oil(c)</t>
  </si>
  <si>
    <t>Natural Gas(d)</t>
  </si>
  <si>
    <t>NGL(e)</t>
  </si>
  <si>
    <t>Coal</t>
  </si>
  <si>
    <t>and Breeze</t>
  </si>
  <si>
    <t>Other(f)</t>
  </si>
  <si>
    <t xml:space="preserve">  Calc. Total</t>
  </si>
  <si>
    <t>Pub. Total</t>
  </si>
  <si>
    <t>Nat. Gas</t>
  </si>
  <si>
    <t>LPG</t>
  </si>
  <si>
    <t>Other</t>
  </si>
  <si>
    <t>Prices (from Table 7.2)</t>
  </si>
  <si>
    <t xml:space="preserve">Coal </t>
  </si>
  <si>
    <t>Pub Elec</t>
  </si>
  <si>
    <t>Calc Elec</t>
  </si>
  <si>
    <t>Pub. Energy</t>
  </si>
  <si>
    <t>Calc Fuels</t>
  </si>
  <si>
    <t>Cost-Energy</t>
  </si>
  <si>
    <t>Calc Price</t>
  </si>
  <si>
    <t>Quantity of Purchased Fuels Table 4.2</t>
  </si>
  <si>
    <t>Calculated or Published Price</t>
  </si>
  <si>
    <t>Calc Fuels Cost</t>
  </si>
  <si>
    <t>Table 7.2 (+ calculated price for Other)</t>
  </si>
  <si>
    <t>2012 data and shares</t>
  </si>
  <si>
    <t>Gas</t>
  </si>
  <si>
    <t>Oil</t>
  </si>
  <si>
    <t>Quantity Shares</t>
  </si>
  <si>
    <t xml:space="preserve"> Total</t>
  </si>
  <si>
    <t>MECS 1998</t>
  </si>
  <si>
    <t>ASM-CPF</t>
  </si>
  <si>
    <t xml:space="preserve"> Revised</t>
  </si>
  <si>
    <t xml:space="preserve">  Original</t>
  </si>
  <si>
    <t>Calc. Cost of Fuels</t>
  </si>
  <si>
    <t>MECS/ASM</t>
  </si>
  <si>
    <t>Published Energy Cost</t>
  </si>
  <si>
    <t>Energy Expen</t>
  </si>
  <si>
    <t>Published</t>
  </si>
  <si>
    <t xml:space="preserve">Calculated </t>
  </si>
  <si>
    <t>Fuel Expen</t>
  </si>
  <si>
    <t>Energy/Fuel</t>
  </si>
  <si>
    <t>Fuel/Energy</t>
  </si>
  <si>
    <t>MECS 2006</t>
  </si>
  <si>
    <t>Instruments</t>
  </si>
  <si>
    <t>Natural Gas</t>
  </si>
  <si>
    <t>Table 12</t>
  </si>
  <si>
    <t>T. A20</t>
  </si>
  <si>
    <t>T. 30</t>
  </si>
  <si>
    <t>Food ratio</t>
  </si>
  <si>
    <t>T. A25, p.175</t>
  </si>
  <si>
    <t>Apparel ratio to average</t>
  </si>
  <si>
    <t xml:space="preserve"> No reported coal consumption for 1998-2010 MECS</t>
  </si>
  <si>
    <t xml:space="preserve">MECS Year Prices and Interpolations </t>
  </si>
  <si>
    <t xml:space="preserve">Composite Price </t>
  </si>
  <si>
    <t>N 311</t>
  </si>
  <si>
    <t>N 312</t>
  </si>
  <si>
    <t>N 313</t>
  </si>
  <si>
    <t xml:space="preserve">N 314 </t>
  </si>
  <si>
    <t>N 315</t>
  </si>
  <si>
    <t>N 316</t>
  </si>
  <si>
    <t>N 317</t>
  </si>
  <si>
    <t>N 318</t>
  </si>
  <si>
    <t>N 323</t>
  </si>
  <si>
    <t>N 324</t>
  </si>
  <si>
    <t>N 325</t>
  </si>
  <si>
    <t>N 326</t>
  </si>
  <si>
    <t>N 327</t>
  </si>
  <si>
    <t>N 331</t>
  </si>
  <si>
    <t>N 332</t>
  </si>
  <si>
    <t>N 333</t>
  </si>
  <si>
    <t>Cost of Purchased Energy</t>
  </si>
  <si>
    <t xml:space="preserve"> Quantity of Purchased Energy</t>
  </si>
  <si>
    <t>Implied Price</t>
  </si>
  <si>
    <t>Elec Btu</t>
  </si>
  <si>
    <t>Quantity of Purchased Non_elec Energy</t>
  </si>
  <si>
    <t>Quantity of off-site produced fuel consumption  Table 4.2</t>
  </si>
  <si>
    <t>Tobacco</t>
  </si>
  <si>
    <t>Table 7, Total Consumption of Offsite-Produced Energy for Heat and Power</t>
  </si>
  <si>
    <t>Convert to Btu</t>
  </si>
  <si>
    <t xml:space="preserve"> Calc. Total</t>
  </si>
  <si>
    <t>Difference</t>
  </si>
  <si>
    <t>Computer and Electronic Products/Instruments</t>
  </si>
  <si>
    <t>Coke and Breeze</t>
  </si>
  <si>
    <t>Table 4, Total Consumption of Offsite-Produced Energy for Heat and Power</t>
  </si>
  <si>
    <t>Malt Beverages</t>
  </si>
  <si>
    <t>Conversion</t>
  </si>
  <si>
    <t>Calculated</t>
  </si>
  <si>
    <t>Table A5, Total Consumption of Offsite-Produced Energy for Heat and Power</t>
  </si>
  <si>
    <t>1994 with imputations from 1991</t>
  </si>
  <si>
    <t>Final 1994</t>
  </si>
  <si>
    <t>Preliminary 1994</t>
  </si>
  <si>
    <t>Convert to NAICS</t>
  </si>
  <si>
    <t>Share of Food</t>
  </si>
  <si>
    <t>Add/Subtract Factors</t>
  </si>
  <si>
    <t>Ind hap3</t>
  </si>
  <si>
    <t>AL140</t>
  </si>
  <si>
    <t>AL141</t>
  </si>
  <si>
    <t>AL142</t>
  </si>
  <si>
    <t>AL143</t>
  </si>
  <si>
    <t>AL144</t>
  </si>
  <si>
    <t>AL145</t>
  </si>
  <si>
    <t>AL146</t>
  </si>
  <si>
    <t>AL147</t>
  </si>
  <si>
    <t>AL148</t>
  </si>
  <si>
    <t>AL149</t>
  </si>
  <si>
    <t>AL150</t>
  </si>
  <si>
    <t>AL151</t>
  </si>
  <si>
    <t>AL152</t>
  </si>
  <si>
    <t>AL153</t>
  </si>
  <si>
    <t>Col. AL</t>
  </si>
  <si>
    <t>Col. AP</t>
  </si>
  <si>
    <t>1985 through 1994 punched directly from hard copy reports</t>
  </si>
  <si>
    <t>Calc. On-site Fuel</t>
  </si>
  <si>
    <t>Calculated Total, excl.Coke and other</t>
  </si>
  <si>
    <t>Old (Jan 13 price)</t>
  </si>
  <si>
    <t>MECS Prices</t>
  </si>
  <si>
    <t xml:space="preserve">Quantity shares, excl coke and other </t>
  </si>
  <si>
    <t xml:space="preserve">1994 Quantity Shares </t>
  </si>
  <si>
    <t>NOT AVAILABLE prior to 1998</t>
  </si>
  <si>
    <t>5 Fuels</t>
  </si>
  <si>
    <t xml:space="preserve"> 7 Fuels</t>
  </si>
  <si>
    <t>Composite Price, $/MMBtu</t>
  </si>
  <si>
    <t>1998 Cost of Fuels, Excl. Coke and Other</t>
  </si>
  <si>
    <t>6 fuels</t>
  </si>
  <si>
    <t>Total, 5 Fuels</t>
  </si>
  <si>
    <t>Price</t>
  </si>
  <si>
    <t>Adjust price for coke</t>
  </si>
  <si>
    <t xml:space="preserve">Scale Factors </t>
  </si>
  <si>
    <t>Total Fuel Consumption</t>
  </si>
  <si>
    <t>Scale Factor</t>
  </si>
  <si>
    <t>Combined Sectors</t>
  </si>
  <si>
    <t>scale factors for apparel &amp; leather, NAICS/SIC</t>
  </si>
  <si>
    <t>Check of Fuel Consumption</t>
  </si>
  <si>
    <t>MECS Fuel SIC</t>
  </si>
  <si>
    <t>Combined Sectors, naics</t>
  </si>
  <si>
    <t>N 321</t>
  </si>
  <si>
    <t>N 322</t>
  </si>
  <si>
    <t>Calc Fuels Cost (5 fuels)</t>
  </si>
  <si>
    <t>From individual spreadsheets for each fuel</t>
  </si>
  <si>
    <t>Weights for tobacco, beverage</t>
  </si>
  <si>
    <t xml:space="preserve"> weights: tobacco, beverages</t>
  </si>
  <si>
    <t>NOT USED</t>
  </si>
  <si>
    <t>NAICS 331</t>
  </si>
  <si>
    <t xml:space="preserve">&lt;--use for </t>
  </si>
  <si>
    <t>link 96-98</t>
  </si>
  <si>
    <t>Not sure</t>
  </si>
  <si>
    <t>Published price</t>
  </si>
  <si>
    <t>MECS</t>
  </si>
  <si>
    <t>Table 3</t>
  </si>
  <si>
    <t>SIC-Basis</t>
  </si>
  <si>
    <t>Reorder and aggregate for extrapolation</t>
  </si>
  <si>
    <t>`</t>
  </si>
  <si>
    <t>TBTU (MECS Published)</t>
  </si>
  <si>
    <t>Net Elec</t>
  </si>
  <si>
    <t>Net Elec (TBTU)</t>
  </si>
  <si>
    <t>Total Fuel</t>
  </si>
  <si>
    <t>Other (Total - Net Elec, Gas, Oil, Coal)</t>
  </si>
  <si>
    <t>Adjusted Estimated</t>
  </si>
  <si>
    <t>Final Estimate</t>
  </si>
  <si>
    <t>311-312</t>
  </si>
  <si>
    <t>313-314</t>
  </si>
  <si>
    <t>315-316</t>
  </si>
  <si>
    <t>Table A4, Pt 1.</t>
  </si>
  <si>
    <t>(SIC, but ordered as NAICS &amp; includes 38)</t>
  </si>
  <si>
    <t>Not Used</t>
  </si>
  <si>
    <t>Adjusted</t>
  </si>
  <si>
    <t>Total without 21, 31</t>
  </si>
  <si>
    <t>Published Total</t>
  </si>
  <si>
    <t>Preliminary Estimate</t>
  </si>
  <si>
    <t xml:space="preserve">Aggregate </t>
  </si>
  <si>
    <t>(NAICS Basis)</t>
  </si>
  <si>
    <t>SIC Basis</t>
  </si>
  <si>
    <t>Scale Factors for apparel &amp; leather</t>
  </si>
  <si>
    <t>Actual</t>
  </si>
  <si>
    <t>Prelim Estimate</t>
  </si>
  <si>
    <t>Adjusted Estimate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</si>
  <si>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</si>
  <si>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</si>
  <si>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</si>
  <si>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</si>
  <si>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</si>
  <si>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</si>
  <si>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</si>
  <si>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</si>
  <si>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</si>
  <si>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siC 38</t>
  </si>
  <si>
    <t>Adjusted mapping for 1988</t>
  </si>
  <si>
    <t xml:space="preserve">Initial </t>
  </si>
  <si>
    <t>Data from above</t>
  </si>
  <si>
    <t>(NAICS basis)</t>
  </si>
  <si>
    <t xml:space="preserve">Mapping based upon 1986 ASM Cost of Purchased Fuels </t>
  </si>
  <si>
    <t>Initial</t>
  </si>
  <si>
    <t>30.9 out 658.7 for computers in SIC 35 in 1996, assign 5% of fuel</t>
  </si>
  <si>
    <t>39.8 out 622.4 for computers in SIC 35 in 1996, assign 5% of fuel</t>
  </si>
  <si>
    <t>11.0 out of 658.7 for carburetors in SIC 35</t>
  </si>
  <si>
    <t>12.5 out of 622.4 for carburetors in SIC 35</t>
  </si>
  <si>
    <t>98.8 out of 658.7 for machine shops in SIC 35, to 332</t>
  </si>
  <si>
    <t>ok</t>
  </si>
  <si>
    <t>70.1 out of 622.4 for machine shops in SIC 35, to 332</t>
  </si>
  <si>
    <t>27.4 out of 219.1 for 381 (nav eqp) in SIC 38, to 334</t>
  </si>
  <si>
    <t>29.5 out of 207.3 for 381 (nav eqp) in SIC 38, to 334</t>
  </si>
  <si>
    <t>for 382 going into 334</t>
  </si>
  <si>
    <t>for 3829,3844,3845,3871 into 334</t>
  </si>
  <si>
    <t>for 3827,3861 to 333</t>
  </si>
  <si>
    <t>for 3821,3841+3842+3843+3851</t>
  </si>
  <si>
    <t>Total for SIC 38</t>
  </si>
  <si>
    <t>67.8 out 1029.6 for stampings (3465), to 336</t>
  </si>
  <si>
    <t>62.4 out 934.9 for stampings (3465), to 336</t>
  </si>
  <si>
    <t>for 3647, 3694 to 336 out of SIC 36</t>
  </si>
  <si>
    <t>for 365,366,367,3695 to 333 out of 526.3</t>
  </si>
  <si>
    <t>for 365,366,367,3695 to 333 out of 435</t>
  </si>
  <si>
    <t>Total for 38 to 334</t>
  </si>
  <si>
    <t>Table 3.1</t>
  </si>
  <si>
    <t>Old from ASMData_120910, Final Quantities!M28</t>
  </si>
  <si>
    <t>M28</t>
  </si>
  <si>
    <t>P28</t>
  </si>
  <si>
    <t>S28</t>
  </si>
  <si>
    <t>W28</t>
  </si>
  <si>
    <t>AA28</t>
  </si>
  <si>
    <t>AE28</t>
  </si>
  <si>
    <t>Old</t>
  </si>
  <si>
    <t>New</t>
  </si>
  <si>
    <t>Note:  Values in Tables Below:  Quantities of Purchased Fuels</t>
  </si>
  <si>
    <t>This worksheet develops composite fuel prices ($/MMBtu)</t>
  </si>
  <si>
    <t>Worksheets:</t>
  </si>
  <si>
    <t>Quantity_Shares_1985-1998</t>
  </si>
  <si>
    <t xml:space="preserve"> composite prices developed from 1985</t>
  </si>
  <si>
    <t xml:space="preserve"> through 1998.  The prices are highlighted</t>
  </si>
  <si>
    <t xml:space="preserve">2013 Data and shares of total fuel use </t>
  </si>
  <si>
    <t xml:space="preserve"> Total </t>
  </si>
  <si>
    <t>MECS_data_SIC</t>
  </si>
  <si>
    <t>This worksheet develops the estimated</t>
  </si>
  <si>
    <t>The final shares are in columns BP to BP</t>
  </si>
  <si>
    <t>The only exception to the use of 5 fuels is</t>
  </si>
  <si>
    <t>ferrous metals sector - using coke.</t>
  </si>
  <si>
    <t>quantity shares by fuel for the individual MECS:</t>
  </si>
  <si>
    <t>1985, 1988, 1991, and 1994 (all data collected by SIC)</t>
  </si>
  <si>
    <t>These data are transferred to Quantity_shares_1985-1998</t>
  </si>
  <si>
    <t>Quantity_Shares_1998_forward</t>
  </si>
  <si>
    <t xml:space="preserve"> This worksheet generates the final </t>
  </si>
  <si>
    <t xml:space="preserve"> composite prices developed from 1998</t>
  </si>
  <si>
    <t xml:space="preserve"> through 2015  The prices are highlighted</t>
  </si>
  <si>
    <t xml:space="preserve"> in yellow in column AH.  </t>
  </si>
  <si>
    <t>Fuel Prices starting in 1998</t>
  </si>
  <si>
    <t xml:space="preserve"> in yellow in column AJ.  The actual quantity shares by</t>
  </si>
  <si>
    <t xml:space="preserve"> fuel for MECS years are from MECS_data_SIC</t>
  </si>
  <si>
    <t>MECS_data</t>
  </si>
  <si>
    <t>1998, 2002, 2006, 2010 (all data collected by SIC)</t>
  </si>
  <si>
    <t>The final shares are in columns AQ to AW</t>
  </si>
  <si>
    <t>The quantity shares are developed for 7 fuels</t>
  </si>
  <si>
    <t>These data are transferred to Quantity_shares_1998_forward</t>
  </si>
  <si>
    <t>MECS_Total_Fuel</t>
  </si>
  <si>
    <t>Total fuel consumption from all of the available MECS surveys</t>
  </si>
  <si>
    <t>NOT USED in this spreadsheet - a virtually similar worksheet</t>
  </si>
  <si>
    <t xml:space="preserve">is used in spreadsheet Indhap3_101316 </t>
  </si>
  <si>
    <t>MECS_EnergyPrices</t>
  </si>
  <si>
    <t xml:space="preserve">Energy Prices ($/MMBtu) for each fuel from all of the </t>
  </si>
  <si>
    <t>available MECS.  For the MECS prior to 1998, some simple</t>
  </si>
  <si>
    <t>adjustments were made to try to align prices better with NAICS</t>
  </si>
  <si>
    <t>MECS vs CM</t>
  </si>
  <si>
    <t>Develop ratios of MECS expeditures on fuels to corresponding</t>
  </si>
  <si>
    <t>values for cost of purchased fuels from the Census, and ASM</t>
  </si>
  <si>
    <t>MECS 2002</t>
  </si>
  <si>
    <t>MECS 2010</t>
  </si>
  <si>
    <t xml:space="preserve">  (NOT USED)</t>
  </si>
  <si>
    <t xml:space="preserve"> NOT USED</t>
  </si>
  <si>
    <t xml:space="preserve">  NOT USED</t>
  </si>
  <si>
    <t>Links:</t>
  </si>
  <si>
    <t>This spreadsheet has a large number of links.  Generally, the</t>
  </si>
  <si>
    <t>links relate to various MECS tables, and the individual sector-level</t>
  </si>
  <si>
    <t>fuel price estimates.  To ensure links are active, one should</t>
  </si>
  <si>
    <t xml:space="preserve">  C:\Indicators - Industrial\Fuel_Prices_by_sector\</t>
  </si>
  <si>
    <t xml:space="preserve">use the following folder definition for the individual price estimates:  </t>
  </si>
  <si>
    <t xml:space="preserve">For the MECS data, one will have to revise the links.  At this </t>
  </si>
  <si>
    <t xml:space="preserve">point (Jan. 2017), </t>
  </si>
  <si>
    <t xml:space="preserve">  Calc. Total -Fuels</t>
  </si>
  <si>
    <t>Pub. Total - Fuels</t>
  </si>
  <si>
    <t>Table 3.2</t>
  </si>
  <si>
    <t>Not  Used</t>
  </si>
  <si>
    <t xml:space="preserve">  Total</t>
  </si>
  <si>
    <t>Other (from Table 7.6 adjusted)</t>
  </si>
  <si>
    <t xml:space="preserve">Other </t>
  </si>
  <si>
    <t>2017 Version</t>
  </si>
  <si>
    <t>Pub. Fuels Energy</t>
  </si>
  <si>
    <t xml:space="preserve"> </t>
  </si>
  <si>
    <t>Heat Content</t>
  </si>
  <si>
    <t>2018 Fuel quantity shares  (Use seven fuels as compared to five earlier)</t>
  </si>
  <si>
    <t>These prices transferred to ASM_data_010220</t>
  </si>
  <si>
    <t>Check price</t>
  </si>
  <si>
    <t>&lt; --- Matches AO124</t>
  </si>
  <si>
    <t>Prices from MECS_Data worksheet</t>
  </si>
  <si>
    <t>Residual Fuel Oil</t>
  </si>
  <si>
    <t>Note switch in order from T. 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</si>
</sst>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0.0000"/>
    <numFmt numFmtId="168" formatCode="0.0%"/>
    <numFmt numFmtId="169" formatCode="_(* #,##0.0_);_(* \(#,##0.0\);_(* &quot;-&quot;??_);_(@_)"/>
    <numFmt numFmtId="170" formatCode="#,##0_)"/>
    <numFmt numFmtId="171" formatCode="###0.00_)"/>
    <numFmt numFmtId="172" formatCode="0.0_W"/>
  </numFmts>
  <fonts count="4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8"/>
      <name val="Times New Roman"/>
      <family val="1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u/>
      <sz val="11"/>
      <color rgb="FF800080"/>
      <name val="Calibri"/>
      <family val="2"/>
      <scheme val="minor"/>
    </font>
    <font>
      <b/>
      <sz val="9"/>
      <name val="Helv"/>
    </font>
    <font>
      <sz val="8.5"/>
      <name val="Helv"/>
    </font>
    <font>
      <b/>
      <sz val="10"/>
      <name val="HELV"/>
    </font>
    <font>
      <u/>
      <sz val="11"/>
      <color rgb="FF0000FF"/>
      <name val="Calibri"/>
      <family val="2"/>
      <scheme val="minor"/>
    </font>
    <font>
      <sz val="8"/>
      <name val="Helv"/>
    </font>
    <font>
      <b/>
      <sz val="14"/>
      <name val="Helv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</borders>
  <cellStyleXfs count="104">
    <xf numFmtId="0" fontId="0" fillId="0" borderId="0"/>
    <xf numFmtId="9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9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36" borderId="0" applyNumberFormat="0" applyBorder="0" applyAlignment="0" applyProtection="0"/>
    <xf numFmtId="0" fontId="28" fillId="40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18" fillId="11" borderId="0" applyNumberFormat="0" applyBorder="0" applyAlignment="0" applyProtection="0"/>
    <xf numFmtId="0" fontId="22" fillId="14" borderId="5" applyNumberFormat="0" applyAlignment="0" applyProtection="0"/>
    <xf numFmtId="0" fontId="24" fillId="15" borderId="8" applyNumberFormat="0" applyAlignment="0" applyProtection="0"/>
    <xf numFmtId="0" fontId="29" fillId="0" borderId="0">
      <alignment horizontal="center" vertical="center" wrapText="1"/>
    </xf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30" fillId="0" borderId="0">
      <alignment horizontal="left" vertical="center" wrapText="1"/>
    </xf>
    <xf numFmtId="169" fontId="11" fillId="0" borderId="0" applyFont="0" applyFill="0" applyBorder="0" applyAlignment="0" applyProtection="0"/>
    <xf numFmtId="3" fontId="31" fillId="0" borderId="12" applyAlignment="0">
      <alignment horizontal="right" vertical="center"/>
    </xf>
    <xf numFmtId="170" fontId="31" fillId="0" borderId="12">
      <alignment horizontal="right" vertical="center"/>
    </xf>
    <xf numFmtId="49" fontId="32" fillId="0" borderId="12">
      <alignment horizontal="left" vertical="center"/>
    </xf>
    <xf numFmtId="171" fontId="3" fillId="0" borderId="12" applyNumberFormat="0" applyFill="0">
      <alignment horizontal="right"/>
    </xf>
    <xf numFmtId="172" fontId="3" fillId="0" borderId="12">
      <alignment horizontal="right"/>
    </xf>
    <xf numFmtId="0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7" fillId="10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34" fillId="0" borderId="12">
      <alignment horizontal="left"/>
    </xf>
    <xf numFmtId="0" fontId="34" fillId="0" borderId="13">
      <alignment horizontal="right" vertical="center"/>
    </xf>
    <xf numFmtId="0" fontId="35" fillId="0" borderId="12">
      <alignment horizontal="left" vertical="center"/>
    </xf>
    <xf numFmtId="0" fontId="3" fillId="0" borderId="12">
      <alignment horizontal="left" vertical="center"/>
    </xf>
    <xf numFmtId="0" fontId="36" fillId="0" borderId="12">
      <alignment horizontal="left"/>
    </xf>
    <xf numFmtId="0" fontId="36" fillId="44" borderId="0">
      <alignment horizontal="centerContinuous" wrapText="1"/>
    </xf>
    <xf numFmtId="49" fontId="36" fillId="44" borderId="1">
      <alignment horizontal="left" vertical="center"/>
    </xf>
    <xf numFmtId="0" fontId="36" fillId="44" borderId="0">
      <alignment horizontal="centerContinuous" vertical="center" wrapText="1"/>
    </xf>
    <xf numFmtId="0" fontId="37" fillId="0" borderId="0" applyNumberFormat="0" applyFill="0" applyBorder="0" applyAlignment="0" applyProtection="0"/>
    <xf numFmtId="0" fontId="20" fillId="13" borderId="5" applyNumberFormat="0" applyAlignment="0" applyProtection="0"/>
    <xf numFmtId="0" fontId="23" fillId="0" borderId="7" applyNumberFormat="0" applyFill="0" applyAlignment="0" applyProtection="0"/>
    <xf numFmtId="0" fontId="19" fillId="12" borderId="0" applyNumberFormat="0" applyBorder="0" applyAlignment="0" applyProtection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16" borderId="9" applyNumberFormat="0" applyFont="0" applyAlignment="0" applyProtection="0"/>
    <xf numFmtId="0" fontId="21" fillId="14" borderId="6" applyNumberFormat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3" fontId="31" fillId="0" borderId="0">
      <alignment horizontal="left" vertical="center"/>
    </xf>
    <xf numFmtId="0" fontId="29" fillId="0" borderId="0">
      <alignment horizontal="left" vertical="center"/>
    </xf>
    <xf numFmtId="0" fontId="38" fillId="0" borderId="0">
      <alignment horizontal="right"/>
    </xf>
    <xf numFmtId="49" fontId="38" fillId="0" borderId="0">
      <alignment horizontal="center"/>
    </xf>
    <xf numFmtId="0" fontId="32" fillId="0" borderId="0">
      <alignment horizontal="right"/>
    </xf>
    <xf numFmtId="0" fontId="38" fillId="0" borderId="0">
      <alignment horizontal="left"/>
    </xf>
    <xf numFmtId="49" fontId="31" fillId="0" borderId="0">
      <alignment horizontal="left" vertical="center"/>
    </xf>
    <xf numFmtId="49" fontId="32" fillId="0" borderId="12">
      <alignment horizontal="left" vertical="center"/>
    </xf>
    <xf numFmtId="49" fontId="29" fillId="0" borderId="12" applyFill="0">
      <alignment horizontal="left" vertical="center"/>
    </xf>
    <xf numFmtId="49" fontId="32" fillId="0" borderId="12">
      <alignment horizontal="left"/>
    </xf>
    <xf numFmtId="171" fontId="31" fillId="0" borderId="0" applyNumberFormat="0">
      <alignment horizontal="right"/>
    </xf>
    <xf numFmtId="0" fontId="34" fillId="45" borderId="0">
      <alignment horizontal="centerContinuous" vertical="center" wrapText="1"/>
    </xf>
    <xf numFmtId="0" fontId="34" fillId="0" borderId="14">
      <alignment horizontal="left" vertical="center"/>
    </xf>
    <xf numFmtId="0" fontId="39" fillId="0" borderId="0">
      <alignment horizontal="left" vertical="top"/>
    </xf>
    <xf numFmtId="0" fontId="36" fillId="0" borderId="0">
      <alignment horizontal="left"/>
    </xf>
    <xf numFmtId="0" fontId="30" fillId="0" borderId="0">
      <alignment horizontal="left"/>
    </xf>
    <xf numFmtId="0" fontId="3" fillId="0" borderId="0">
      <alignment horizontal="left"/>
    </xf>
    <xf numFmtId="0" fontId="39" fillId="0" borderId="0">
      <alignment horizontal="left" vertical="top"/>
    </xf>
    <xf numFmtId="0" fontId="30" fillId="0" borderId="0">
      <alignment horizontal="left"/>
    </xf>
    <xf numFmtId="0" fontId="3" fillId="0" borderId="0">
      <alignment horizontal="left"/>
    </xf>
    <xf numFmtId="0" fontId="27" fillId="0" borderId="10" applyNumberFormat="0" applyFill="0" applyAlignment="0" applyProtection="0"/>
    <xf numFmtId="0" fontId="25" fillId="0" borderId="0" applyNumberFormat="0" applyFill="0" applyBorder="0" applyAlignment="0" applyProtection="0"/>
    <xf numFmtId="49" fontId="31" fillId="0" borderId="12">
      <alignment horizontal="left"/>
    </xf>
    <xf numFmtId="0" fontId="34" fillId="0" borderId="13">
      <alignment horizontal="left"/>
    </xf>
    <xf numFmtId="0" fontId="36" fillId="0" borderId="0">
      <alignment horizontal="left" vertical="center"/>
    </xf>
    <xf numFmtId="49" fontId="38" fillId="0" borderId="12">
      <alignment horizontal="left"/>
    </xf>
    <xf numFmtId="0" fontId="1" fillId="0" borderId="0"/>
  </cellStyleXfs>
  <cellXfs count="130">
    <xf numFmtId="0" fontId="0" fillId="0" borderId="0" xfId="0"/>
    <xf numFmtId="0" fontId="3" fillId="0" borderId="0" xfId="0" applyFont="1"/>
    <xf numFmtId="2" fontId="3" fillId="0" borderId="0" xfId="0" applyNumberFormat="1" applyFont="1"/>
    <xf numFmtId="1" fontId="0" fillId="0" borderId="0" xfId="0" applyNumberFormat="1"/>
    <xf numFmtId="2" fontId="0" fillId="0" borderId="0" xfId="0" applyNumberFormat="1"/>
    <xf numFmtId="4" fontId="0" fillId="0" borderId="0" xfId="0" applyNumberFormat="1"/>
    <xf numFmtId="0" fontId="4" fillId="0" borderId="0" xfId="0" applyFont="1"/>
    <xf numFmtId="49" fontId="5" fillId="0" borderId="0" xfId="0" applyNumberFormat="1" applyFont="1" applyAlignment="1" applyProtection="1">
      <alignment horizontal="left"/>
    </xf>
    <xf numFmtId="49" fontId="5" fillId="0" borderId="0" xfId="0" applyNumberFormat="1" applyFont="1" applyFill="1" applyAlignment="1" applyProtection="1">
      <alignment horizontal="left"/>
    </xf>
    <xf numFmtId="49" fontId="0" fillId="0" borderId="0" xfId="0" applyNumberFormat="1"/>
    <xf numFmtId="2" fontId="3" fillId="3" borderId="0" xfId="0" applyNumberFormat="1" applyFont="1" applyFill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6" fillId="0" borderId="0" xfId="0" applyFont="1" applyAlignment="1">
      <alignment horizontal="left"/>
    </xf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 wrapText="1"/>
    </xf>
    <xf numFmtId="0" fontId="7" fillId="0" borderId="0" xfId="0" applyFont="1"/>
    <xf numFmtId="0" fontId="8" fillId="0" borderId="0" xfId="0" applyFont="1"/>
    <xf numFmtId="165" fontId="0" fillId="0" borderId="0" xfId="0" applyNumberFormat="1" applyAlignment="1" applyProtection="1">
      <alignment horizontal="right"/>
    </xf>
    <xf numFmtId="165" fontId="0" fillId="3" borderId="0" xfId="0" applyNumberFormat="1" applyFill="1" applyAlignment="1" applyProtection="1">
      <alignment horizontal="right"/>
    </xf>
    <xf numFmtId="4" fontId="0" fillId="3" borderId="0" xfId="0" applyNumberFormat="1" applyFill="1"/>
    <xf numFmtId="39" fontId="0" fillId="0" borderId="0" xfId="0" applyNumberFormat="1"/>
    <xf numFmtId="39" fontId="0" fillId="3" borderId="0" xfId="0" applyNumberFormat="1" applyFill="1"/>
    <xf numFmtId="167" fontId="0" fillId="0" borderId="0" xfId="0" applyNumberFormat="1"/>
    <xf numFmtId="0" fontId="0" fillId="4" borderId="0" xfId="0" applyFill="1"/>
    <xf numFmtId="167" fontId="0" fillId="4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6" fillId="0" borderId="0" xfId="0" applyFont="1"/>
    <xf numFmtId="0" fontId="0" fillId="0" borderId="0" xfId="0" applyFill="1"/>
    <xf numFmtId="0" fontId="0" fillId="0" borderId="1" xfId="0" applyBorder="1"/>
    <xf numFmtId="2" fontId="0" fillId="3" borderId="0" xfId="0" applyNumberFormat="1" applyFill="1"/>
    <xf numFmtId="0" fontId="11" fillId="0" borderId="0" xfId="0" applyFont="1"/>
    <xf numFmtId="0" fontId="11" fillId="0" borderId="0" xfId="0" applyFont="1" applyFill="1"/>
    <xf numFmtId="0" fontId="11" fillId="3" borderId="0" xfId="0" applyFont="1" applyFill="1"/>
    <xf numFmtId="0" fontId="0" fillId="0" borderId="0" xfId="0" applyAlignment="1">
      <alignment wrapText="1"/>
    </xf>
    <xf numFmtId="2" fontId="0" fillId="0" borderId="0" xfId="0" applyNumberFormat="1" applyFill="1"/>
    <xf numFmtId="0" fontId="0" fillId="5" borderId="0" xfId="0" applyFill="1"/>
    <xf numFmtId="2" fontId="0" fillId="5" borderId="0" xfId="0" applyNumberFormat="1" applyFill="1"/>
    <xf numFmtId="2" fontId="3" fillId="5" borderId="0" xfId="0" applyNumberFormat="1" applyFont="1" applyFill="1"/>
    <xf numFmtId="4" fontId="0" fillId="5" borderId="0" xfId="0" applyNumberFormat="1" applyFill="1"/>
    <xf numFmtId="4" fontId="0" fillId="0" borderId="0" xfId="0" applyNumberFormat="1" applyFill="1"/>
    <xf numFmtId="2" fontId="3" fillId="0" borderId="0" xfId="0" applyNumberFormat="1" applyFont="1" applyFill="1"/>
    <xf numFmtId="4" fontId="0" fillId="0" borderId="0" xfId="0" applyNumberFormat="1" applyFill="1" applyBorder="1"/>
    <xf numFmtId="2" fontId="0" fillId="0" borderId="0" xfId="0" applyNumberFormat="1" applyFill="1" applyBorder="1"/>
    <xf numFmtId="2" fontId="3" fillId="0" borderId="0" xfId="0" applyNumberFormat="1" applyFont="1" applyFill="1" applyBorder="1"/>
    <xf numFmtId="3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 applyAlignment="1" applyProtection="1">
      <alignment horizontal="right"/>
    </xf>
    <xf numFmtId="165" fontId="0" fillId="6" borderId="0" xfId="0" applyNumberFormat="1" applyFill="1" applyAlignment="1" applyProtection="1">
      <alignment horizontal="right"/>
    </xf>
    <xf numFmtId="165" fontId="0" fillId="6" borderId="0" xfId="0" applyNumberFormat="1" applyFill="1"/>
    <xf numFmtId="164" fontId="0" fillId="6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164" fontId="0" fillId="6" borderId="0" xfId="0" applyNumberFormat="1" applyFont="1" applyFill="1"/>
    <xf numFmtId="164" fontId="0" fillId="5" borderId="0" xfId="0" applyNumberFormat="1" applyFill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0" xfId="0" quotePrefix="1" applyNumberFormat="1"/>
    <xf numFmtId="9" fontId="0" fillId="0" borderId="0" xfId="0" applyNumberFormat="1"/>
    <xf numFmtId="4" fontId="0" fillId="0" borderId="0" xfId="0" applyNumberFormat="1" applyBorder="1"/>
    <xf numFmtId="165" fontId="0" fillId="0" borderId="0" xfId="0" applyNumberFormat="1" applyBorder="1" applyAlignment="1" applyProtection="1">
      <alignment horizontal="right"/>
    </xf>
    <xf numFmtId="168" fontId="0" fillId="0" borderId="0" xfId="1" applyNumberFormat="1" applyFont="1"/>
    <xf numFmtId="168" fontId="0" fillId="0" borderId="0" xfId="1" applyNumberFormat="1" applyFont="1" applyAlignment="1" applyProtection="1">
      <alignment horizontal="right"/>
    </xf>
    <xf numFmtId="2" fontId="0" fillId="7" borderId="0" xfId="0" applyNumberFormat="1" applyFill="1"/>
    <xf numFmtId="2" fontId="0" fillId="0" borderId="0" xfId="0" applyNumberFormat="1" applyFill="1" applyAlignment="1">
      <alignment wrapText="1"/>
    </xf>
    <xf numFmtId="167" fontId="0" fillId="3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6" fontId="0" fillId="8" borderId="0" xfId="0" applyNumberFormat="1" applyFill="1"/>
    <xf numFmtId="0" fontId="0" fillId="9" borderId="0" xfId="0" applyFill="1"/>
    <xf numFmtId="0" fontId="0" fillId="0" borderId="1" xfId="0" applyBorder="1" applyAlignment="1">
      <alignment wrapText="1"/>
    </xf>
    <xf numFmtId="0" fontId="13" fillId="0" borderId="0" xfId="0" applyFont="1"/>
    <xf numFmtId="0" fontId="11" fillId="0" borderId="0" xfId="2"/>
    <xf numFmtId="0" fontId="11" fillId="0" borderId="11" xfId="2" applyBorder="1"/>
    <xf numFmtId="165" fontId="4" fillId="0" borderId="11" xfId="2" quotePrefix="1" applyNumberFormat="1" applyFont="1" applyBorder="1" applyAlignment="1">
      <alignment horizontal="center" vertical="center" wrapText="1"/>
    </xf>
    <xf numFmtId="165" fontId="4" fillId="0" borderId="11" xfId="2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 wrapText="1"/>
    </xf>
    <xf numFmtId="0" fontId="11" fillId="0" borderId="11" xfId="2" applyBorder="1" applyAlignment="1">
      <alignment wrapText="1"/>
    </xf>
    <xf numFmtId="0" fontId="11" fillId="0" borderId="11" xfId="2" applyFont="1" applyBorder="1"/>
    <xf numFmtId="0" fontId="11" fillId="0" borderId="0" xfId="2" quotePrefix="1"/>
    <xf numFmtId="165" fontId="4" fillId="0" borderId="0" xfId="2" applyNumberFormat="1" applyFont="1"/>
    <xf numFmtId="165" fontId="11" fillId="0" borderId="0" xfId="2" applyNumberFormat="1"/>
    <xf numFmtId="166" fontId="11" fillId="0" borderId="0" xfId="2" applyNumberFormat="1"/>
    <xf numFmtId="164" fontId="11" fillId="0" borderId="0" xfId="2" applyNumberFormat="1"/>
    <xf numFmtId="166" fontId="11" fillId="0" borderId="11" xfId="2" applyNumberFormat="1" applyBorder="1"/>
    <xf numFmtId="164" fontId="11" fillId="0" borderId="11" xfId="2" applyNumberFormat="1" applyBorder="1"/>
    <xf numFmtId="0" fontId="11" fillId="0" borderId="0" xfId="2" applyFill="1"/>
    <xf numFmtId="165" fontId="4" fillId="0" borderId="0" xfId="2" quotePrefix="1" applyNumberFormat="1" applyFont="1" applyAlignment="1">
      <alignment horizontal="center" vertical="center" wrapText="1"/>
    </xf>
    <xf numFmtId="165" fontId="4" fillId="0" borderId="0" xfId="2" applyNumberFormat="1" applyFont="1" applyAlignment="1">
      <alignment horizontal="center" vertical="center" wrapText="1"/>
    </xf>
    <xf numFmtId="165" fontId="4" fillId="4" borderId="0" xfId="2" applyNumberFormat="1" applyFont="1" applyFill="1" applyAlignment="1">
      <alignment horizontal="center" vertical="center" wrapText="1"/>
    </xf>
    <xf numFmtId="165" fontId="4" fillId="0" borderId="0" xfId="2" applyNumberFormat="1" applyFont="1" applyFill="1" applyAlignment="1">
      <alignment horizontal="center" vertical="center" wrapText="1"/>
    </xf>
    <xf numFmtId="165" fontId="4" fillId="4" borderId="0" xfId="2" applyNumberFormat="1" applyFont="1" applyFill="1"/>
    <xf numFmtId="165" fontId="4" fillId="0" borderId="0" xfId="2" applyNumberFormat="1" applyFont="1" applyFill="1"/>
    <xf numFmtId="0" fontId="11" fillId="4" borderId="0" xfId="2" applyFill="1"/>
    <xf numFmtId="9" fontId="11" fillId="0" borderId="0" xfId="2" applyNumberFormat="1"/>
    <xf numFmtId="165" fontId="4" fillId="41" borderId="0" xfId="2" applyNumberFormat="1" applyFont="1" applyFill="1"/>
    <xf numFmtId="165" fontId="4" fillId="41" borderId="0" xfId="2" applyNumberFormat="1" applyFont="1" applyFill="1" applyAlignment="1">
      <alignment horizontal="center" vertical="center" wrapText="1"/>
    </xf>
    <xf numFmtId="166" fontId="11" fillId="42" borderId="0" xfId="2" applyNumberFormat="1" applyFill="1"/>
    <xf numFmtId="1" fontId="11" fillId="0" borderId="0" xfId="2" applyNumberFormat="1"/>
    <xf numFmtId="165" fontId="11" fillId="41" borderId="0" xfId="2" applyNumberFormat="1" applyFill="1"/>
    <xf numFmtId="9" fontId="0" fillId="0" borderId="0" xfId="3" applyFont="1"/>
    <xf numFmtId="168" fontId="0" fillId="0" borderId="0" xfId="3" applyNumberFormat="1" applyFont="1"/>
    <xf numFmtId="9" fontId="11" fillId="4" borderId="0" xfId="2" applyNumberFormat="1" applyFill="1"/>
    <xf numFmtId="9" fontId="11" fillId="43" borderId="0" xfId="2" applyNumberFormat="1" applyFont="1" applyFill="1"/>
    <xf numFmtId="9" fontId="11" fillId="4" borderId="0" xfId="2" applyNumberFormat="1" applyFont="1" applyFill="1"/>
    <xf numFmtId="165" fontId="4" fillId="0" borderId="1" xfId="2" applyNumberFormat="1" applyFont="1" applyBorder="1"/>
    <xf numFmtId="0" fontId="11" fillId="0" borderId="1" xfId="2" applyBorder="1"/>
    <xf numFmtId="0" fontId="11" fillId="0" borderId="0" xfId="2" applyFont="1"/>
    <xf numFmtId="2" fontId="0" fillId="46" borderId="0" xfId="0" applyNumberFormat="1" applyFill="1"/>
    <xf numFmtId="0" fontId="40" fillId="0" borderId="0" xfId="0" applyFont="1"/>
    <xf numFmtId="166" fontId="0" fillId="46" borderId="0" xfId="0" applyNumberFormat="1" applyFill="1"/>
    <xf numFmtId="3" fontId="0" fillId="0" borderId="11" xfId="0" applyNumberFormat="1" applyBorder="1"/>
    <xf numFmtId="2" fontId="11" fillId="0" borderId="0" xfId="2" applyNumberFormat="1"/>
    <xf numFmtId="0" fontId="0" fillId="41" borderId="0" xfId="0" applyFill="1"/>
    <xf numFmtId="0" fontId="43" fillId="41" borderId="0" xfId="0" applyFont="1" applyFill="1"/>
    <xf numFmtId="0" fontId="0" fillId="0" borderId="0" xfId="0" applyFill="1" applyAlignment="1">
      <alignment horizontal="center" wrapText="1"/>
    </xf>
    <xf numFmtId="164" fontId="0" fillId="0" borderId="0" xfId="0" applyNumberFormat="1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164" fontId="0" fillId="46" borderId="0" xfId="0" applyNumberFormat="1" applyFill="1"/>
    <xf numFmtId="0" fontId="0" fillId="9" borderId="0" xfId="0" applyFill="1" applyAlignment="1">
      <alignment horizontal="center"/>
    </xf>
    <xf numFmtId="2" fontId="0" fillId="47" borderId="0" xfId="0" applyNumberFormat="1" applyFill="1"/>
    <xf numFmtId="0" fontId="0" fillId="0" borderId="0" xfId="0" applyAlignment="1"/>
    <xf numFmtId="0" fontId="0" fillId="47" borderId="0" xfId="0" applyFill="1" applyAlignment="1"/>
  </cellXfs>
  <cellStyles count="104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lumn heading" xfId="31" xr:uid="{00000000-0005-0000-0000-00001B000000}"/>
    <cellStyle name="Comma 2" xfId="32" xr:uid="{00000000-0005-0000-0000-00001C000000}"/>
    <cellStyle name="Comma 3" xfId="33" xr:uid="{00000000-0005-0000-0000-00001D000000}"/>
    <cellStyle name="Comma0" xfId="34" xr:uid="{00000000-0005-0000-0000-00001E000000}"/>
    <cellStyle name="Corner heading" xfId="35" xr:uid="{00000000-0005-0000-0000-00001F000000}"/>
    <cellStyle name="Currency0" xfId="36" xr:uid="{00000000-0005-0000-0000-000020000000}"/>
    <cellStyle name="Data" xfId="37" xr:uid="{00000000-0005-0000-0000-000021000000}"/>
    <cellStyle name="Data no deci" xfId="38" xr:uid="{00000000-0005-0000-0000-000022000000}"/>
    <cellStyle name="Data Superscript" xfId="39" xr:uid="{00000000-0005-0000-0000-000023000000}"/>
    <cellStyle name="Data_1-1A-Regular" xfId="40" xr:uid="{00000000-0005-0000-0000-000024000000}"/>
    <cellStyle name="Data-one deci" xfId="41" xr:uid="{00000000-0005-0000-0000-000025000000}"/>
    <cellStyle name="Date" xfId="42" xr:uid="{00000000-0005-0000-0000-000026000000}"/>
    <cellStyle name="Explanatory Text 2" xfId="43" xr:uid="{00000000-0005-0000-0000-000027000000}"/>
    <cellStyle name="Fixed" xfId="44" xr:uid="{00000000-0005-0000-0000-000028000000}"/>
    <cellStyle name="Followed Hyperlink 2" xfId="45" xr:uid="{00000000-0005-0000-0000-000029000000}"/>
    <cellStyle name="Good 2" xfId="46" xr:uid="{00000000-0005-0000-0000-00002A000000}"/>
    <cellStyle name="Heading 1 2" xfId="47" xr:uid="{00000000-0005-0000-0000-00002B000000}"/>
    <cellStyle name="Heading 2 2" xfId="48" xr:uid="{00000000-0005-0000-0000-00002C000000}"/>
    <cellStyle name="Heading 3 2" xfId="49" xr:uid="{00000000-0005-0000-0000-00002D000000}"/>
    <cellStyle name="Heading 4 2" xfId="50" xr:uid="{00000000-0005-0000-0000-00002E000000}"/>
    <cellStyle name="Hed Side" xfId="51" xr:uid="{00000000-0005-0000-0000-00002F000000}"/>
    <cellStyle name="Hed Side bold" xfId="52" xr:uid="{00000000-0005-0000-0000-000030000000}"/>
    <cellStyle name="Hed Side Indent" xfId="53" xr:uid="{00000000-0005-0000-0000-000031000000}"/>
    <cellStyle name="Hed Side Regular" xfId="54" xr:uid="{00000000-0005-0000-0000-000032000000}"/>
    <cellStyle name="Hed Side_1-1A-Regular" xfId="55" xr:uid="{00000000-0005-0000-0000-000033000000}"/>
    <cellStyle name="Hed Top" xfId="56" xr:uid="{00000000-0005-0000-0000-000034000000}"/>
    <cellStyle name="Hed Top - SECTION" xfId="57" xr:uid="{00000000-0005-0000-0000-000035000000}"/>
    <cellStyle name="Hed Top_3-new4" xfId="58" xr:uid="{00000000-0005-0000-0000-000036000000}"/>
    <cellStyle name="Hyperlink 2" xfId="59" xr:uid="{00000000-0005-0000-0000-000037000000}"/>
    <cellStyle name="Input 2" xfId="60" xr:uid="{00000000-0005-0000-0000-000038000000}"/>
    <cellStyle name="Linked Cell 2" xfId="61" xr:uid="{00000000-0005-0000-0000-000039000000}"/>
    <cellStyle name="Neutral 2" xfId="62" xr:uid="{00000000-0005-0000-0000-00003A000000}"/>
    <cellStyle name="Normal" xfId="0" builtinId="0"/>
    <cellStyle name="Normal 10" xfId="63" xr:uid="{00000000-0005-0000-0000-00003C000000}"/>
    <cellStyle name="Normal 10 2 2" xfId="103" xr:uid="{B327691C-BE2B-43D7-91EC-210D6BB76DB6}"/>
    <cellStyle name="Normal 11" xfId="64" xr:uid="{00000000-0005-0000-0000-00003D000000}"/>
    <cellStyle name="Normal 2" xfId="2" xr:uid="{00000000-0005-0000-0000-00003E000000}"/>
    <cellStyle name="Normal 3" xfId="65" xr:uid="{00000000-0005-0000-0000-00003F000000}"/>
    <cellStyle name="Normal 4" xfId="66" xr:uid="{00000000-0005-0000-0000-000040000000}"/>
    <cellStyle name="Normal 4 2" xfId="67" xr:uid="{00000000-0005-0000-0000-000041000000}"/>
    <cellStyle name="Normal 5" xfId="68" xr:uid="{00000000-0005-0000-0000-000042000000}"/>
    <cellStyle name="Normal 6" xfId="69" xr:uid="{00000000-0005-0000-0000-000043000000}"/>
    <cellStyle name="Normal 7" xfId="70" xr:uid="{00000000-0005-0000-0000-000044000000}"/>
    <cellStyle name="Normal 8" xfId="71" xr:uid="{00000000-0005-0000-0000-000045000000}"/>
    <cellStyle name="Normal 9" xfId="72" xr:uid="{00000000-0005-0000-0000-000046000000}"/>
    <cellStyle name="Note 2" xfId="73" xr:uid="{00000000-0005-0000-0000-000047000000}"/>
    <cellStyle name="Output 2" xfId="74" xr:uid="{00000000-0005-0000-0000-000048000000}"/>
    <cellStyle name="Percent" xfId="1" builtinId="5"/>
    <cellStyle name="Percent 2" xfId="3" xr:uid="{00000000-0005-0000-0000-00004A000000}"/>
    <cellStyle name="Percent 3" xfId="75" xr:uid="{00000000-0005-0000-0000-00004B000000}"/>
    <cellStyle name="Percent 4" xfId="76" xr:uid="{00000000-0005-0000-0000-00004C000000}"/>
    <cellStyle name="Reference" xfId="77" xr:uid="{00000000-0005-0000-0000-00004D000000}"/>
    <cellStyle name="Row heading" xfId="78" xr:uid="{00000000-0005-0000-0000-00004E000000}"/>
    <cellStyle name="Source Hed" xfId="79" xr:uid="{00000000-0005-0000-0000-00004F000000}"/>
    <cellStyle name="Source Letter" xfId="80" xr:uid="{00000000-0005-0000-0000-000050000000}"/>
    <cellStyle name="Source Superscript" xfId="81" xr:uid="{00000000-0005-0000-0000-000051000000}"/>
    <cellStyle name="Source Text" xfId="82" xr:uid="{00000000-0005-0000-0000-000052000000}"/>
    <cellStyle name="State" xfId="83" xr:uid="{00000000-0005-0000-0000-000053000000}"/>
    <cellStyle name="Superscript" xfId="84" xr:uid="{00000000-0005-0000-0000-000054000000}"/>
    <cellStyle name="Superscript- regular" xfId="85" xr:uid="{00000000-0005-0000-0000-000055000000}"/>
    <cellStyle name="Superscript_1-1A-Regular" xfId="86" xr:uid="{00000000-0005-0000-0000-000056000000}"/>
    <cellStyle name="Table Data" xfId="87" xr:uid="{00000000-0005-0000-0000-000057000000}"/>
    <cellStyle name="Table Head Top" xfId="88" xr:uid="{00000000-0005-0000-0000-000058000000}"/>
    <cellStyle name="Table Hed Side" xfId="89" xr:uid="{00000000-0005-0000-0000-000059000000}"/>
    <cellStyle name="Table Title" xfId="90" xr:uid="{00000000-0005-0000-0000-00005A000000}"/>
    <cellStyle name="Title Text" xfId="91" xr:uid="{00000000-0005-0000-0000-00005B000000}"/>
    <cellStyle name="Title Text 1" xfId="92" xr:uid="{00000000-0005-0000-0000-00005C000000}"/>
    <cellStyle name="Title Text 2" xfId="93" xr:uid="{00000000-0005-0000-0000-00005D000000}"/>
    <cellStyle name="Title-1" xfId="94" xr:uid="{00000000-0005-0000-0000-00005E000000}"/>
    <cellStyle name="Title-2" xfId="95" xr:uid="{00000000-0005-0000-0000-00005F000000}"/>
    <cellStyle name="Title-3" xfId="96" xr:uid="{00000000-0005-0000-0000-000060000000}"/>
    <cellStyle name="Total 2" xfId="97" xr:uid="{00000000-0005-0000-0000-000061000000}"/>
    <cellStyle name="Warning Text 2" xfId="98" xr:uid="{00000000-0005-0000-0000-000062000000}"/>
    <cellStyle name="Wrap" xfId="99" xr:uid="{00000000-0005-0000-0000-000063000000}"/>
    <cellStyle name="Wrap Bold" xfId="100" xr:uid="{00000000-0005-0000-0000-000064000000}"/>
    <cellStyle name="Wrap Title" xfId="101" xr:uid="{00000000-0005-0000-0000-000065000000}"/>
    <cellStyle name="Wrap_NTS99-~11" xfId="102" xr:uid="{00000000-0005-0000-0000-00006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50" Type="http://schemas.openxmlformats.org/officeDocument/2006/relationships/externalLink" Target="externalLinks/externalLink37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9628526415426"/>
          <c:y val="6.7708505524967252E-2"/>
          <c:w val="0.72492023936880468"/>
          <c:h val="0.81510623958902895"/>
        </c:manualLayout>
      </c:layout>
      <c:lineChart>
        <c:grouping val="standard"/>
        <c:varyColors val="0"/>
        <c:ser>
          <c:idx val="0"/>
          <c:order val="0"/>
          <c:tx>
            <c:strRef>
              <c:f>MECS_Total_Fuel!$D$248</c:f>
              <c:strCache>
                <c:ptCount val="1"/>
                <c:pt idx="0">
                  <c:v>311-312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MECS_Total_Fuel!$E$247:$M$247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MECS_Total_Fuel!$E$248:$M$248</c:f>
              <c:numCache>
                <c:formatCode>0.0</c:formatCode>
                <c:ptCount val="9"/>
                <c:pt idx="0">
                  <c:v>814.40918409036976</c:v>
                </c:pt>
                <c:pt idx="1">
                  <c:v>851.12053122624513</c:v>
                </c:pt>
                <c:pt idx="2">
                  <c:v>809.67414956814787</c:v>
                </c:pt>
                <c:pt idx="3">
                  <c:v>1008.5825527109854</c:v>
                </c:pt>
                <c:pt idx="4" formatCode="#,##0.0">
                  <c:v>914.596452</c:v>
                </c:pt>
                <c:pt idx="5" formatCode="#,##0.0">
                  <c:v>963.55408</c:v>
                </c:pt>
                <c:pt idx="6" formatCode="#,##0.0">
                  <c:v>1014.1992240000001</c:v>
                </c:pt>
                <c:pt idx="7" formatCode="#,##0.0">
                  <c:v>958</c:v>
                </c:pt>
                <c:pt idx="8" formatCode="#,##0.0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4-4F9C-8233-1831372020F5}"/>
            </c:ext>
          </c:extLst>
        </c:ser>
        <c:ser>
          <c:idx val="1"/>
          <c:order val="1"/>
          <c:tx>
            <c:strRef>
              <c:f>MECS_Total_Fuel!$D$249</c:f>
              <c:strCache>
                <c:ptCount val="1"/>
                <c:pt idx="0">
                  <c:v>313-314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MECS_Total_Fuel!$E$247:$M$247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MECS_Total_Fuel!$E$249:$M$249</c:f>
              <c:numCache>
                <c:formatCode>0.0</c:formatCode>
                <c:ptCount val="9"/>
                <c:pt idx="0">
                  <c:v>156.1414043262503</c:v>
                </c:pt>
                <c:pt idx="1">
                  <c:v>168.48905994885055</c:v>
                </c:pt>
                <c:pt idx="2">
                  <c:v>167.22964134569051</c:v>
                </c:pt>
                <c:pt idx="3">
                  <c:v>192.94392268146368</c:v>
                </c:pt>
                <c:pt idx="4" formatCode="#,##0.0">
                  <c:v>183.883668</c:v>
                </c:pt>
                <c:pt idx="5" formatCode="#,##0.0">
                  <c:v>161.77534800000001</c:v>
                </c:pt>
                <c:pt idx="6" formatCode="#,##0.0">
                  <c:v>164.407712</c:v>
                </c:pt>
                <c:pt idx="7" formatCode="#,##0.0">
                  <c:v>62</c:v>
                </c:pt>
                <c:pt idx="8" formatCode="#,##0.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4-4F9C-8233-1831372020F5}"/>
            </c:ext>
          </c:extLst>
        </c:ser>
        <c:ser>
          <c:idx val="2"/>
          <c:order val="2"/>
          <c:tx>
            <c:strRef>
              <c:f>MECS_Total_Fuel!$D$250</c:f>
              <c:strCache>
                <c:ptCount val="1"/>
                <c:pt idx="0">
                  <c:v>315-316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MECS_Total_Fuel!$E$247:$M$247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MECS_Total_Fuel!$E$250:$M$250</c:f>
              <c:numCache>
                <c:formatCode>0.0</c:formatCode>
                <c:ptCount val="9"/>
                <c:pt idx="0">
                  <c:v>27.870927218965459</c:v>
                </c:pt>
                <c:pt idx="1">
                  <c:v>46.203934666809843</c:v>
                </c:pt>
                <c:pt idx="2">
                  <c:v>36.963147733447869</c:v>
                </c:pt>
                <c:pt idx="3">
                  <c:v>39.957336159874167</c:v>
                </c:pt>
                <c:pt idx="4" formatCode="#,##0.0">
                  <c:v>35.487055999999995</c:v>
                </c:pt>
                <c:pt idx="5" formatCode="#,##0.0">
                  <c:v>22.314752000000002</c:v>
                </c:pt>
                <c:pt idx="6" formatCode="#,##0.0">
                  <c:v>8.7224880000000002</c:v>
                </c:pt>
                <c:pt idx="7" formatCode="#,##0.0">
                  <c:v>3</c:v>
                </c:pt>
                <c:pt idx="8" formatCode="#,##0.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4-4F9C-8233-1831372020F5}"/>
            </c:ext>
          </c:extLst>
        </c:ser>
        <c:ser>
          <c:idx val="3"/>
          <c:order val="3"/>
          <c:tx>
            <c:strRef>
              <c:f>MECS_Total_Fuel!$D$251</c:f>
              <c:strCache>
                <c:ptCount val="1"/>
                <c:pt idx="0">
                  <c:v>321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MECS_Total_Fuel!$E$247:$M$247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MECS_Total_Fuel!$E$251:$M$251</c:f>
              <c:numCache>
                <c:formatCode>0.0</c:formatCode>
                <c:ptCount val="9"/>
                <c:pt idx="0">
                  <c:v>248.79987339144392</c:v>
                </c:pt>
                <c:pt idx="1">
                  <c:v>302.60197307912358</c:v>
                </c:pt>
                <c:pt idx="2">
                  <c:v>314.83245355703338</c:v>
                </c:pt>
                <c:pt idx="3">
                  <c:v>319.45866435321039</c:v>
                </c:pt>
                <c:pt idx="4" formatCode="#,##0.0">
                  <c:v>431.76796000000002</c:v>
                </c:pt>
                <c:pt idx="5" formatCode="#,##0.0">
                  <c:v>303.39918</c:v>
                </c:pt>
                <c:pt idx="6" formatCode="#,##0.0">
                  <c:v>353.821124</c:v>
                </c:pt>
                <c:pt idx="7" formatCode="#,##0.0">
                  <c:v>418</c:v>
                </c:pt>
                <c:pt idx="8" formatCode="#,##0.0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4-4F9C-8233-18313720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97632"/>
        <c:axId val="47897344"/>
      </c:lineChart>
      <c:catAx>
        <c:axId val="1137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9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89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79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51592216021532"/>
          <c:y val="0.36458415354330709"/>
          <c:w val="0.13754062295611102"/>
          <c:h val="0.22135471347331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Prices_1998forward'!$F$32</c:f>
              <c:strCache>
                <c:ptCount val="1"/>
                <c:pt idx="0">
                  <c:v>334</c:v>
                </c:pt>
              </c:strCache>
            </c:strRef>
          </c:tx>
          <c:cat>
            <c:numRef>
              <c:f>'Plot Prices_1998forward'!$G$31:$X$31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Prices_1998forward'!$G$32:$X$32</c:f>
              <c:numCache>
                <c:formatCode>0.00</c:formatCode>
                <c:ptCount val="18"/>
                <c:pt idx="0">
                  <c:v>3.7528106508875729</c:v>
                </c:pt>
                <c:pt idx="1">
                  <c:v>3.7206440264075757</c:v>
                </c:pt>
                <c:pt idx="2">
                  <c:v>5.0012382583280077</c:v>
                </c:pt>
                <c:pt idx="3">
                  <c:v>6.1484039577335476</c:v>
                </c:pt>
                <c:pt idx="4">
                  <c:v>5.4719364161849713</c:v>
                </c:pt>
                <c:pt idx="5">
                  <c:v>6.6215431607104094</c:v>
                </c:pt>
                <c:pt idx="6">
                  <c:v>7.7490872961822426</c:v>
                </c:pt>
                <c:pt idx="7">
                  <c:v>9.7167184081016487</c:v>
                </c:pt>
                <c:pt idx="8">
                  <c:v>9.824258474576272</c:v>
                </c:pt>
                <c:pt idx="9">
                  <c:v>9.4826828092585451</c:v>
                </c:pt>
                <c:pt idx="10">
                  <c:v>11.17968357611888</c:v>
                </c:pt>
                <c:pt idx="11">
                  <c:v>7.9758201964226387</c:v>
                </c:pt>
                <c:pt idx="12">
                  <c:v>6.6876470588235275</c:v>
                </c:pt>
                <c:pt idx="13">
                  <c:v>6.6969461734898834</c:v>
                </c:pt>
                <c:pt idx="14">
                  <c:v>5.8083112424137022</c:v>
                </c:pt>
                <c:pt idx="15">
                  <c:v>6.3241657908351421</c:v>
                </c:pt>
                <c:pt idx="16">
                  <c:v>7.5866269841269842</c:v>
                </c:pt>
                <c:pt idx="17">
                  <c:v>6.1952360443899099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E-4FE6-9FE0-1F4CB1C5EBF9}"/>
            </c:ext>
          </c:extLst>
        </c:ser>
        <c:ser>
          <c:idx val="1"/>
          <c:order val="1"/>
          <c:tx>
            <c:strRef>
              <c:f>'Plot Prices_1998forward'!$F$33</c:f>
              <c:strCache>
                <c:ptCount val="1"/>
                <c:pt idx="0">
                  <c:v>335</c:v>
                </c:pt>
              </c:strCache>
            </c:strRef>
          </c:tx>
          <c:cat>
            <c:numRef>
              <c:f>'Plot Prices_1998forward'!$G$31:$X$31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Prices_1998forward'!$G$33:$X$33</c:f>
              <c:numCache>
                <c:formatCode>0.00</c:formatCode>
                <c:ptCount val="18"/>
                <c:pt idx="0">
                  <c:v>3.4267809258344499</c:v>
                </c:pt>
                <c:pt idx="1">
                  <c:v>3.4362983669229061</c:v>
                </c:pt>
                <c:pt idx="2">
                  <c:v>4.7883097901512413</c:v>
                </c:pt>
                <c:pt idx="3">
                  <c:v>5.8684173773508714</c:v>
                </c:pt>
                <c:pt idx="4">
                  <c:v>4.9912811387900344</c:v>
                </c:pt>
                <c:pt idx="5">
                  <c:v>6.510921781825493</c:v>
                </c:pt>
                <c:pt idx="6">
                  <c:v>7.6242937638476409</c:v>
                </c:pt>
                <c:pt idx="7">
                  <c:v>9.7802455469220622</c:v>
                </c:pt>
                <c:pt idx="8">
                  <c:v>9.7635103926097013</c:v>
                </c:pt>
                <c:pt idx="9">
                  <c:v>9.630935549423171</c:v>
                </c:pt>
                <c:pt idx="10">
                  <c:v>11.675890604653938</c:v>
                </c:pt>
                <c:pt idx="11">
                  <c:v>8.1093683647005204</c:v>
                </c:pt>
                <c:pt idx="12">
                  <c:v>7.3841775456919061</c:v>
                </c:pt>
                <c:pt idx="13">
                  <c:v>7.1310360952271337</c:v>
                </c:pt>
                <c:pt idx="14">
                  <c:v>5.6984936723114279</c:v>
                </c:pt>
                <c:pt idx="15">
                  <c:v>5.8697340048347577</c:v>
                </c:pt>
                <c:pt idx="16">
                  <c:v>6.6420915032679737</c:v>
                </c:pt>
                <c:pt idx="17">
                  <c:v>5.1056828719222356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E-4FE6-9FE0-1F4CB1C5EBF9}"/>
            </c:ext>
          </c:extLst>
        </c:ser>
        <c:ser>
          <c:idx val="2"/>
          <c:order val="2"/>
          <c:tx>
            <c:strRef>
              <c:f>'Plot Prices_1998forward'!$F$34</c:f>
              <c:strCache>
                <c:ptCount val="1"/>
                <c:pt idx="0">
                  <c:v>336</c:v>
                </c:pt>
              </c:strCache>
            </c:strRef>
          </c:tx>
          <c:cat>
            <c:numRef>
              <c:f>'Plot Prices_1998forward'!$G$31:$X$31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Prices_1998forward'!$G$34:$X$34</c:f>
              <c:numCache>
                <c:formatCode>0.00</c:formatCode>
                <c:ptCount val="18"/>
                <c:pt idx="0">
                  <c:v>3.2876459510357821</c:v>
                </c:pt>
                <c:pt idx="1">
                  <c:v>3.3207293018197803</c:v>
                </c:pt>
                <c:pt idx="2">
                  <c:v>4.5451324094228696</c:v>
                </c:pt>
                <c:pt idx="3">
                  <c:v>5.2446537187844546</c:v>
                </c:pt>
                <c:pt idx="4">
                  <c:v>4.2397828042668033</c:v>
                </c:pt>
                <c:pt idx="5">
                  <c:v>5.6679829258847922</c:v>
                </c:pt>
                <c:pt idx="6">
                  <c:v>6.15508737268377</c:v>
                </c:pt>
                <c:pt idx="7">
                  <c:v>7.9590885569075471</c:v>
                </c:pt>
                <c:pt idx="8">
                  <c:v>7.1941281138790041</c:v>
                </c:pt>
                <c:pt idx="9">
                  <c:v>7.6431572842816706</c:v>
                </c:pt>
                <c:pt idx="10">
                  <c:v>10.305178417387545</c:v>
                </c:pt>
                <c:pt idx="11">
                  <c:v>6.6313020021846265</c:v>
                </c:pt>
                <c:pt idx="12">
                  <c:v>7.2781118881118889</c:v>
                </c:pt>
                <c:pt idx="13">
                  <c:v>7.1643779940065686</c:v>
                </c:pt>
                <c:pt idx="14">
                  <c:v>5.9689540616649381</c:v>
                </c:pt>
                <c:pt idx="15">
                  <c:v>6.439597247872026</c:v>
                </c:pt>
                <c:pt idx="16">
                  <c:v>7.2266544117647058</c:v>
                </c:pt>
                <c:pt idx="17">
                  <c:v>5.3024755799896122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E-4FE6-9FE0-1F4CB1C5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7296"/>
        <c:axId val="168747008"/>
      </c:lineChart>
      <c:catAx>
        <c:axId val="453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747008"/>
        <c:crosses val="autoZero"/>
        <c:auto val="1"/>
        <c:lblAlgn val="ctr"/>
        <c:lblOffset val="100"/>
        <c:noMultiLvlLbl val="0"/>
      </c:catAx>
      <c:valAx>
        <c:axId val="168747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36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Prices_1998forward'!$F$38</c:f>
              <c:strCache>
                <c:ptCount val="1"/>
                <c:pt idx="0">
                  <c:v>337</c:v>
                </c:pt>
              </c:strCache>
            </c:strRef>
          </c:tx>
          <c:cat>
            <c:numRef>
              <c:f>'Plot Prices_1998forward'!$G$37:$U$37</c:f>
              <c:numCache>
                <c:formatCode>General</c:formatCode>
                <c:ptCount val="1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numCache>
            </c:numRef>
          </c:cat>
          <c:val>
            <c:numRef>
              <c:f>'Plot Prices_1998forward'!$G$38:$U$38</c:f>
              <c:numCache>
                <c:formatCode>0.00</c:formatCode>
                <c:ptCount val="15"/>
                <c:pt idx="0">
                  <c:v>4.3333333333333339</c:v>
                </c:pt>
                <c:pt idx="1">
                  <c:v>4.0989599446078611</c:v>
                </c:pt>
                <c:pt idx="2">
                  <c:v>5.3738275513927709</c:v>
                </c:pt>
                <c:pt idx="3">
                  <c:v>6.3086116301626838</c:v>
                </c:pt>
                <c:pt idx="4">
                  <c:v>5.107868852459017</c:v>
                </c:pt>
                <c:pt idx="5">
                  <c:v>7.0717408976963503</c:v>
                </c:pt>
                <c:pt idx="6">
                  <c:v>7.7903829463623433</c:v>
                </c:pt>
                <c:pt idx="7">
                  <c:v>9.9742901467621472</c:v>
                </c:pt>
                <c:pt idx="8">
                  <c:v>9.2324663677130054</c:v>
                </c:pt>
                <c:pt idx="9">
                  <c:v>9.6888705612403871</c:v>
                </c:pt>
                <c:pt idx="10">
                  <c:v>12.542889974940707</c:v>
                </c:pt>
                <c:pt idx="11">
                  <c:v>8.2609485482717471</c:v>
                </c:pt>
                <c:pt idx="12">
                  <c:v>8.5506134969325185</c:v>
                </c:pt>
                <c:pt idx="13">
                  <c:v>8.5406510663666779</c:v>
                </c:pt>
                <c:pt idx="14">
                  <c:v>7.1092738076264883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E-451A-94E4-3255CF99C53E}"/>
            </c:ext>
          </c:extLst>
        </c:ser>
        <c:ser>
          <c:idx val="1"/>
          <c:order val="1"/>
          <c:tx>
            <c:strRef>
              <c:f>'Plot Prices_1998forward'!$F$39</c:f>
              <c:strCache>
                <c:ptCount val="1"/>
                <c:pt idx="0">
                  <c:v>339</c:v>
                </c:pt>
              </c:strCache>
            </c:strRef>
          </c:tx>
          <c:cat>
            <c:numRef>
              <c:f>'Plot Prices_1998forward'!$G$37:$U$37</c:f>
              <c:numCache>
                <c:formatCode>General</c:formatCode>
                <c:ptCount val="1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numCache>
            </c:numRef>
          </c:cat>
          <c:val>
            <c:numRef>
              <c:f>'Plot Prices_1998forward'!$G$39:$U$39</c:f>
              <c:numCache>
                <c:formatCode>0.00</c:formatCode>
                <c:ptCount val="15"/>
                <c:pt idx="0">
                  <c:v>4.0496815286624201</c:v>
                </c:pt>
                <c:pt idx="1">
                  <c:v>3.9991048231340098</c:v>
                </c:pt>
                <c:pt idx="2">
                  <c:v>5.6155815283153707</c:v>
                </c:pt>
                <c:pt idx="3">
                  <c:v>6.5503886155631026</c:v>
                </c:pt>
                <c:pt idx="4">
                  <c:v>5.1095833333333331</c:v>
                </c:pt>
                <c:pt idx="5">
                  <c:v>7.0816100222297269</c:v>
                </c:pt>
                <c:pt idx="6">
                  <c:v>7.7699177597077291</c:v>
                </c:pt>
                <c:pt idx="7">
                  <c:v>10.111587060367057</c:v>
                </c:pt>
                <c:pt idx="8">
                  <c:v>9.6178461538461555</c:v>
                </c:pt>
                <c:pt idx="9">
                  <c:v>10.285121241562637</c:v>
                </c:pt>
                <c:pt idx="10">
                  <c:v>13.429715221004283</c:v>
                </c:pt>
                <c:pt idx="11">
                  <c:v>8.8058864089548319</c:v>
                </c:pt>
                <c:pt idx="12">
                  <c:v>8.9980459770114916</c:v>
                </c:pt>
                <c:pt idx="13">
                  <c:v>8.6962456184238839</c:v>
                </c:pt>
                <c:pt idx="14">
                  <c:v>7.1252798306174165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E-451A-94E4-3255CF99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7808"/>
        <c:axId val="168751616"/>
      </c:lineChart>
      <c:catAx>
        <c:axId val="453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751616"/>
        <c:crosses val="autoZero"/>
        <c:auto val="1"/>
        <c:lblAlgn val="ctr"/>
        <c:lblOffset val="100"/>
        <c:noMultiLvlLbl val="0"/>
      </c:catAx>
      <c:valAx>
        <c:axId val="168751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36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Prices_1985forward'!$F$7</c:f>
              <c:strCache>
                <c:ptCount val="1"/>
                <c:pt idx="0">
                  <c:v>N 311</c:v>
                </c:pt>
              </c:strCache>
            </c:strRef>
          </c:tx>
          <c:cat>
            <c:numRef>
              <c:f>'Plot Prices_1985forward'!$G$6:$U$6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Prices_1985forward'!$G$7:$U$7</c:f>
              <c:numCache>
                <c:formatCode>0.00</c:formatCode>
                <c:ptCount val="15"/>
                <c:pt idx="0">
                  <c:v>3.9049237303815345</c:v>
                </c:pt>
                <c:pt idx="1">
                  <c:v>3.1870286574932614</c:v>
                </c:pt>
                <c:pt idx="2">
                  <c:v>2.8613968952779936</c:v>
                </c:pt>
                <c:pt idx="3">
                  <c:v>2.7782390298849409</c:v>
                </c:pt>
                <c:pt idx="4">
                  <c:v>2.7676846551188143</c:v>
                </c:pt>
                <c:pt idx="5">
                  <c:v>2.7865229663855535</c:v>
                </c:pt>
                <c:pt idx="6">
                  <c:v>2.5681326499033394</c:v>
                </c:pt>
                <c:pt idx="7">
                  <c:v>2.5997992991609848</c:v>
                </c:pt>
                <c:pt idx="8">
                  <c:v>2.7289635774747527</c:v>
                </c:pt>
                <c:pt idx="9">
                  <c:v>2.6825601619782806</c:v>
                </c:pt>
                <c:pt idx="10">
                  <c:v>2.4413449406576859</c:v>
                </c:pt>
                <c:pt idx="11">
                  <c:v>2.953147609050577</c:v>
                </c:pt>
                <c:pt idx="12">
                  <c:v>3.1018722954108662</c:v>
                </c:pt>
                <c:pt idx="13">
                  <c:v>2.7333606557377053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4-4FF3-801E-F0ABC78A177A}"/>
            </c:ext>
          </c:extLst>
        </c:ser>
        <c:ser>
          <c:idx val="1"/>
          <c:order val="1"/>
          <c:tx>
            <c:strRef>
              <c:f>'Plot Prices_1985forward'!$F$8</c:f>
              <c:strCache>
                <c:ptCount val="1"/>
                <c:pt idx="0">
                  <c:v>N 312</c:v>
                </c:pt>
              </c:strCache>
            </c:strRef>
          </c:tx>
          <c:cat>
            <c:numRef>
              <c:f>'Plot Prices_1985forward'!$G$6:$U$6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Prices_1985forward'!$G$8:$U$8</c:f>
              <c:numCache>
                <c:formatCode>0.00</c:formatCode>
                <c:ptCount val="15"/>
                <c:pt idx="0">
                  <c:v>3.66275504879198</c:v>
                </c:pt>
                <c:pt idx="1">
                  <c:v>3.0749937062414947</c:v>
                </c:pt>
                <c:pt idx="2">
                  <c:v>2.7762580415037439</c:v>
                </c:pt>
                <c:pt idx="3">
                  <c:v>2.6645048514366532</c:v>
                </c:pt>
                <c:pt idx="4">
                  <c:v>2.6023782703889573</c:v>
                </c:pt>
                <c:pt idx="5">
                  <c:v>2.5612210892523848</c:v>
                </c:pt>
                <c:pt idx="6">
                  <c:v>2.3600037723114458</c:v>
                </c:pt>
                <c:pt idx="7">
                  <c:v>2.4663535002350709</c:v>
                </c:pt>
                <c:pt idx="8">
                  <c:v>2.6491874080404711</c:v>
                </c:pt>
                <c:pt idx="9">
                  <c:v>2.7397774893388864</c:v>
                </c:pt>
                <c:pt idx="10">
                  <c:v>2.5845080538893583</c:v>
                </c:pt>
                <c:pt idx="11">
                  <c:v>2.9269310987998618</c:v>
                </c:pt>
                <c:pt idx="12">
                  <c:v>3.0360870304720189</c:v>
                </c:pt>
                <c:pt idx="13">
                  <c:v>2.7516455696202535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4-4FF3-801E-F0ABC78A177A}"/>
            </c:ext>
          </c:extLst>
        </c:ser>
        <c:ser>
          <c:idx val="2"/>
          <c:order val="2"/>
          <c:tx>
            <c:strRef>
              <c:f>'Plot Prices_1985forward'!$F$9</c:f>
              <c:strCache>
                <c:ptCount val="1"/>
                <c:pt idx="0">
                  <c:v>N 313</c:v>
                </c:pt>
              </c:strCache>
            </c:strRef>
          </c:tx>
          <c:cat>
            <c:numRef>
              <c:f>'Plot Prices_1985forward'!$G$6:$U$6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Prices_1985forward'!$G$9:$U$9</c:f>
              <c:numCache>
                <c:formatCode>0.00</c:formatCode>
                <c:ptCount val="15"/>
                <c:pt idx="0">
                  <c:v>4.1216782970984891</c:v>
                </c:pt>
                <c:pt idx="1">
                  <c:v>3.2737245581565695</c:v>
                </c:pt>
                <c:pt idx="2">
                  <c:v>3.1094319164082322</c:v>
                </c:pt>
                <c:pt idx="3">
                  <c:v>3.0178962361005981</c:v>
                </c:pt>
                <c:pt idx="4">
                  <c:v>3.1495681840825727</c:v>
                </c:pt>
                <c:pt idx="5">
                  <c:v>3.3193216475298848</c:v>
                </c:pt>
                <c:pt idx="6">
                  <c:v>3.1211935042271093</c:v>
                </c:pt>
                <c:pt idx="7">
                  <c:v>3.1396936094115966</c:v>
                </c:pt>
                <c:pt idx="8">
                  <c:v>3.2411633317376394</c:v>
                </c:pt>
                <c:pt idx="9">
                  <c:v>3.1336299974056594</c:v>
                </c:pt>
                <c:pt idx="10">
                  <c:v>2.9121957820462083</c:v>
                </c:pt>
                <c:pt idx="11">
                  <c:v>3.5627749336051484</c:v>
                </c:pt>
                <c:pt idx="12">
                  <c:v>3.662467814179613</c:v>
                </c:pt>
                <c:pt idx="13">
                  <c:v>3.1508571428571424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4-4FF3-801E-F0ABC78A177A}"/>
            </c:ext>
          </c:extLst>
        </c:ser>
        <c:ser>
          <c:idx val="3"/>
          <c:order val="3"/>
          <c:tx>
            <c:strRef>
              <c:f>'Plot Prices_1985forward'!$F$10</c:f>
              <c:strCache>
                <c:ptCount val="1"/>
                <c:pt idx="0">
                  <c:v>N 314 </c:v>
                </c:pt>
              </c:strCache>
            </c:strRef>
          </c:tx>
          <c:cat>
            <c:numRef>
              <c:f>'Plot Prices_1985forward'!$G$6:$U$6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Prices_1985forward'!$G$10:$U$10</c:f>
              <c:numCache>
                <c:formatCode>0.00</c:formatCode>
                <c:ptCount val="15"/>
                <c:pt idx="0">
                  <c:v>4.1216782970984891</c:v>
                </c:pt>
                <c:pt idx="1">
                  <c:v>3.3033699746275174</c:v>
                </c:pt>
                <c:pt idx="2">
                  <c:v>3.1096587267160594</c:v>
                </c:pt>
                <c:pt idx="3">
                  <c:v>3.0178962361005981</c:v>
                </c:pt>
                <c:pt idx="4">
                  <c:v>3.1311073759941439</c:v>
                </c:pt>
                <c:pt idx="5">
                  <c:v>3.2903827909284171</c:v>
                </c:pt>
                <c:pt idx="6">
                  <c:v>3.1055060230524116</c:v>
                </c:pt>
                <c:pt idx="7">
                  <c:v>3.1274564781089622</c:v>
                </c:pt>
                <c:pt idx="8">
                  <c:v>3.231118595024931</c:v>
                </c:pt>
                <c:pt idx="9">
                  <c:v>3.1336299974056594</c:v>
                </c:pt>
                <c:pt idx="10">
                  <c:v>2.9636090751530304</c:v>
                </c:pt>
                <c:pt idx="11">
                  <c:v>3.6740235263431194</c:v>
                </c:pt>
                <c:pt idx="12">
                  <c:v>3.8613419198185941</c:v>
                </c:pt>
                <c:pt idx="13">
                  <c:v>3.3853773584905662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4-4FF3-801E-F0ABC78A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8832"/>
        <c:axId val="179627136"/>
      </c:lineChart>
      <c:catAx>
        <c:axId val="453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627136"/>
        <c:crosses val="autoZero"/>
        <c:auto val="1"/>
        <c:lblAlgn val="ctr"/>
        <c:lblOffset val="100"/>
        <c:noMultiLvlLbl val="0"/>
      </c:catAx>
      <c:valAx>
        <c:axId val="17962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3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Prices_1985forward'!$F$13</c:f>
              <c:strCache>
                <c:ptCount val="1"/>
                <c:pt idx="0">
                  <c:v>N 315</c:v>
                </c:pt>
              </c:strCache>
            </c:strRef>
          </c:tx>
          <c:cat>
            <c:numRef>
              <c:f>'Plot Prices_1985forward'!$G$12:$U$12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Prices_1985forward'!$G$13:$U$13</c:f>
              <c:numCache>
                <c:formatCode>0.00</c:formatCode>
                <c:ptCount val="15"/>
                <c:pt idx="0">
                  <c:v>5.128442217533089</c:v>
                </c:pt>
                <c:pt idx="1">
                  <c:v>4.3507767807710991</c:v>
                </c:pt>
                <c:pt idx="2">
                  <c:v>3.9836917909622547</c:v>
                </c:pt>
                <c:pt idx="3">
                  <c:v>4.0686357806495819</c:v>
                </c:pt>
                <c:pt idx="4">
                  <c:v>4.0460359764692893</c:v>
                </c:pt>
                <c:pt idx="5">
                  <c:v>4.1000673422207363</c:v>
                </c:pt>
                <c:pt idx="6">
                  <c:v>3.8089620728423221</c:v>
                </c:pt>
                <c:pt idx="7">
                  <c:v>3.8723390064291938</c:v>
                </c:pt>
                <c:pt idx="8">
                  <c:v>4.0683086124444188</c:v>
                </c:pt>
                <c:pt idx="9">
                  <c:v>3.9701295660547631</c:v>
                </c:pt>
                <c:pt idx="10">
                  <c:v>3.5452653133493235</c:v>
                </c:pt>
                <c:pt idx="11">
                  <c:v>4.3452861949910453</c:v>
                </c:pt>
                <c:pt idx="12">
                  <c:v>4.4941635086409955</c:v>
                </c:pt>
                <c:pt idx="13">
                  <c:v>3.8189285714285721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3-4D83-91B9-CC95DF0D7D3E}"/>
            </c:ext>
          </c:extLst>
        </c:ser>
        <c:ser>
          <c:idx val="1"/>
          <c:order val="1"/>
          <c:tx>
            <c:strRef>
              <c:f>'Plot Prices_1985forward'!$F$14</c:f>
              <c:strCache>
                <c:ptCount val="1"/>
                <c:pt idx="0">
                  <c:v>N 316</c:v>
                </c:pt>
              </c:strCache>
            </c:strRef>
          </c:tx>
          <c:cat>
            <c:numRef>
              <c:f>'Plot Prices_1985forward'!$G$12:$U$12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Prices_1985forward'!$G$14:$U$14</c:f>
              <c:numCache>
                <c:formatCode>0.00</c:formatCode>
                <c:ptCount val="15"/>
                <c:pt idx="0">
                  <c:v>4.6927247622279458</c:v>
                </c:pt>
                <c:pt idx="1">
                  <c:v>3.3316628420622196</c:v>
                </c:pt>
                <c:pt idx="2">
                  <c:v>3.3825350390525886</c:v>
                </c:pt>
                <c:pt idx="3">
                  <c:v>3.116387125759283</c:v>
                </c:pt>
                <c:pt idx="4">
                  <c:v>3.3939780628094933</c:v>
                </c:pt>
                <c:pt idx="5">
                  <c:v>3.6460468031081508</c:v>
                </c:pt>
                <c:pt idx="6">
                  <c:v>3.2492948077667072</c:v>
                </c:pt>
                <c:pt idx="7">
                  <c:v>3.3032167480184866</c:v>
                </c:pt>
                <c:pt idx="8">
                  <c:v>3.3975064301173732</c:v>
                </c:pt>
                <c:pt idx="9">
                  <c:v>3.3421417184870719</c:v>
                </c:pt>
                <c:pt idx="10">
                  <c:v>3.2875005896091731</c:v>
                </c:pt>
                <c:pt idx="11">
                  <c:v>4.2014404061425878</c:v>
                </c:pt>
                <c:pt idx="12">
                  <c:v>4.4689022704391377</c:v>
                </c:pt>
                <c:pt idx="13">
                  <c:v>3.960612244897959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3-4D83-91B9-CC95DF0D7D3E}"/>
            </c:ext>
          </c:extLst>
        </c:ser>
        <c:ser>
          <c:idx val="2"/>
          <c:order val="2"/>
          <c:tx>
            <c:strRef>
              <c:f>'Plot Prices_1985forward'!$F$15</c:f>
              <c:strCache>
                <c:ptCount val="1"/>
                <c:pt idx="0">
                  <c:v>N 321</c:v>
                </c:pt>
              </c:strCache>
            </c:strRef>
          </c:tx>
          <c:cat>
            <c:numRef>
              <c:f>'Plot Prices_1985forward'!$G$12:$U$12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Prices_1985forward'!$G$15:$U$15</c:f>
              <c:numCache>
                <c:formatCode>0.00</c:formatCode>
                <c:ptCount val="15"/>
                <c:pt idx="0">
                  <c:v>5.3858076713520928</c:v>
                </c:pt>
                <c:pt idx="1">
                  <c:v>4.7077949540603745</c:v>
                </c:pt>
                <c:pt idx="2">
                  <c:v>4.0372746234018333</c:v>
                </c:pt>
                <c:pt idx="3">
                  <c:v>4.2275431212646808</c:v>
                </c:pt>
                <c:pt idx="4">
                  <c:v>4.0532805741844191</c:v>
                </c:pt>
                <c:pt idx="5">
                  <c:v>4.1919837481795597</c:v>
                </c:pt>
                <c:pt idx="6">
                  <c:v>4.0250531143581085</c:v>
                </c:pt>
                <c:pt idx="7">
                  <c:v>4.0282078960394347</c:v>
                </c:pt>
                <c:pt idx="8">
                  <c:v>4.2044108248178986</c:v>
                </c:pt>
                <c:pt idx="9">
                  <c:v>4.182368269796612</c:v>
                </c:pt>
                <c:pt idx="10">
                  <c:v>3.6109563455866649</c:v>
                </c:pt>
                <c:pt idx="11">
                  <c:v>4.0334620617794839</c:v>
                </c:pt>
                <c:pt idx="12">
                  <c:v>4.0841075396532283</c:v>
                </c:pt>
                <c:pt idx="13">
                  <c:v>3.3405434782608698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3-4D83-91B9-CC95DF0D7D3E}"/>
            </c:ext>
          </c:extLst>
        </c:ser>
        <c:ser>
          <c:idx val="3"/>
          <c:order val="3"/>
          <c:tx>
            <c:strRef>
              <c:f>'Plot Prices_1985forward'!$F$16</c:f>
              <c:strCache>
                <c:ptCount val="1"/>
                <c:pt idx="0">
                  <c:v>N 322</c:v>
                </c:pt>
              </c:strCache>
            </c:strRef>
          </c:tx>
          <c:cat>
            <c:numRef>
              <c:f>'Plot Prices_1985forward'!$G$12:$U$12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Prices_1985forward'!$G$16:$U$16</c:f>
              <c:numCache>
                <c:formatCode>0.00</c:formatCode>
                <c:ptCount val="15"/>
                <c:pt idx="0">
                  <c:v>3.3231889909642658</c:v>
                </c:pt>
                <c:pt idx="1">
                  <c:v>2.6703583565444782</c:v>
                </c:pt>
                <c:pt idx="2">
                  <c:v>2.4356488303787378</c:v>
                </c:pt>
                <c:pt idx="3">
                  <c:v>2.2619221083825387</c:v>
                </c:pt>
                <c:pt idx="4">
                  <c:v>2.3303951614726239</c:v>
                </c:pt>
                <c:pt idx="5">
                  <c:v>2.427441992229868</c:v>
                </c:pt>
                <c:pt idx="6">
                  <c:v>2.251487013990312</c:v>
                </c:pt>
                <c:pt idx="7">
                  <c:v>2.2575024920142193</c:v>
                </c:pt>
                <c:pt idx="8">
                  <c:v>2.3540681277021336</c:v>
                </c:pt>
                <c:pt idx="9">
                  <c:v>2.3619661794414504</c:v>
                </c:pt>
                <c:pt idx="10">
                  <c:v>2.2550566532074665</c:v>
                </c:pt>
                <c:pt idx="11">
                  <c:v>2.6100924128898284</c:v>
                </c:pt>
                <c:pt idx="12">
                  <c:v>2.7381532634136456</c:v>
                </c:pt>
                <c:pt idx="13">
                  <c:v>2.4317412451361871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3-4D83-91B9-CC95DF0D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9904"/>
        <c:axId val="179629440"/>
      </c:lineChart>
      <c:catAx>
        <c:axId val="458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629440"/>
        <c:crosses val="autoZero"/>
        <c:auto val="1"/>
        <c:lblAlgn val="ctr"/>
        <c:lblOffset val="100"/>
        <c:noMultiLvlLbl val="0"/>
      </c:catAx>
      <c:valAx>
        <c:axId val="17962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8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Prices_1985forward'!$F$19</c:f>
              <c:strCache>
                <c:ptCount val="1"/>
                <c:pt idx="0">
                  <c:v>N 323</c:v>
                </c:pt>
              </c:strCache>
            </c:strRef>
          </c:tx>
          <c:cat>
            <c:numRef>
              <c:f>'Plot Prices_1985forward'!$G$18:$U$18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Prices_1985forward'!$G$19:$U$19</c:f>
              <c:numCache>
                <c:formatCode>0.00</c:formatCode>
                <c:ptCount val="15"/>
                <c:pt idx="0">
                  <c:v>5.0550011384086222</c:v>
                </c:pt>
                <c:pt idx="1">
                  <c:v>4.271747328390429</c:v>
                </c:pt>
                <c:pt idx="2">
                  <c:v>4.0538134757673694</c:v>
                </c:pt>
                <c:pt idx="3">
                  <c:v>4.0967292813437926</c:v>
                </c:pt>
                <c:pt idx="4">
                  <c:v>4.1040270016728382</c:v>
                </c:pt>
                <c:pt idx="5">
                  <c:v>4.0747824349777044</c:v>
                </c:pt>
                <c:pt idx="6">
                  <c:v>3.760925562988104</c:v>
                </c:pt>
                <c:pt idx="7">
                  <c:v>3.9298008687150054</c:v>
                </c:pt>
                <c:pt idx="8">
                  <c:v>4.1895377248660504</c:v>
                </c:pt>
                <c:pt idx="9">
                  <c:v>4.1802237026623725</c:v>
                </c:pt>
                <c:pt idx="10">
                  <c:v>3.7197629642932233</c:v>
                </c:pt>
                <c:pt idx="11">
                  <c:v>4.4428437406937071</c:v>
                </c:pt>
                <c:pt idx="12">
                  <c:v>4.5648014851757157</c:v>
                </c:pt>
                <c:pt idx="13">
                  <c:v>3.9662958843159064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6-43E1-855D-99A2A8080768}"/>
            </c:ext>
          </c:extLst>
        </c:ser>
        <c:ser>
          <c:idx val="1"/>
          <c:order val="1"/>
          <c:tx>
            <c:strRef>
              <c:f>'Plot Prices_1985forward'!$F$20</c:f>
              <c:strCache>
                <c:ptCount val="1"/>
                <c:pt idx="0">
                  <c:v>N 324</c:v>
                </c:pt>
              </c:strCache>
            </c:strRef>
          </c:tx>
          <c:cat>
            <c:numRef>
              <c:f>'Plot Prices_1985forward'!$G$18:$U$18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Prices_1985forward'!$G$20:$U$20</c:f>
              <c:numCache>
                <c:formatCode>0.00</c:formatCode>
                <c:ptCount val="15"/>
                <c:pt idx="0">
                  <c:v>3.2775271495626739</c:v>
                </c:pt>
                <c:pt idx="1">
                  <c:v>2.6066761805420651</c:v>
                </c:pt>
                <c:pt idx="2">
                  <c:v>2.2886133520071961</c:v>
                </c:pt>
                <c:pt idx="3">
                  <c:v>2.2266481580695126</c:v>
                </c:pt>
                <c:pt idx="4">
                  <c:v>2.2403548330972467</c:v>
                </c:pt>
                <c:pt idx="5">
                  <c:v>2.2994996167131996</c:v>
                </c:pt>
                <c:pt idx="6">
                  <c:v>2.1274994175679098</c:v>
                </c:pt>
                <c:pt idx="7">
                  <c:v>2.2058351820113682</c:v>
                </c:pt>
                <c:pt idx="8">
                  <c:v>2.3973723421907183</c:v>
                </c:pt>
                <c:pt idx="9">
                  <c:v>2.3500085616977966</c:v>
                </c:pt>
                <c:pt idx="10">
                  <c:v>2.1209292115658913</c:v>
                </c:pt>
                <c:pt idx="11">
                  <c:v>2.7256224498527311</c:v>
                </c:pt>
                <c:pt idx="12">
                  <c:v>2.883764711863213</c:v>
                </c:pt>
                <c:pt idx="13">
                  <c:v>2.5205263654372234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6-43E1-855D-99A2A8080768}"/>
            </c:ext>
          </c:extLst>
        </c:ser>
        <c:ser>
          <c:idx val="2"/>
          <c:order val="2"/>
          <c:tx>
            <c:strRef>
              <c:f>'Plot Prices_1985forward'!$F$21</c:f>
              <c:strCache>
                <c:ptCount val="1"/>
                <c:pt idx="0">
                  <c:v>N 325</c:v>
                </c:pt>
              </c:strCache>
            </c:strRef>
          </c:tx>
          <c:cat>
            <c:numRef>
              <c:f>'Plot Prices_1985forward'!$G$18:$U$18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Prices_1985forward'!$G$21:$U$21</c:f>
              <c:numCache>
                <c:formatCode>0.00</c:formatCode>
                <c:ptCount val="15"/>
                <c:pt idx="0">
                  <c:v>2.8917977385631515</c:v>
                </c:pt>
                <c:pt idx="1">
                  <c:v>2.331998484183297</c:v>
                </c:pt>
                <c:pt idx="2">
                  <c:v>2.0385034029908935</c:v>
                </c:pt>
                <c:pt idx="3">
                  <c:v>1.9709558972732946</c:v>
                </c:pt>
                <c:pt idx="4">
                  <c:v>1.9837323636347053</c:v>
                </c:pt>
                <c:pt idx="5">
                  <c:v>1.996289256325912</c:v>
                </c:pt>
                <c:pt idx="6">
                  <c:v>1.8344599999188993</c:v>
                </c:pt>
                <c:pt idx="7">
                  <c:v>1.9396149361400343</c:v>
                </c:pt>
                <c:pt idx="8">
                  <c:v>2.1261467121769986</c:v>
                </c:pt>
                <c:pt idx="9">
                  <c:v>2.146292716061307</c:v>
                </c:pt>
                <c:pt idx="10">
                  <c:v>1.9519690901371558</c:v>
                </c:pt>
                <c:pt idx="11">
                  <c:v>2.4744034413438314</c:v>
                </c:pt>
                <c:pt idx="12">
                  <c:v>2.6495379872007701</c:v>
                </c:pt>
                <c:pt idx="13">
                  <c:v>2.3507607776838544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6-43E1-855D-99A2A8080768}"/>
            </c:ext>
          </c:extLst>
        </c:ser>
        <c:ser>
          <c:idx val="3"/>
          <c:order val="3"/>
          <c:tx>
            <c:strRef>
              <c:f>'Plot Prices_1985forward'!$F$22</c:f>
              <c:strCache>
                <c:ptCount val="1"/>
                <c:pt idx="0">
                  <c:v>N 326</c:v>
                </c:pt>
              </c:strCache>
            </c:strRef>
          </c:tx>
          <c:cat>
            <c:numRef>
              <c:f>'Plot Prices_1985forward'!$G$18:$U$18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Prices_1985forward'!$G$22:$U$22</c:f>
              <c:numCache>
                <c:formatCode>0.00</c:formatCode>
                <c:ptCount val="15"/>
                <c:pt idx="0">
                  <c:v>4.3655384128476067</c:v>
                </c:pt>
                <c:pt idx="1">
                  <c:v>3.5557538736601608</c:v>
                </c:pt>
                <c:pt idx="2">
                  <c:v>3.3234256097971628</c:v>
                </c:pt>
                <c:pt idx="3">
                  <c:v>3.2342168556580209</c:v>
                </c:pt>
                <c:pt idx="4">
                  <c:v>3.3320833979314393</c:v>
                </c:pt>
                <c:pt idx="5">
                  <c:v>3.4002563288866079</c:v>
                </c:pt>
                <c:pt idx="6">
                  <c:v>3.211774778911384</c:v>
                </c:pt>
                <c:pt idx="7">
                  <c:v>3.2930050831468556</c:v>
                </c:pt>
                <c:pt idx="8">
                  <c:v>3.4974731216781607</c:v>
                </c:pt>
                <c:pt idx="9">
                  <c:v>3.5502435400541215</c:v>
                </c:pt>
                <c:pt idx="10">
                  <c:v>3.2503745533712372</c:v>
                </c:pt>
                <c:pt idx="11">
                  <c:v>3.7788499424948658</c:v>
                </c:pt>
                <c:pt idx="12">
                  <c:v>4.0370077442691379</c:v>
                </c:pt>
                <c:pt idx="13">
                  <c:v>3.6011510791366907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6-43E1-855D-99A2A808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1440"/>
        <c:axId val="50282496"/>
      </c:lineChart>
      <c:catAx>
        <c:axId val="458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82496"/>
        <c:crosses val="autoZero"/>
        <c:auto val="1"/>
        <c:lblAlgn val="ctr"/>
        <c:lblOffset val="100"/>
        <c:noMultiLvlLbl val="0"/>
      </c:catAx>
      <c:valAx>
        <c:axId val="50282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8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Prices_1985forward'!$F$32</c:f>
              <c:strCache>
                <c:ptCount val="1"/>
                <c:pt idx="0">
                  <c:v>334</c:v>
                </c:pt>
              </c:strCache>
            </c:strRef>
          </c:tx>
          <c:cat>
            <c:numRef>
              <c:f>'Plot Prices_1985forward'!$G$31:$U$31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Prices_1985forward'!$G$32:$U$32</c:f>
              <c:numCache>
                <c:formatCode>0.00</c:formatCode>
                <c:ptCount val="15"/>
                <c:pt idx="0">
                  <c:v>4.205766673833871</c:v>
                </c:pt>
                <c:pt idx="1">
                  <c:v>3.5197465586420358</c:v>
                </c:pt>
                <c:pt idx="2">
                  <c:v>3.2411504321992695</c:v>
                </c:pt>
                <c:pt idx="3">
                  <c:v>3.1321768589636938</c:v>
                </c:pt>
                <c:pt idx="4">
                  <c:v>3.2498762167474684</c:v>
                </c:pt>
                <c:pt idx="5">
                  <c:v>3.3900080994293496</c:v>
                </c:pt>
                <c:pt idx="6">
                  <c:v>3.2397939403335458</c:v>
                </c:pt>
                <c:pt idx="7">
                  <c:v>3.1793093657498273</c:v>
                </c:pt>
                <c:pt idx="8">
                  <c:v>3.3233824984898468</c:v>
                </c:pt>
                <c:pt idx="9">
                  <c:v>3.3341414515536827</c:v>
                </c:pt>
                <c:pt idx="10">
                  <c:v>3.1942460611380139</c:v>
                </c:pt>
                <c:pt idx="11">
                  <c:v>3.567766464916307</c:v>
                </c:pt>
                <c:pt idx="12">
                  <c:v>3.9817620697823433</c:v>
                </c:pt>
                <c:pt idx="13">
                  <c:v>3.7265765765765764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3-4CB9-9FB5-E75F64FD0A90}"/>
            </c:ext>
          </c:extLst>
        </c:ser>
        <c:ser>
          <c:idx val="1"/>
          <c:order val="1"/>
          <c:tx>
            <c:strRef>
              <c:f>'Plot Prices_1985forward'!$F$33</c:f>
              <c:strCache>
                <c:ptCount val="1"/>
                <c:pt idx="0">
                  <c:v>335</c:v>
                </c:pt>
              </c:strCache>
            </c:strRef>
          </c:tx>
          <c:cat>
            <c:numRef>
              <c:f>'Plot Prices_1985forward'!$G$31:$U$31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Prices_1985forward'!$G$33:$U$33</c:f>
              <c:numCache>
                <c:formatCode>0.00</c:formatCode>
                <c:ptCount val="15"/>
                <c:pt idx="0">
                  <c:v>4.5849886861941904</c:v>
                </c:pt>
                <c:pt idx="1">
                  <c:v>3.7368869668146369</c:v>
                </c:pt>
                <c:pt idx="2">
                  <c:v>3.400669379242327</c:v>
                </c:pt>
                <c:pt idx="3">
                  <c:v>3.3916794734532525</c:v>
                </c:pt>
                <c:pt idx="4">
                  <c:v>3.488761969908587</c:v>
                </c:pt>
                <c:pt idx="5">
                  <c:v>3.6394973223284368</c:v>
                </c:pt>
                <c:pt idx="6">
                  <c:v>3.4468603570319862</c:v>
                </c:pt>
                <c:pt idx="7">
                  <c:v>3.533499580674996</c:v>
                </c:pt>
                <c:pt idx="8">
                  <c:v>3.7504839658323692</c:v>
                </c:pt>
                <c:pt idx="9">
                  <c:v>3.6537907005483534</c:v>
                </c:pt>
                <c:pt idx="10">
                  <c:v>3.2277268134364165</c:v>
                </c:pt>
                <c:pt idx="11">
                  <c:v>4.0445789693682723</c:v>
                </c:pt>
                <c:pt idx="12">
                  <c:v>4.1978342646064695</c:v>
                </c:pt>
                <c:pt idx="13">
                  <c:v>3.5875444839857655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3-4CB9-9FB5-E75F64FD0A90}"/>
            </c:ext>
          </c:extLst>
        </c:ser>
        <c:ser>
          <c:idx val="2"/>
          <c:order val="2"/>
          <c:tx>
            <c:strRef>
              <c:f>'Plot Prices_1985forward'!$F$34</c:f>
              <c:strCache>
                <c:ptCount val="1"/>
                <c:pt idx="0">
                  <c:v>336</c:v>
                </c:pt>
              </c:strCache>
            </c:strRef>
          </c:tx>
          <c:cat>
            <c:numRef>
              <c:f>'Plot Prices_1985forward'!$G$31:$U$31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Prices_1985forward'!$G$34:$U$34</c:f>
              <c:numCache>
                <c:formatCode>0.00</c:formatCode>
                <c:ptCount val="15"/>
                <c:pt idx="0">
                  <c:v>4.3031195637236248</c:v>
                </c:pt>
                <c:pt idx="1">
                  <c:v>3.5542883959756866</c:v>
                </c:pt>
                <c:pt idx="2">
                  <c:v>3.3048027315710762</c:v>
                </c:pt>
                <c:pt idx="3">
                  <c:v>3.2608588855961069</c:v>
                </c:pt>
                <c:pt idx="4">
                  <c:v>3.2708797551505975</c:v>
                </c:pt>
                <c:pt idx="5">
                  <c:v>3.2951972040699484</c:v>
                </c:pt>
                <c:pt idx="6">
                  <c:v>3.0555454845083574</c:v>
                </c:pt>
                <c:pt idx="7">
                  <c:v>3.1016970063427993</c:v>
                </c:pt>
                <c:pt idx="8">
                  <c:v>3.239243587590332</c:v>
                </c:pt>
                <c:pt idx="9">
                  <c:v>3.1852696351766552</c:v>
                </c:pt>
                <c:pt idx="10">
                  <c:v>2.9050751071661702</c:v>
                </c:pt>
                <c:pt idx="11">
                  <c:v>3.5553849417047383</c:v>
                </c:pt>
                <c:pt idx="12">
                  <c:v>3.697789173695285</c:v>
                </c:pt>
                <c:pt idx="13">
                  <c:v>3.2359848484848484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3-4CB9-9FB5-E75F64FD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7152"/>
        <c:axId val="50284224"/>
      </c:lineChart>
      <c:catAx>
        <c:axId val="459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84224"/>
        <c:crosses val="autoZero"/>
        <c:auto val="1"/>
        <c:lblAlgn val="ctr"/>
        <c:lblOffset val="100"/>
        <c:noMultiLvlLbl val="0"/>
      </c:catAx>
      <c:valAx>
        <c:axId val="50284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9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Prices_1985forward'!$F$38</c:f>
              <c:strCache>
                <c:ptCount val="1"/>
                <c:pt idx="0">
                  <c:v>337</c:v>
                </c:pt>
              </c:strCache>
            </c:strRef>
          </c:tx>
          <c:cat>
            <c:numRef>
              <c:f>'Plot Prices_1985forward'!$G$37:$U$37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Prices_1985forward'!$G$38:$U$38</c:f>
              <c:numCache>
                <c:formatCode>0.00</c:formatCode>
                <c:ptCount val="15"/>
                <c:pt idx="0">
                  <c:v>5.0104514888219862</c:v>
                </c:pt>
                <c:pt idx="1">
                  <c:v>4.1040445558653742</c:v>
                </c:pt>
                <c:pt idx="2">
                  <c:v>3.8919182232068859</c:v>
                </c:pt>
                <c:pt idx="3">
                  <c:v>3.9449745638038189</c:v>
                </c:pt>
                <c:pt idx="4">
                  <c:v>3.9475526831948229</c:v>
                </c:pt>
                <c:pt idx="5">
                  <c:v>3.9855485775325823</c:v>
                </c:pt>
                <c:pt idx="6">
                  <c:v>3.6676528530890491</c:v>
                </c:pt>
                <c:pt idx="7">
                  <c:v>3.7795763680501797</c:v>
                </c:pt>
                <c:pt idx="8">
                  <c:v>4.0014595554948658</c:v>
                </c:pt>
                <c:pt idx="9">
                  <c:v>3.9329175760692014</c:v>
                </c:pt>
                <c:pt idx="10">
                  <c:v>3.5673467892564785</c:v>
                </c:pt>
                <c:pt idx="11">
                  <c:v>4.4862796553469027</c:v>
                </c:pt>
                <c:pt idx="12">
                  <c:v>4.7447020220251277</c:v>
                </c:pt>
                <c:pt idx="13">
                  <c:v>4.1847133757961785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9-4C26-B9E3-10E603AC4068}"/>
            </c:ext>
          </c:extLst>
        </c:ser>
        <c:ser>
          <c:idx val="1"/>
          <c:order val="1"/>
          <c:tx>
            <c:strRef>
              <c:f>'Plot Prices_1985forward'!$F$39</c:f>
              <c:strCache>
                <c:ptCount val="1"/>
                <c:pt idx="0">
                  <c:v>339</c:v>
                </c:pt>
              </c:strCache>
            </c:strRef>
          </c:tx>
          <c:cat>
            <c:numRef>
              <c:f>'Plot Prices_1985forward'!$G$37:$U$37</c:f>
              <c:numCache>
                <c:formatCode>General</c:formatCode>
                <c:ptCount val="1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'Plot Prices_1985forward'!$G$39:$U$39</c:f>
              <c:numCache>
                <c:formatCode>0.00</c:formatCode>
                <c:ptCount val="15"/>
                <c:pt idx="0">
                  <c:v>3.7715857469996448</c:v>
                </c:pt>
                <c:pt idx="1">
                  <c:v>3.0695840342022569</c:v>
                </c:pt>
                <c:pt idx="2">
                  <c:v>3.1972534933381551</c:v>
                </c:pt>
                <c:pt idx="3">
                  <c:v>3.4119393974800314</c:v>
                </c:pt>
                <c:pt idx="4">
                  <c:v>3.594995351555919</c:v>
                </c:pt>
                <c:pt idx="5">
                  <c:v>3.7574834502153762</c:v>
                </c:pt>
                <c:pt idx="6">
                  <c:v>3.6443249349020843</c:v>
                </c:pt>
                <c:pt idx="7">
                  <c:v>3.7035360890878168</c:v>
                </c:pt>
                <c:pt idx="8">
                  <c:v>3.8603078261737021</c:v>
                </c:pt>
                <c:pt idx="9">
                  <c:v>3.8336440458021848</c:v>
                </c:pt>
                <c:pt idx="10">
                  <c:v>3.5528108148603312</c:v>
                </c:pt>
                <c:pt idx="11">
                  <c:v>4.3668734623523022</c:v>
                </c:pt>
                <c:pt idx="12">
                  <c:v>4.6200435418056589</c:v>
                </c:pt>
                <c:pt idx="13">
                  <c:v>4.0802721088435376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9-4C26-B9E3-10E603AC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7664"/>
        <c:axId val="50286528"/>
      </c:lineChart>
      <c:catAx>
        <c:axId val="459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86528"/>
        <c:crosses val="autoZero"/>
        <c:auto val="1"/>
        <c:lblAlgn val="ctr"/>
        <c:lblOffset val="100"/>
        <c:noMultiLvlLbl val="0"/>
      </c:catAx>
      <c:valAx>
        <c:axId val="50286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93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9628526415426"/>
          <c:y val="6.7885117493472591E-2"/>
          <c:w val="0.76537337772643876"/>
          <c:h val="0.81462140992167098"/>
        </c:manualLayout>
      </c:layout>
      <c:lineChart>
        <c:grouping val="standard"/>
        <c:varyColors val="0"/>
        <c:ser>
          <c:idx val="0"/>
          <c:order val="0"/>
          <c:tx>
            <c:strRef>
              <c:f>MECS_Total_Fuel!$D$273</c:f>
              <c:strCache>
                <c:ptCount val="1"/>
                <c:pt idx="0">
                  <c:v>322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MECS_Total_Fuel!$E$272:$M$272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MECS_Total_Fuel!$E$273:$M$273</c:f>
              <c:numCache>
                <c:formatCode>0.0</c:formatCode>
                <c:ptCount val="9"/>
                <c:pt idx="0">
                  <c:v>2017.3632372266716</c:v>
                </c:pt>
                <c:pt idx="1">
                  <c:v>2153.9562641132611</c:v>
                </c:pt>
                <c:pt idx="2">
                  <c:v>2267.2367478194155</c:v>
                </c:pt>
                <c:pt idx="3">
                  <c:v>2406.5414497255788</c:v>
                </c:pt>
                <c:pt idx="4">
                  <c:v>2503.918032</c:v>
                </c:pt>
                <c:pt idx="5">
                  <c:v>2137.503764</c:v>
                </c:pt>
                <c:pt idx="6">
                  <c:v>2106.5685840000001</c:v>
                </c:pt>
                <c:pt idx="7">
                  <c:v>1904</c:v>
                </c:pt>
                <c:pt idx="8">
                  <c:v>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4-4FB0-BB15-BFCDC84C8521}"/>
            </c:ext>
          </c:extLst>
        </c:ser>
        <c:ser>
          <c:idx val="1"/>
          <c:order val="1"/>
          <c:tx>
            <c:strRef>
              <c:f>MECS_Total_Fuel!$D$274</c:f>
              <c:strCache>
                <c:ptCount val="1"/>
                <c:pt idx="0">
                  <c:v>323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MECS_Total_Fuel!$E$272:$M$272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MECS_Total_Fuel!$E$274:$M$274</c:f>
              <c:numCache>
                <c:formatCode>0.0</c:formatCode>
                <c:ptCount val="9"/>
                <c:pt idx="0">
                  <c:v>26.699079874753146</c:v>
                </c:pt>
                <c:pt idx="1">
                  <c:v>40.089746346787351</c:v>
                </c:pt>
                <c:pt idx="2">
                  <c:v>38.576483481067747</c:v>
                </c:pt>
                <c:pt idx="3">
                  <c:v>37.113573244007682</c:v>
                </c:pt>
                <c:pt idx="4">
                  <c:v>47.004247999999997</c:v>
                </c:pt>
                <c:pt idx="5">
                  <c:v>47.795832000000004</c:v>
                </c:pt>
                <c:pt idx="6">
                  <c:v>40.374451999999998</c:v>
                </c:pt>
                <c:pt idx="7">
                  <c:v>36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4-4FB0-BB15-BFCDC84C8521}"/>
            </c:ext>
          </c:extLst>
        </c:ser>
        <c:ser>
          <c:idx val="2"/>
          <c:order val="2"/>
          <c:tx>
            <c:strRef>
              <c:f>MECS_Total_Fuel!$D$275</c:f>
              <c:strCache>
                <c:ptCount val="1"/>
                <c:pt idx="0">
                  <c:v>324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MECS_Total_Fuel!$E$272:$M$272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MECS_Total_Fuel!$E$275:$M$275</c:f>
              <c:numCache>
                <c:formatCode>0.0</c:formatCode>
                <c:ptCount val="9"/>
                <c:pt idx="0">
                  <c:v>2519.6333802647096</c:v>
                </c:pt>
                <c:pt idx="1">
                  <c:v>3018.3157833208888</c:v>
                </c:pt>
                <c:pt idx="2">
                  <c:v>2884.3712617836486</c:v>
                </c:pt>
                <c:pt idx="3">
                  <c:v>3144.6947232151383</c:v>
                </c:pt>
                <c:pt idx="4">
                  <c:v>3495.5546920000002</c:v>
                </c:pt>
                <c:pt idx="5">
                  <c:v>3075.1213680000001</c:v>
                </c:pt>
                <c:pt idx="6">
                  <c:v>3259.0627920000002</c:v>
                </c:pt>
                <c:pt idx="7">
                  <c:v>3159</c:v>
                </c:pt>
                <c:pt idx="8">
                  <c:v>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4-4FB0-BB15-BFCDC84C8521}"/>
            </c:ext>
          </c:extLst>
        </c:ser>
        <c:ser>
          <c:idx val="3"/>
          <c:order val="3"/>
          <c:tx>
            <c:strRef>
              <c:f>MECS_Total_Fuel!$D$276</c:f>
              <c:strCache>
                <c:ptCount val="1"/>
                <c:pt idx="0">
                  <c:v>325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MECS_Total_Fuel!$E$272:$M$272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MECS_Total_Fuel!$E$276:$M$276</c:f>
              <c:numCache>
                <c:formatCode>0.0</c:formatCode>
                <c:ptCount val="9"/>
                <c:pt idx="0">
                  <c:v>1982.3306729500532</c:v>
                </c:pt>
                <c:pt idx="1">
                  <c:v>2425.2974275342949</c:v>
                </c:pt>
                <c:pt idx="2">
                  <c:v>2577.2858974832011</c:v>
                </c:pt>
                <c:pt idx="3">
                  <c:v>2729.1714558311169</c:v>
                </c:pt>
                <c:pt idx="4">
                  <c:v>3126.5770039999998</c:v>
                </c:pt>
                <c:pt idx="5">
                  <c:v>3246.609152</c:v>
                </c:pt>
                <c:pt idx="6">
                  <c:v>2677.7578599999997</c:v>
                </c:pt>
                <c:pt idx="7">
                  <c:v>2772</c:v>
                </c:pt>
                <c:pt idx="8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4-4FB0-BB15-BFCDC84C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4512"/>
        <c:axId val="112526464"/>
      </c:lineChart>
      <c:catAx>
        <c:axId val="1197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2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2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4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689965938723"/>
          <c:y val="0.36553524804177545"/>
          <c:w val="9.7087548522454048E-2"/>
          <c:h val="0.22193211488250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9628526415426"/>
          <c:y val="6.7885117493472591E-2"/>
          <c:w val="0.76537337772643876"/>
          <c:h val="0.81462140992167098"/>
        </c:manualLayout>
      </c:layout>
      <c:lineChart>
        <c:grouping val="standard"/>
        <c:varyColors val="0"/>
        <c:ser>
          <c:idx val="0"/>
          <c:order val="0"/>
          <c:tx>
            <c:strRef>
              <c:f>MECS_Total_Fuel!$D$298</c:f>
              <c:strCache>
                <c:ptCount val="1"/>
                <c:pt idx="0">
                  <c:v>326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MECS_Total_Fuel!$E$297:$M$297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MECS_Total_Fuel!$E$298:$M$298</c:f>
              <c:numCache>
                <c:formatCode>0.0</c:formatCode>
                <c:ptCount val="9"/>
                <c:pt idx="0">
                  <c:v>128.43055874180072</c:v>
                </c:pt>
                <c:pt idx="1">
                  <c:v>150.36582650079393</c:v>
                </c:pt>
                <c:pt idx="2">
                  <c:v>125.61488437265322</c:v>
                </c:pt>
                <c:pt idx="3">
                  <c:v>141.58522460569185</c:v>
                </c:pt>
                <c:pt idx="4">
                  <c:v>144.39999600000002</c:v>
                </c:pt>
                <c:pt idx="5">
                  <c:v>166.54642800000002</c:v>
                </c:pt>
                <c:pt idx="6">
                  <c:v>153.785552</c:v>
                </c:pt>
                <c:pt idx="7">
                  <c:v>116</c:v>
                </c:pt>
                <c:pt idx="8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3-4691-AEF2-DFA0A377F4DD}"/>
            </c:ext>
          </c:extLst>
        </c:ser>
        <c:ser>
          <c:idx val="1"/>
          <c:order val="1"/>
          <c:tx>
            <c:strRef>
              <c:f>MECS_Total_Fuel!$D$299</c:f>
              <c:strCache>
                <c:ptCount val="1"/>
                <c:pt idx="0">
                  <c:v>327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MECS_Total_Fuel!$E$297:$M$297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MECS_Total_Fuel!$E$299:$M$299</c:f>
              <c:numCache>
                <c:formatCode>0.0</c:formatCode>
                <c:ptCount val="9"/>
                <c:pt idx="0">
                  <c:v>791.01545520082436</c:v>
                </c:pt>
                <c:pt idx="1">
                  <c:v>884.64406029384702</c:v>
                </c:pt>
                <c:pt idx="2">
                  <c:v>788.81428212035598</c:v>
                </c:pt>
                <c:pt idx="3">
                  <c:v>822.05619657793363</c:v>
                </c:pt>
                <c:pt idx="4">
                  <c:v>834.98687599999994</c:v>
                </c:pt>
                <c:pt idx="5">
                  <c:v>910.76708400000007</c:v>
                </c:pt>
                <c:pt idx="6">
                  <c:v>958.36588800000004</c:v>
                </c:pt>
                <c:pt idx="7">
                  <c:v>600</c:v>
                </c:pt>
                <c:pt idx="8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3-4691-AEF2-DFA0A377F4DD}"/>
            </c:ext>
          </c:extLst>
        </c:ser>
        <c:ser>
          <c:idx val="2"/>
          <c:order val="2"/>
          <c:tx>
            <c:strRef>
              <c:f>MECS_Total_Fuel!$D$300</c:f>
              <c:strCache>
                <c:ptCount val="1"/>
                <c:pt idx="0">
                  <c:v>331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MECS_Total_Fuel!$E$297:$M$297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MECS_Total_Fuel!$E$300:$M$300</c:f>
              <c:numCache>
                <c:formatCode>0.0</c:formatCode>
                <c:ptCount val="9"/>
                <c:pt idx="0">
                  <c:v>1931.5726855408925</c:v>
                </c:pt>
                <c:pt idx="1">
                  <c:v>2134.8918237453663</c:v>
                </c:pt>
                <c:pt idx="2">
                  <c:v>1811.54797443144</c:v>
                </c:pt>
                <c:pt idx="3">
                  <c:v>2096.657607556745</c:v>
                </c:pt>
                <c:pt idx="4">
                  <c:v>2031.356088</c:v>
                </c:pt>
                <c:pt idx="5">
                  <c:v>1629.9591760000001</c:v>
                </c:pt>
                <c:pt idx="6">
                  <c:v>1285.6831</c:v>
                </c:pt>
                <c:pt idx="7">
                  <c:v>1255</c:v>
                </c:pt>
                <c:pt idx="8">
                  <c:v>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3-4691-AEF2-DFA0A377F4DD}"/>
            </c:ext>
          </c:extLst>
        </c:ser>
        <c:ser>
          <c:idx val="3"/>
          <c:order val="3"/>
          <c:tx>
            <c:strRef>
              <c:f>MECS_Total_Fuel!$D$301</c:f>
              <c:strCache>
                <c:ptCount val="1"/>
                <c:pt idx="0">
                  <c:v>332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MECS_Total_Fuel!$E$297:$M$297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MECS_Total_Fuel!$E$301:$M$301</c:f>
              <c:numCache>
                <c:formatCode>0.0</c:formatCode>
                <c:ptCount val="9"/>
                <c:pt idx="0">
                  <c:v>218.6220851003327</c:v>
                </c:pt>
                <c:pt idx="1">
                  <c:v>251.14969713900282</c:v>
                </c:pt>
                <c:pt idx="2">
                  <c:v>217.28105279356296</c:v>
                </c:pt>
                <c:pt idx="3">
                  <c:v>263.57968281835372</c:v>
                </c:pt>
                <c:pt idx="4">
                  <c:v>265.28541200000001</c:v>
                </c:pt>
                <c:pt idx="5">
                  <c:v>226.21632399999999</c:v>
                </c:pt>
                <c:pt idx="6">
                  <c:v>253.81542000000002</c:v>
                </c:pt>
                <c:pt idx="7">
                  <c:v>174</c:v>
                </c:pt>
                <c:pt idx="8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3-4691-AEF2-DFA0A377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5536"/>
        <c:axId val="112528768"/>
      </c:lineChart>
      <c:catAx>
        <c:axId val="1197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2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2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4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689965938723"/>
          <c:y val="0.36553524804177545"/>
          <c:w val="9.7087548522454048E-2"/>
          <c:h val="0.22193211488250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69406524016684E-2"/>
          <c:y val="6.7885117493472591E-2"/>
          <c:w val="0.77670025646657637"/>
          <c:h val="0.81462140992167098"/>
        </c:manualLayout>
      </c:layout>
      <c:lineChart>
        <c:grouping val="standard"/>
        <c:varyColors val="0"/>
        <c:ser>
          <c:idx val="0"/>
          <c:order val="0"/>
          <c:tx>
            <c:strRef>
              <c:f>MECS_Total_Fuel!$D$323</c:f>
              <c:strCache>
                <c:ptCount val="1"/>
                <c:pt idx="0">
                  <c:v>333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MECS_Total_Fuel!$E$322:$M$322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MECS_Total_Fuel!$E$323:$M$323</c:f>
              <c:numCache>
                <c:formatCode>0.0</c:formatCode>
                <c:ptCount val="9"/>
                <c:pt idx="0">
                  <c:v>118.55685257512636</c:v>
                </c:pt>
                <c:pt idx="1">
                  <c:v>138.88393804304263</c:v>
                </c:pt>
                <c:pt idx="2">
                  <c:v>113.47965946591772</c:v>
                </c:pt>
                <c:pt idx="3">
                  <c:v>112.92234511482371</c:v>
                </c:pt>
                <c:pt idx="4">
                  <c:v>116.85666400000001</c:v>
                </c:pt>
                <c:pt idx="5">
                  <c:v>91.191044000000005</c:v>
                </c:pt>
                <c:pt idx="6">
                  <c:v>93.471671999999998</c:v>
                </c:pt>
                <c:pt idx="7">
                  <c:v>78</c:v>
                </c:pt>
                <c:pt idx="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9-4811-A069-3F26E2DE6C58}"/>
            </c:ext>
          </c:extLst>
        </c:ser>
        <c:ser>
          <c:idx val="1"/>
          <c:order val="1"/>
          <c:tx>
            <c:strRef>
              <c:f>MECS_Total_Fuel!$D$324</c:f>
              <c:strCache>
                <c:ptCount val="1"/>
                <c:pt idx="0">
                  <c:v>334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MECS_Total_Fuel!$E$322:$M$322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MECS_Total_Fuel!$E$324:$M$324</c:f>
              <c:numCache>
                <c:formatCode>0.0</c:formatCode>
                <c:ptCount val="9"/>
                <c:pt idx="0">
                  <c:v>54.789455724294967</c:v>
                </c:pt>
                <c:pt idx="1">
                  <c:v>62.693189717341816</c:v>
                </c:pt>
                <c:pt idx="2">
                  <c:v>56.220714404637988</c:v>
                </c:pt>
                <c:pt idx="3">
                  <c:v>66.930484972733723</c:v>
                </c:pt>
                <c:pt idx="4">
                  <c:v>67.813715999999999</c:v>
                </c:pt>
                <c:pt idx="5">
                  <c:v>69.142976000000004</c:v>
                </c:pt>
                <c:pt idx="6">
                  <c:v>47.139291999999998</c:v>
                </c:pt>
                <c:pt idx="7">
                  <c:v>43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9-4811-A069-3F26E2DE6C58}"/>
            </c:ext>
          </c:extLst>
        </c:ser>
        <c:ser>
          <c:idx val="2"/>
          <c:order val="2"/>
          <c:tx>
            <c:strRef>
              <c:f>MECS_Total_Fuel!$D$325</c:f>
              <c:strCache>
                <c:ptCount val="1"/>
                <c:pt idx="0">
                  <c:v>335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MECS_Total_Fuel!$E$322:$M$322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MECS_Total_Fuel!$E$325:$M$325</c:f>
              <c:numCache>
                <c:formatCode>0.0</c:formatCode>
                <c:ptCount val="9"/>
                <c:pt idx="0">
                  <c:v>62.919467623803939</c:v>
                </c:pt>
                <c:pt idx="1">
                  <c:v>64.55717435203718</c:v>
                </c:pt>
                <c:pt idx="2">
                  <c:v>55.611292613491038</c:v>
                </c:pt>
                <c:pt idx="3">
                  <c:v>67.848599515192888</c:v>
                </c:pt>
                <c:pt idx="4">
                  <c:v>60.671008</c:v>
                </c:pt>
                <c:pt idx="5">
                  <c:v>55.569788000000003</c:v>
                </c:pt>
                <c:pt idx="6">
                  <c:v>43.097796000000002</c:v>
                </c:pt>
                <c:pt idx="7">
                  <c:v>38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9-4811-A069-3F26E2DE6C58}"/>
            </c:ext>
          </c:extLst>
        </c:ser>
        <c:ser>
          <c:idx val="3"/>
          <c:order val="3"/>
          <c:tx>
            <c:strRef>
              <c:f>MECS_Total_Fuel!$D$326</c:f>
              <c:strCache>
                <c:ptCount val="1"/>
                <c:pt idx="0">
                  <c:v>336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MECS_Total_Fuel!$E$322:$M$322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MECS_Total_Fuel!$E$326:$M$326</c:f>
              <c:numCache>
                <c:formatCode>0.0</c:formatCode>
                <c:ptCount val="9"/>
                <c:pt idx="0">
                  <c:v>234.98001273849101</c:v>
                </c:pt>
                <c:pt idx="1">
                  <c:v>254.78050349600764</c:v>
                </c:pt>
                <c:pt idx="2">
                  <c:v>244.13057132985355</c:v>
                </c:pt>
                <c:pt idx="3">
                  <c:v>260.23443301298028</c:v>
                </c:pt>
                <c:pt idx="4">
                  <c:v>292.75512400000002</c:v>
                </c:pt>
                <c:pt idx="5">
                  <c:v>251.66670399999998</c:v>
                </c:pt>
                <c:pt idx="6">
                  <c:v>283.93937199999999</c:v>
                </c:pt>
                <c:pt idx="7">
                  <c:v>143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9-4811-A069-3F26E2DE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58080"/>
        <c:axId val="112531072"/>
      </c:lineChart>
      <c:catAx>
        <c:axId val="1205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3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5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689965938723"/>
          <c:y val="0.36553524804177545"/>
          <c:w val="9.7087548522454048E-2"/>
          <c:h val="0.22193211488250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42527783879109E-2"/>
          <c:y val="6.7885117493472591E-2"/>
          <c:w val="0.78802713520671397"/>
          <c:h val="0.81462140992167098"/>
        </c:manualLayout>
      </c:layout>
      <c:lineChart>
        <c:grouping val="standard"/>
        <c:varyColors val="0"/>
        <c:ser>
          <c:idx val="0"/>
          <c:order val="0"/>
          <c:tx>
            <c:strRef>
              <c:f>MECS_Total_Fuel!$D$347</c:f>
              <c:strCache>
                <c:ptCount val="1"/>
                <c:pt idx="0">
                  <c:v>337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MECS_Total_Fuel!$E$346:$M$346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MECS_Total_Fuel!$E$347:$M$347</c:f>
              <c:numCache>
                <c:formatCode>0.0</c:formatCode>
                <c:ptCount val="9"/>
                <c:pt idx="0">
                  <c:v>37.383822846973821</c:v>
                </c:pt>
                <c:pt idx="1">
                  <c:v>48.640156995919362</c:v>
                </c:pt>
                <c:pt idx="2">
                  <c:v>55.8843501953478</c:v>
                </c:pt>
                <c:pt idx="3">
                  <c:v>47.300771088826892</c:v>
                </c:pt>
                <c:pt idx="4">
                  <c:v>58.499848</c:v>
                </c:pt>
                <c:pt idx="5">
                  <c:v>38.904455999999996</c:v>
                </c:pt>
                <c:pt idx="6">
                  <c:v>28.391231999999999</c:v>
                </c:pt>
                <c:pt idx="7">
                  <c:v>19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D-4C22-BA74-B2060E4563A4}"/>
            </c:ext>
          </c:extLst>
        </c:ser>
        <c:ser>
          <c:idx val="1"/>
          <c:order val="1"/>
          <c:tx>
            <c:strRef>
              <c:f>MECS_Total_Fuel!$D$348</c:f>
              <c:strCache>
                <c:ptCount val="1"/>
                <c:pt idx="0">
                  <c:v>339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MECS_Total_Fuel!$E$346:$M$346</c:f>
              <c:numCache>
                <c:formatCode>General</c:formatCode>
                <c:ptCount val="9"/>
                <c:pt idx="0">
                  <c:v>1985</c:v>
                </c:pt>
                <c:pt idx="1">
                  <c:v>1988</c:v>
                </c:pt>
                <c:pt idx="2">
                  <c:v>1991</c:v>
                </c:pt>
                <c:pt idx="3">
                  <c:v>1994</c:v>
                </c:pt>
                <c:pt idx="4">
                  <c:v>1998</c:v>
                </c:pt>
                <c:pt idx="5">
                  <c:v>2002</c:v>
                </c:pt>
                <c:pt idx="6">
                  <c:v>2006</c:v>
                </c:pt>
                <c:pt idx="7">
                  <c:v>2010</c:v>
                </c:pt>
                <c:pt idx="8">
                  <c:v>2014</c:v>
                </c:pt>
              </c:numCache>
            </c:numRef>
          </c:cat>
          <c:val>
            <c:numRef>
              <c:f>MECS_Total_Fuel!$E$348:$M$348</c:f>
              <c:numCache>
                <c:formatCode>0.0</c:formatCode>
                <c:ptCount val="9"/>
                <c:pt idx="0">
                  <c:v>33.863505680901589</c:v>
                </c:pt>
                <c:pt idx="1">
                  <c:v>45.434393503358493</c:v>
                </c:pt>
                <c:pt idx="2">
                  <c:v>34.793804965135031</c:v>
                </c:pt>
                <c:pt idx="3">
                  <c:v>48.376910834473634</c:v>
                </c:pt>
                <c:pt idx="4">
                  <c:v>47.700868</c:v>
                </c:pt>
                <c:pt idx="5">
                  <c:v>35.603912000000001</c:v>
                </c:pt>
                <c:pt idx="6">
                  <c:v>32.982075999999999</c:v>
                </c:pt>
                <c:pt idx="7">
                  <c:v>17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D-4C22-BA74-B2060E456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59104"/>
        <c:axId val="120865344"/>
      </c:lineChart>
      <c:catAx>
        <c:axId val="1205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6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86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5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689965938723"/>
          <c:y val="0.42036553524804177"/>
          <c:w val="9.7087548522454048E-2"/>
          <c:h val="0.11227154046997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'Quantity Shares_1998 forward'!$AH$8</c:f>
              <c:strCache>
                <c:ptCount val="1"/>
                <c:pt idx="0">
                  <c:v>Composite Price, $/MMBtu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'Quantity Shares_1998 forward'!$AH$9:$AH$386</c:f>
              <c:numCache>
                <c:formatCode>0.00</c:formatCode>
                <c:ptCount val="378"/>
                <c:pt idx="0">
                  <c:v>2.7294452083457879</c:v>
                </c:pt>
                <c:pt idx="1">
                  <c:v>2.7241463414634151</c:v>
                </c:pt>
                <c:pt idx="2">
                  <c:v>3.0717419354838711</c:v>
                </c:pt>
                <c:pt idx="3">
                  <c:v>3.3820689655172407</c:v>
                </c:pt>
                <c:pt idx="4">
                  <c:v>3.6429032258064509</c:v>
                </c:pt>
                <c:pt idx="5">
                  <c:v>3.9314000000000009</c:v>
                </c:pt>
                <c:pt idx="6">
                  <c:v>2.65978955453149</c:v>
                </c:pt>
                <c:pt idx="7">
                  <c:v>2.3521324036124911</c:v>
                </c:pt>
                <c:pt idx="8">
                  <c:v>3.9250810810810819</c:v>
                </c:pt>
                <c:pt idx="9">
                  <c:v>2.604663258596597</c:v>
                </c:pt>
                <c:pt idx="10">
                  <c:v>2.5221103459932728</c:v>
                </c:pt>
                <c:pt idx="11">
                  <c:v>3.6219444444444444</c:v>
                </c:pt>
                <c:pt idx="12">
                  <c:v>2.4528425841674255</c:v>
                </c:pt>
                <c:pt idx="13">
                  <c:v>3.465817637770547</c:v>
                </c:pt>
                <c:pt idx="14">
                  <c:v>3.8542851153039837</c:v>
                </c:pt>
                <c:pt idx="15">
                  <c:v>3.8266256157635472</c:v>
                </c:pt>
                <c:pt idx="16">
                  <c:v>3.7528106508875729</c:v>
                </c:pt>
                <c:pt idx="17">
                  <c:v>3.4267809258344499</c:v>
                </c:pt>
                <c:pt idx="18">
                  <c:v>3.2876459510357821</c:v>
                </c:pt>
                <c:pt idx="19">
                  <c:v>4.3333333333333339</c:v>
                </c:pt>
                <c:pt idx="20">
                  <c:v>4.0496815286624201</c:v>
                </c:pt>
                <c:pt idx="21">
                  <c:v>2.7994195806250683</c:v>
                </c:pt>
                <c:pt idx="22">
                  <c:v>2.7331957504096063</c:v>
                </c:pt>
                <c:pt idx="23">
                  <c:v>3.1871806133675178</c:v>
                </c:pt>
                <c:pt idx="24">
                  <c:v>3.3781627179885514</c:v>
                </c:pt>
                <c:pt idx="25">
                  <c:v>3.8479699150972086</c:v>
                </c:pt>
                <c:pt idx="26">
                  <c:v>3.824227317749231</c:v>
                </c:pt>
                <c:pt idx="27">
                  <c:v>2.678796543318327</c:v>
                </c:pt>
                <c:pt idx="28">
                  <c:v>2.4286740689793174</c:v>
                </c:pt>
                <c:pt idx="29">
                  <c:v>3.9452670221578159</c:v>
                </c:pt>
                <c:pt idx="30">
                  <c:v>2.6646131244474502</c:v>
                </c:pt>
                <c:pt idx="31">
                  <c:v>2.5633112647605847</c:v>
                </c:pt>
                <c:pt idx="32">
                  <c:v>3.5513081451285506</c:v>
                </c:pt>
                <c:pt idx="33">
                  <c:v>2.4504359151025161</c:v>
                </c:pt>
                <c:pt idx="34">
                  <c:v>3.3337803817926921</c:v>
                </c:pt>
                <c:pt idx="35">
                  <c:v>3.8675029144868427</c:v>
                </c:pt>
                <c:pt idx="36">
                  <c:v>3.9088515466886569</c:v>
                </c:pt>
                <c:pt idx="37">
                  <c:v>3.7206440264075757</c:v>
                </c:pt>
                <c:pt idx="38">
                  <c:v>3.4362983669229061</c:v>
                </c:pt>
                <c:pt idx="39">
                  <c:v>3.3207293018197803</c:v>
                </c:pt>
                <c:pt idx="40">
                  <c:v>4.0989599446078611</c:v>
                </c:pt>
                <c:pt idx="41">
                  <c:v>3.9991048231340098</c:v>
                </c:pt>
                <c:pt idx="42">
                  <c:v>3.8220914511698765</c:v>
                </c:pt>
                <c:pt idx="43">
                  <c:v>3.5309167656931333</c:v>
                </c:pt>
                <c:pt idx="44">
                  <c:v>4.4254573520515423</c:v>
                </c:pt>
                <c:pt idx="45">
                  <c:v>4.6563802769741036</c:v>
                </c:pt>
                <c:pt idx="46">
                  <c:v>5.6315030426329784</c:v>
                </c:pt>
                <c:pt idx="47">
                  <c:v>5.3759140306829094</c:v>
                </c:pt>
                <c:pt idx="48">
                  <c:v>3.5426786202987874</c:v>
                </c:pt>
                <c:pt idx="49">
                  <c:v>3.1329415459364163</c:v>
                </c:pt>
                <c:pt idx="50">
                  <c:v>5.5073320576934028</c:v>
                </c:pt>
                <c:pt idx="51">
                  <c:v>3.6369498599227059</c:v>
                </c:pt>
                <c:pt idx="52">
                  <c:v>3.4092696559535338</c:v>
                </c:pt>
                <c:pt idx="53">
                  <c:v>4.6777340881101805</c:v>
                </c:pt>
                <c:pt idx="54">
                  <c:v>3.1957488032279526</c:v>
                </c:pt>
                <c:pt idx="55">
                  <c:v>3.8763776444698053</c:v>
                </c:pt>
                <c:pt idx="56">
                  <c:v>5.3153942182239122</c:v>
                </c:pt>
                <c:pt idx="57">
                  <c:v>5.5124292019998364</c:v>
                </c:pt>
                <c:pt idx="58">
                  <c:v>5.0012382583280077</c:v>
                </c:pt>
                <c:pt idx="59">
                  <c:v>4.7883097901512413</c:v>
                </c:pt>
                <c:pt idx="60">
                  <c:v>4.5451324094228696</c:v>
                </c:pt>
                <c:pt idx="61">
                  <c:v>5.3738275513927709</c:v>
                </c:pt>
                <c:pt idx="62">
                  <c:v>5.6155815283153707</c:v>
                </c:pt>
                <c:pt idx="63">
                  <c:v>4.4521757734570944</c:v>
                </c:pt>
                <c:pt idx="64">
                  <c:v>4.2583505211639867</c:v>
                </c:pt>
                <c:pt idx="65">
                  <c:v>4.986890215890889</c:v>
                </c:pt>
                <c:pt idx="66">
                  <c:v>5.185867611290008</c:v>
                </c:pt>
                <c:pt idx="67">
                  <c:v>6.5856603191599232</c:v>
                </c:pt>
                <c:pt idx="68">
                  <c:v>6.0537798557122171</c:v>
                </c:pt>
                <c:pt idx="69">
                  <c:v>4.1374017415407565</c:v>
                </c:pt>
                <c:pt idx="70">
                  <c:v>3.5584885145303184</c:v>
                </c:pt>
                <c:pt idx="71">
                  <c:v>6.4288677972140205</c:v>
                </c:pt>
                <c:pt idx="72">
                  <c:v>4.1930206291396983</c:v>
                </c:pt>
                <c:pt idx="73">
                  <c:v>3.8706997085325012</c:v>
                </c:pt>
                <c:pt idx="74">
                  <c:v>5.4519625803103162</c:v>
                </c:pt>
                <c:pt idx="75">
                  <c:v>3.6949304310237365</c:v>
                </c:pt>
                <c:pt idx="76">
                  <c:v>4.4361385807093709</c:v>
                </c:pt>
                <c:pt idx="77">
                  <c:v>6.2455661269687877</c:v>
                </c:pt>
                <c:pt idx="78">
                  <c:v>6.6023303423553994</c:v>
                </c:pt>
                <c:pt idx="79">
                  <c:v>6.1484039577335476</c:v>
                </c:pt>
                <c:pt idx="80">
                  <c:v>5.8684173773508714</c:v>
                </c:pt>
                <c:pt idx="81">
                  <c:v>5.2446537187844546</c:v>
                </c:pt>
                <c:pt idx="82">
                  <c:v>6.3086116301626838</c:v>
                </c:pt>
                <c:pt idx="83">
                  <c:v>6.5503886155631026</c:v>
                </c:pt>
                <c:pt idx="84">
                  <c:v>3.827804014167651</c:v>
                </c:pt>
                <c:pt idx="85">
                  <c:v>3.9507792207792205</c:v>
                </c:pt>
                <c:pt idx="86">
                  <c:v>4.1500280112044816</c:v>
                </c:pt>
                <c:pt idx="87">
                  <c:v>4.1221478060046186</c:v>
                </c:pt>
                <c:pt idx="88">
                  <c:v>5.2902259887005645</c:v>
                </c:pt>
                <c:pt idx="89">
                  <c:v>4.6800000000000006</c:v>
                </c:pt>
                <c:pt idx="90">
                  <c:v>3.6885996701793897</c:v>
                </c:pt>
                <c:pt idx="91">
                  <c:v>3.3328254564629884</c:v>
                </c:pt>
                <c:pt idx="92">
                  <c:v>5.1046250000000013</c:v>
                </c:pt>
                <c:pt idx="93">
                  <c:v>3.4873962983728553</c:v>
                </c:pt>
                <c:pt idx="94">
                  <c:v>3.2581750301965524</c:v>
                </c:pt>
                <c:pt idx="95">
                  <c:v>4.6640000000000006</c:v>
                </c:pt>
                <c:pt idx="96">
                  <c:v>3.2483251833740829</c:v>
                </c:pt>
                <c:pt idx="97">
                  <c:v>4.1178130232182832</c:v>
                </c:pt>
                <c:pt idx="98">
                  <c:v>5.1512187958883997</c:v>
                </c:pt>
                <c:pt idx="99">
                  <c:v>5.5240944017563125</c:v>
                </c:pt>
                <c:pt idx="100">
                  <c:v>5.4719364161849713</c:v>
                </c:pt>
                <c:pt idx="101">
                  <c:v>4.9912811387900344</c:v>
                </c:pt>
                <c:pt idx="102">
                  <c:v>4.2397828042668033</c:v>
                </c:pt>
                <c:pt idx="103">
                  <c:v>5.107868852459017</c:v>
                </c:pt>
                <c:pt idx="104">
                  <c:v>5.1095833333333331</c:v>
                </c:pt>
                <c:pt idx="105">
                  <c:v>4.8238087276745976</c:v>
                </c:pt>
                <c:pt idx="106">
                  <c:v>4.7446245952199524</c:v>
                </c:pt>
                <c:pt idx="107">
                  <c:v>5.4448237547124654</c:v>
                </c:pt>
                <c:pt idx="108">
                  <c:v>5.8535697998963547</c:v>
                </c:pt>
                <c:pt idx="109">
                  <c:v>7.2856196797952899</c:v>
                </c:pt>
                <c:pt idx="110">
                  <c:v>6.5737856573996876</c:v>
                </c:pt>
                <c:pt idx="111">
                  <c:v>4.6138724998934997</c:v>
                </c:pt>
                <c:pt idx="112">
                  <c:v>4.1172131089186452</c:v>
                </c:pt>
                <c:pt idx="113">
                  <c:v>6.7301703873359608</c:v>
                </c:pt>
                <c:pt idx="114">
                  <c:v>4.7074316685654747</c:v>
                </c:pt>
                <c:pt idx="115">
                  <c:v>4.559376929969166</c:v>
                </c:pt>
                <c:pt idx="116">
                  <c:v>5.9022765967927207</c:v>
                </c:pt>
                <c:pt idx="117">
                  <c:v>4.0332063820078901</c:v>
                </c:pt>
                <c:pt idx="118">
                  <c:v>4.8092859298237576</c:v>
                </c:pt>
                <c:pt idx="119">
                  <c:v>6.7533928051811065</c:v>
                </c:pt>
                <c:pt idx="120">
                  <c:v>7.3665388731693042</c:v>
                </c:pt>
                <c:pt idx="121">
                  <c:v>6.6215431607104094</c:v>
                </c:pt>
                <c:pt idx="122">
                  <c:v>6.510921781825493</c:v>
                </c:pt>
                <c:pt idx="123">
                  <c:v>5.6679829258847922</c:v>
                </c:pt>
                <c:pt idx="124">
                  <c:v>7.0717408976963503</c:v>
                </c:pt>
                <c:pt idx="125">
                  <c:v>7.0816100222297269</c:v>
                </c:pt>
                <c:pt idx="126">
                  <c:v>5.3899182289783134</c:v>
                </c:pt>
                <c:pt idx="127">
                  <c:v>5.6315602764831585</c:v>
                </c:pt>
                <c:pt idx="128">
                  <c:v>5.9364584328250194</c:v>
                </c:pt>
                <c:pt idx="129">
                  <c:v>6.7431562519915458</c:v>
                </c:pt>
                <c:pt idx="130">
                  <c:v>7.9029834581573395</c:v>
                </c:pt>
                <c:pt idx="131">
                  <c:v>7.4002675729956247</c:v>
                </c:pt>
                <c:pt idx="132">
                  <c:v>5.0651760356189106</c:v>
                </c:pt>
                <c:pt idx="133">
                  <c:v>4.7888293242942241</c:v>
                </c:pt>
                <c:pt idx="134">
                  <c:v>7.0949915621787847</c:v>
                </c:pt>
                <c:pt idx="135">
                  <c:v>5.1974821054014821</c:v>
                </c:pt>
                <c:pt idx="136">
                  <c:v>5.4054402859999886</c:v>
                </c:pt>
                <c:pt idx="137">
                  <c:v>6.8697535107650838</c:v>
                </c:pt>
                <c:pt idx="138">
                  <c:v>4.5916264074652737</c:v>
                </c:pt>
                <c:pt idx="139">
                  <c:v>5.7322176739450015</c:v>
                </c:pt>
                <c:pt idx="140">
                  <c:v>7.5501677725448104</c:v>
                </c:pt>
                <c:pt idx="141">
                  <c:v>8.3138051255783836</c:v>
                </c:pt>
                <c:pt idx="142">
                  <c:v>7.7490872961822426</c:v>
                </c:pt>
                <c:pt idx="143">
                  <c:v>7.6242937638476409</c:v>
                </c:pt>
                <c:pt idx="144">
                  <c:v>6.15508737268377</c:v>
                </c:pt>
                <c:pt idx="145">
                  <c:v>7.7903829463623433</c:v>
                </c:pt>
                <c:pt idx="146">
                  <c:v>7.7699177597077291</c:v>
                </c:pt>
                <c:pt idx="147">
                  <c:v>6.8405855608213697</c:v>
                </c:pt>
                <c:pt idx="148">
                  <c:v>7.0791253308137776</c:v>
                </c:pt>
                <c:pt idx="149">
                  <c:v>7.4657007809800913</c:v>
                </c:pt>
                <c:pt idx="150">
                  <c:v>9.0891546198348703</c:v>
                </c:pt>
                <c:pt idx="151">
                  <c:v>10.247927654920282</c:v>
                </c:pt>
                <c:pt idx="152">
                  <c:v>9.8257522146320753</c:v>
                </c:pt>
                <c:pt idx="153">
                  <c:v>6.3922669692286798</c:v>
                </c:pt>
                <c:pt idx="154">
                  <c:v>6.1042376315324827</c:v>
                </c:pt>
                <c:pt idx="155">
                  <c:v>9.018546345656187</c:v>
                </c:pt>
                <c:pt idx="156">
                  <c:v>6.6049603893319011</c:v>
                </c:pt>
                <c:pt idx="157">
                  <c:v>7.1037371387039423</c:v>
                </c:pt>
                <c:pt idx="158">
                  <c:v>8.8797991174556898</c:v>
                </c:pt>
                <c:pt idx="159">
                  <c:v>5.7630178987319036</c:v>
                </c:pt>
                <c:pt idx="160">
                  <c:v>7.2920346385557897</c:v>
                </c:pt>
                <c:pt idx="161">
                  <c:v>9.6272381255608313</c:v>
                </c:pt>
                <c:pt idx="162">
                  <c:v>10.685740196693436</c:v>
                </c:pt>
                <c:pt idx="163">
                  <c:v>9.7167184081016487</c:v>
                </c:pt>
                <c:pt idx="164">
                  <c:v>9.7802455469220622</c:v>
                </c:pt>
                <c:pt idx="165">
                  <c:v>7.9590885569075471</c:v>
                </c:pt>
                <c:pt idx="166">
                  <c:v>9.9742901467621472</c:v>
                </c:pt>
                <c:pt idx="167">
                  <c:v>10.111587060367057</c:v>
                </c:pt>
                <c:pt idx="168">
                  <c:v>6.5919570728409669</c:v>
                </c:pt>
                <c:pt idx="169">
                  <c:v>7.4080281690140843</c:v>
                </c:pt>
                <c:pt idx="170">
                  <c:v>6.9360304659498206</c:v>
                </c:pt>
                <c:pt idx="171">
                  <c:v>8.7536923076923081</c:v>
                </c:pt>
                <c:pt idx="172">
                  <c:v>9.1531506849315072</c:v>
                </c:pt>
                <c:pt idx="173">
                  <c:v>9.7142857142857153</c:v>
                </c:pt>
                <c:pt idx="174">
                  <c:v>6.3688024997702417</c:v>
                </c:pt>
                <c:pt idx="175">
                  <c:v>6.4217463235294119</c:v>
                </c:pt>
                <c:pt idx="176">
                  <c:v>7.8990086741016112</c:v>
                </c:pt>
                <c:pt idx="177">
                  <c:v>6.399584900462612</c:v>
                </c:pt>
                <c:pt idx="178">
                  <c:v>7.2735340804859234</c:v>
                </c:pt>
                <c:pt idx="179">
                  <c:v>9.1138961038961028</c:v>
                </c:pt>
                <c:pt idx="180">
                  <c:v>5.7562002096436062</c:v>
                </c:pt>
                <c:pt idx="181">
                  <c:v>7.8333772776535939</c:v>
                </c:pt>
                <c:pt idx="182">
                  <c:v>9.0801584158415825</c:v>
                </c:pt>
                <c:pt idx="183">
                  <c:v>10.304301075268816</c:v>
                </c:pt>
                <c:pt idx="184">
                  <c:v>9.824258474576272</c:v>
                </c:pt>
                <c:pt idx="185">
                  <c:v>9.7635103926097013</c:v>
                </c:pt>
                <c:pt idx="186">
                  <c:v>7.1941281138790041</c:v>
                </c:pt>
                <c:pt idx="187">
                  <c:v>9.2324663677130054</c:v>
                </c:pt>
                <c:pt idx="188">
                  <c:v>9.6178461538461555</c:v>
                </c:pt>
                <c:pt idx="189">
                  <c:v>6.5807610718392775</c:v>
                </c:pt>
                <c:pt idx="190">
                  <c:v>7.4567568079449895</c:v>
                </c:pt>
                <c:pt idx="191">
                  <c:v>7.252247419026995</c:v>
                </c:pt>
                <c:pt idx="192">
                  <c:v>8.6128837241924234</c:v>
                </c:pt>
                <c:pt idx="193">
                  <c:v>9.7782973859890046</c:v>
                </c:pt>
                <c:pt idx="194">
                  <c:v>10.96044675126684</c:v>
                </c:pt>
                <c:pt idx="195">
                  <c:v>6.3287747538354928</c:v>
                </c:pt>
                <c:pt idx="196">
                  <c:v>6.3519899124589738</c:v>
                </c:pt>
                <c:pt idx="197">
                  <c:v>8.2998263499882352</c:v>
                </c:pt>
                <c:pt idx="198">
                  <c:v>6.4764238066260127</c:v>
                </c:pt>
                <c:pt idx="199">
                  <c:v>7.0979577950648682</c:v>
                </c:pt>
                <c:pt idx="200">
                  <c:v>9.1035159680389572</c:v>
                </c:pt>
                <c:pt idx="201">
                  <c:v>5.7169367812779077</c:v>
                </c:pt>
                <c:pt idx="202">
                  <c:v>7.6954584238349666</c:v>
                </c:pt>
                <c:pt idx="203">
                  <c:v>9.1530138600475173</c:v>
                </c:pt>
                <c:pt idx="204">
                  <c:v>10.293927782693441</c:v>
                </c:pt>
                <c:pt idx="205">
                  <c:v>9.4826828092585451</c:v>
                </c:pt>
                <c:pt idx="206">
                  <c:v>9.630935549423171</c:v>
                </c:pt>
                <c:pt idx="207">
                  <c:v>7.6431572842816706</c:v>
                </c:pt>
                <c:pt idx="208">
                  <c:v>9.6888705612403871</c:v>
                </c:pt>
                <c:pt idx="209">
                  <c:v>10.285121241562637</c:v>
                </c:pt>
                <c:pt idx="210">
                  <c:v>8.2429815157465871</c:v>
                </c:pt>
                <c:pt idx="211">
                  <c:v>8.9835321925092924</c:v>
                </c:pt>
                <c:pt idx="212">
                  <c:v>9.5599844775701683</c:v>
                </c:pt>
                <c:pt idx="213">
                  <c:v>10.700274786664229</c:v>
                </c:pt>
                <c:pt idx="214">
                  <c:v>13.31161963378265</c:v>
                </c:pt>
                <c:pt idx="215">
                  <c:v>14.766221233329473</c:v>
                </c:pt>
                <c:pt idx="216">
                  <c:v>7.3138946468568298</c:v>
                </c:pt>
                <c:pt idx="217">
                  <c:v>7.4890157850663917</c:v>
                </c:pt>
                <c:pt idx="218">
                  <c:v>11.123237135208285</c:v>
                </c:pt>
                <c:pt idx="219">
                  <c:v>8.0337376067629194</c:v>
                </c:pt>
                <c:pt idx="220">
                  <c:v>8.4725693052489497</c:v>
                </c:pt>
                <c:pt idx="221">
                  <c:v>10.91981126724205</c:v>
                </c:pt>
                <c:pt idx="222">
                  <c:v>6.9094079516895839</c:v>
                </c:pt>
                <c:pt idx="223">
                  <c:v>8.8756390822824933</c:v>
                </c:pt>
                <c:pt idx="224">
                  <c:v>11.536096519226032</c:v>
                </c:pt>
                <c:pt idx="225">
                  <c:v>12.755834150576099</c:v>
                </c:pt>
                <c:pt idx="226">
                  <c:v>11.17968357611888</c:v>
                </c:pt>
                <c:pt idx="227">
                  <c:v>11.675890604653938</c:v>
                </c:pt>
                <c:pt idx="228">
                  <c:v>10.305178417387545</c:v>
                </c:pt>
                <c:pt idx="229">
                  <c:v>12.542889974940707</c:v>
                </c:pt>
                <c:pt idx="230">
                  <c:v>13.429715221004283</c:v>
                </c:pt>
                <c:pt idx="231">
                  <c:v>5.4937762102127037</c:v>
                </c:pt>
                <c:pt idx="232">
                  <c:v>7.1859147471645253</c:v>
                </c:pt>
                <c:pt idx="233">
                  <c:v>6.4611611184161646</c:v>
                </c:pt>
                <c:pt idx="234">
                  <c:v>6.3411044128565841</c:v>
                </c:pt>
                <c:pt idx="235">
                  <c:v>8.4132586271698617</c:v>
                </c:pt>
                <c:pt idx="236">
                  <c:v>10.023609471589982</c:v>
                </c:pt>
                <c:pt idx="237">
                  <c:v>5.1795336679925787</c:v>
                </c:pt>
                <c:pt idx="238">
                  <c:v>5.4075638542156641</c:v>
                </c:pt>
                <c:pt idx="239">
                  <c:v>6.831001328671948</c:v>
                </c:pt>
                <c:pt idx="240">
                  <c:v>5.1742691490529626</c:v>
                </c:pt>
                <c:pt idx="241">
                  <c:v>5.492592093398426</c:v>
                </c:pt>
                <c:pt idx="242">
                  <c:v>7.6817385991979501</c:v>
                </c:pt>
                <c:pt idx="243">
                  <c:v>5.0443044712115199</c:v>
                </c:pt>
                <c:pt idx="244">
                  <c:v>7.6782489473942812</c:v>
                </c:pt>
                <c:pt idx="245">
                  <c:v>7.5708487405850624</c:v>
                </c:pt>
                <c:pt idx="246">
                  <c:v>8.2176537040705018</c:v>
                </c:pt>
                <c:pt idx="247">
                  <c:v>7.9758201964226387</c:v>
                </c:pt>
                <c:pt idx="248">
                  <c:v>8.1093683647005204</c:v>
                </c:pt>
                <c:pt idx="249">
                  <c:v>6.6313020021846265</c:v>
                </c:pt>
                <c:pt idx="250">
                  <c:v>8.2609485482717471</c:v>
                </c:pt>
                <c:pt idx="251">
                  <c:v>8.8058864089548319</c:v>
                </c:pt>
                <c:pt idx="252">
                  <c:v>5.5682827102803731</c:v>
                </c:pt>
                <c:pt idx="253">
                  <c:v>6.58</c:v>
                </c:pt>
                <c:pt idx="254">
                  <c:v>7.1000291545189507</c:v>
                </c:pt>
                <c:pt idx="255">
                  <c:v>6.4473275862068959</c:v>
                </c:pt>
                <c:pt idx="256">
                  <c:v>9.5801908223534742</c:v>
                </c:pt>
                <c:pt idx="257">
                  <c:v>10.378170637970793</c:v>
                </c:pt>
                <c:pt idx="258">
                  <c:v>4.5584223027878483</c:v>
                </c:pt>
                <c:pt idx="259">
                  <c:v>4.6964345272883952</c:v>
                </c:pt>
                <c:pt idx="260">
                  <c:v>7.3632518612415421</c:v>
                </c:pt>
                <c:pt idx="261">
                  <c:v>4.9465027904033132</c:v>
                </c:pt>
                <c:pt idx="262">
                  <c:v>5.1089482401656312</c:v>
                </c:pt>
                <c:pt idx="263">
                  <c:v>6.8835365853658539</c:v>
                </c:pt>
                <c:pt idx="264">
                  <c:v>4.9280674899236772</c:v>
                </c:pt>
                <c:pt idx="265">
                  <c:v>6.9931962708747619</c:v>
                </c:pt>
                <c:pt idx="266">
                  <c:v>7.416188540456834</c:v>
                </c:pt>
                <c:pt idx="267">
                  <c:v>7.9942931258106356</c:v>
                </c:pt>
                <c:pt idx="268">
                  <c:v>6.6876470588235275</c:v>
                </c:pt>
                <c:pt idx="269">
                  <c:v>7.3841775456919061</c:v>
                </c:pt>
                <c:pt idx="270">
                  <c:v>7.2781118881118889</c:v>
                </c:pt>
                <c:pt idx="271">
                  <c:v>8.5506134969325185</c:v>
                </c:pt>
                <c:pt idx="272">
                  <c:v>8.9980459770114916</c:v>
                </c:pt>
                <c:pt idx="273">
                  <c:v>5.7023292479005807</c:v>
                </c:pt>
                <c:pt idx="274">
                  <c:v>6.6278376759792259</c:v>
                </c:pt>
                <c:pt idx="275">
                  <c:v>7.0062376822063879</c:v>
                </c:pt>
                <c:pt idx="276">
                  <c:v>6.9079833274696218</c:v>
                </c:pt>
                <c:pt idx="277">
                  <c:v>9.3374211920215267</c:v>
                </c:pt>
                <c:pt idx="278">
                  <c:v>11.143954004501609</c:v>
                </c:pt>
                <c:pt idx="279">
                  <c:v>5.9518868083542413</c:v>
                </c:pt>
                <c:pt idx="280">
                  <c:v>5.0891264608729401</c:v>
                </c:pt>
                <c:pt idx="281">
                  <c:v>7.0349248152869164</c:v>
                </c:pt>
                <c:pt idx="282">
                  <c:v>5.5808195503827536</c:v>
                </c:pt>
                <c:pt idx="283">
                  <c:v>5.0759128877009561</c:v>
                </c:pt>
                <c:pt idx="284">
                  <c:v>6.9501071876951679</c:v>
                </c:pt>
                <c:pt idx="285">
                  <c:v>5.102366241992307</c:v>
                </c:pt>
                <c:pt idx="286">
                  <c:v>7.4004446400154587</c:v>
                </c:pt>
                <c:pt idx="287">
                  <c:v>7.1928217793151656</c:v>
                </c:pt>
                <c:pt idx="288">
                  <c:v>8.1702834728070979</c:v>
                </c:pt>
                <c:pt idx="289">
                  <c:v>6.6969461734898834</c:v>
                </c:pt>
                <c:pt idx="290">
                  <c:v>7.1310360952271337</c:v>
                </c:pt>
                <c:pt idx="291">
                  <c:v>7.1643779940065686</c:v>
                </c:pt>
                <c:pt idx="292">
                  <c:v>8.5406510663666779</c:v>
                </c:pt>
                <c:pt idx="293">
                  <c:v>8.6962456184238839</c:v>
                </c:pt>
                <c:pt idx="294">
                  <c:v>4.8868718449331459</c:v>
                </c:pt>
                <c:pt idx="295">
                  <c:v>5.5827646623023375</c:v>
                </c:pt>
                <c:pt idx="296">
                  <c:v>5.5120366508695948</c:v>
                </c:pt>
                <c:pt idx="297">
                  <c:v>6.5596435812973368</c:v>
                </c:pt>
                <c:pt idx="298">
                  <c:v>7.4930639129621799</c:v>
                </c:pt>
                <c:pt idx="299">
                  <c:v>10.613677665996866</c:v>
                </c:pt>
                <c:pt idx="300">
                  <c:v>6.5663824859436506</c:v>
                </c:pt>
                <c:pt idx="301">
                  <c:v>4.6126823551069087</c:v>
                </c:pt>
                <c:pt idx="302">
                  <c:v>5.5923284697538067</c:v>
                </c:pt>
                <c:pt idx="303">
                  <c:v>5.4057802562755395</c:v>
                </c:pt>
                <c:pt idx="304">
                  <c:v>4.1722102387527453</c:v>
                </c:pt>
                <c:pt idx="305">
                  <c:v>6.0702895111513806</c:v>
                </c:pt>
                <c:pt idx="306">
                  <c:v>4.5356782832166518</c:v>
                </c:pt>
                <c:pt idx="307">
                  <c:v>6.8317591295921911</c:v>
                </c:pt>
                <c:pt idx="308">
                  <c:v>5.8310624576878558</c:v>
                </c:pt>
                <c:pt idx="309">
                  <c:v>7.199408026722506</c:v>
                </c:pt>
                <c:pt idx="310">
                  <c:v>5.8083112424137022</c:v>
                </c:pt>
                <c:pt idx="311">
                  <c:v>5.6984936723114279</c:v>
                </c:pt>
                <c:pt idx="312">
                  <c:v>5.9689540616649381</c:v>
                </c:pt>
                <c:pt idx="313">
                  <c:v>7.1092738076264883</c:v>
                </c:pt>
                <c:pt idx="314">
                  <c:v>7.1252798306174165</c:v>
                </c:pt>
                <c:pt idx="315">
                  <c:v>5.1622985235510965</c:v>
                </c:pt>
                <c:pt idx="316">
                  <c:v>5.3803188255245757</c:v>
                </c:pt>
                <c:pt idx="317">
                  <c:v>5.4317851209376258</c:v>
                </c:pt>
                <c:pt idx="318">
                  <c:v>7.9076391400911454</c:v>
                </c:pt>
                <c:pt idx="319">
                  <c:v>8.0216197494974377</c:v>
                </c:pt>
                <c:pt idx="320">
                  <c:v>10.353618229063867</c:v>
                </c:pt>
                <c:pt idx="321">
                  <c:v>7.0308668500110931</c:v>
                </c:pt>
                <c:pt idx="322">
                  <c:v>4.5405975007142194</c:v>
                </c:pt>
                <c:pt idx="323">
                  <c:v>6.2124626525122864</c:v>
                </c:pt>
                <c:pt idx="324">
                  <c:v>6.1446077417289811</c:v>
                </c:pt>
                <c:pt idx="325">
                  <c:v>4.4082709092134973</c:v>
                </c:pt>
                <c:pt idx="326">
                  <c:v>6.3632389415828836</c:v>
                </c:pt>
                <c:pt idx="327">
                  <c:v>4.4677819685369364</c:v>
                </c:pt>
                <c:pt idx="328">
                  <c:v>6.3140628814731574</c:v>
                </c:pt>
                <c:pt idx="329">
                  <c:v>6.1070888836111106</c:v>
                </c:pt>
                <c:pt idx="330">
                  <c:v>7.9674398640027384</c:v>
                </c:pt>
                <c:pt idx="331">
                  <c:v>6.3241657908351421</c:v>
                </c:pt>
                <c:pt idx="332">
                  <c:v>5.8697340048347577</c:v>
                </c:pt>
                <c:pt idx="333">
                  <c:v>6.439597247872026</c:v>
                </c:pt>
                <c:pt idx="334">
                  <c:v>7.6949628494060285</c:v>
                </c:pt>
                <c:pt idx="335">
                  <c:v>7.5646328802751359</c:v>
                </c:pt>
                <c:pt idx="336">
                  <c:v>5.7910221810908444</c:v>
                </c:pt>
                <c:pt idx="337">
                  <c:v>5.8639837398373986</c:v>
                </c:pt>
                <c:pt idx="338">
                  <c:v>5.5801474005094329</c:v>
                </c:pt>
                <c:pt idx="339">
                  <c:v>9.426731078904993</c:v>
                </c:pt>
                <c:pt idx="340">
                  <c:v>8.9356521739130432</c:v>
                </c:pt>
                <c:pt idx="341">
                  <c:v>10.75</c:v>
                </c:pt>
                <c:pt idx="342">
                  <c:v>7.5970564434924288</c:v>
                </c:pt>
                <c:pt idx="343">
                  <c:v>4.7850470026727763</c:v>
                </c:pt>
                <c:pt idx="344">
                  <c:v>7.211557395087433</c:v>
                </c:pt>
                <c:pt idx="345">
                  <c:v>6.9872628411281585</c:v>
                </c:pt>
                <c:pt idx="346">
                  <c:v>4.8560693526810494</c:v>
                </c:pt>
                <c:pt idx="347">
                  <c:v>7.4546447507953362</c:v>
                </c:pt>
                <c:pt idx="348">
                  <c:v>4.6579134315307025</c:v>
                </c:pt>
                <c:pt idx="349">
                  <c:v>6.3511949336808051</c:v>
                </c:pt>
                <c:pt idx="350">
                  <c:v>6.9919402985074619</c:v>
                </c:pt>
                <c:pt idx="351">
                  <c:v>9.2675090252707619</c:v>
                </c:pt>
                <c:pt idx="352">
                  <c:v>7.5866269841269842</c:v>
                </c:pt>
                <c:pt idx="353">
                  <c:v>6.6420915032679737</c:v>
                </c:pt>
                <c:pt idx="354">
                  <c:v>7.2266544117647058</c:v>
                </c:pt>
                <c:pt idx="355">
                  <c:v>8.8417058823529402</c:v>
                </c:pt>
                <c:pt idx="356">
                  <c:v>8.3692779783393494</c:v>
                </c:pt>
                <c:pt idx="357">
                  <c:v>4.3567310026058967</c:v>
                </c:pt>
                <c:pt idx="358">
                  <c:v>4.7506953812617603</c:v>
                </c:pt>
                <c:pt idx="359">
                  <c:v>3.9984196567592964</c:v>
                </c:pt>
                <c:pt idx="360">
                  <c:v>7.153682104794429</c:v>
                </c:pt>
                <c:pt idx="361">
                  <c:v>6.312262409550474</c:v>
                </c:pt>
                <c:pt idx="362">
                  <c:v>8.0082445883808457</c:v>
                </c:pt>
                <c:pt idx="363">
                  <c:v>5.8801507065093777</c:v>
                </c:pt>
                <c:pt idx="364">
                  <c:v>3.8994611378487676</c:v>
                </c:pt>
                <c:pt idx="365">
                  <c:v>5.1935333127787482</c:v>
                </c:pt>
                <c:pt idx="366">
                  <c:v>5.7250464035666759</c:v>
                </c:pt>
                <c:pt idx="367">
                  <c:v>3.681912158564979</c:v>
                </c:pt>
                <c:pt idx="368">
                  <c:v>6.1465392506239693</c:v>
                </c:pt>
                <c:pt idx="369">
                  <c:v>3.6638955410997065</c:v>
                </c:pt>
                <c:pt idx="370">
                  <c:v>5.4143139073808877</c:v>
                </c:pt>
                <c:pt idx="371">
                  <c:v>5.224625801721186</c:v>
                </c:pt>
                <c:pt idx="372">
                  <c:v>7.0079631942562779</c:v>
                </c:pt>
                <c:pt idx="373">
                  <c:v>6.1952360443899099</c:v>
                </c:pt>
                <c:pt idx="374">
                  <c:v>5.1056828719222356</c:v>
                </c:pt>
                <c:pt idx="375">
                  <c:v>5.3024755799896122</c:v>
                </c:pt>
                <c:pt idx="376">
                  <c:v>6.446841877821412</c:v>
                </c:pt>
                <c:pt idx="377">
                  <c:v>6.1501944211125856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4-4E4B-B8C6-927BA4793EDA}"/>
            </c:ext>
          </c:extLst>
        </c:ser>
        <c:ser>
          <c:idx val="1"/>
          <c:order val="1"/>
          <c:tx>
            <c:strRef>
              <c:f>'Quantity Shares_1998 forward'!$AI$8</c:f>
              <c:strCache>
                <c:ptCount val="1"/>
                <c:pt idx="0">
                  <c:v>2017 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'Quantity Shares_1998 forward'!$AI$9:$AI$386</c:f>
              <c:numCache>
                <c:formatCode>0.00</c:formatCode>
                <c:ptCount val="378"/>
                <c:pt idx="0">
                  <c:v>2.7294452083457879</c:v>
                </c:pt>
                <c:pt idx="1">
                  <c:v>2.7241463414634151</c:v>
                </c:pt>
                <c:pt idx="2">
                  <c:v>3.0717419354838711</c:v>
                </c:pt>
                <c:pt idx="3">
                  <c:v>3.3820689655172407</c:v>
                </c:pt>
                <c:pt idx="4">
                  <c:v>3.6429032258064509</c:v>
                </c:pt>
                <c:pt idx="5">
                  <c:v>3.9314000000000009</c:v>
                </c:pt>
                <c:pt idx="6">
                  <c:v>2.65978955453149</c:v>
                </c:pt>
                <c:pt idx="7">
                  <c:v>2.3521324036124911</c:v>
                </c:pt>
                <c:pt idx="8">
                  <c:v>3.9250810810810819</c:v>
                </c:pt>
                <c:pt idx="9">
                  <c:v>2.604663258596597</c:v>
                </c:pt>
                <c:pt idx="10">
                  <c:v>2.5221103459932728</c:v>
                </c:pt>
                <c:pt idx="11">
                  <c:v>3.6219444444444444</c:v>
                </c:pt>
                <c:pt idx="12">
                  <c:v>2.4528425841674255</c:v>
                </c:pt>
                <c:pt idx="13">
                  <c:v>3.465817637770547</c:v>
                </c:pt>
                <c:pt idx="14">
                  <c:v>3.8542851153039837</c:v>
                </c:pt>
                <c:pt idx="15">
                  <c:v>3.8266256157635472</c:v>
                </c:pt>
                <c:pt idx="16">
                  <c:v>3.7528106508875729</c:v>
                </c:pt>
                <c:pt idx="17">
                  <c:v>3.4267809258344499</c:v>
                </c:pt>
                <c:pt idx="18">
                  <c:v>3.2876459510357821</c:v>
                </c:pt>
                <c:pt idx="19">
                  <c:v>4.3333333333333339</c:v>
                </c:pt>
                <c:pt idx="20">
                  <c:v>4.0496815286624201</c:v>
                </c:pt>
                <c:pt idx="21">
                  <c:v>2.7916192284790733</c:v>
                </c:pt>
                <c:pt idx="22">
                  <c:v>2.8263877895293077</c:v>
                </c:pt>
                <c:pt idx="23">
                  <c:v>3.1743521728693467</c:v>
                </c:pt>
                <c:pt idx="24">
                  <c:v>3.3703170930978588</c:v>
                </c:pt>
                <c:pt idx="25">
                  <c:v>3.7756560693247319</c:v>
                </c:pt>
                <c:pt idx="26">
                  <c:v>3.8130598456035845</c:v>
                </c:pt>
                <c:pt idx="27">
                  <c:v>2.6188896714245948</c:v>
                </c:pt>
                <c:pt idx="28">
                  <c:v>2.4091825667623565</c:v>
                </c:pt>
                <c:pt idx="29">
                  <c:v>3.934943595666669</c:v>
                </c:pt>
                <c:pt idx="30">
                  <c:v>2.6549177203561225</c:v>
                </c:pt>
                <c:pt idx="31">
                  <c:v>2.5422391647865688</c:v>
                </c:pt>
                <c:pt idx="32">
                  <c:v>3.5390252571032335</c:v>
                </c:pt>
                <c:pt idx="33">
                  <c:v>2.4668198532503367</c:v>
                </c:pt>
                <c:pt idx="34">
                  <c:v>3.3856408063158896</c:v>
                </c:pt>
                <c:pt idx="35">
                  <c:v>3.9150801698976907</c:v>
                </c:pt>
                <c:pt idx="36">
                  <c:v>3.8198175257828426</c:v>
                </c:pt>
                <c:pt idx="37">
                  <c:v>3.6426444416821115</c:v>
                </c:pt>
                <c:pt idx="38">
                  <c:v>3.5620388996764829</c:v>
                </c:pt>
                <c:pt idx="39">
                  <c:v>3.3204964568776592</c:v>
                </c:pt>
                <c:pt idx="40">
                  <c:v>4.1091266569404041</c:v>
                </c:pt>
                <c:pt idx="41">
                  <c:v>4.0137308834781402</c:v>
                </c:pt>
                <c:pt idx="42">
                  <c:v>3.8382518667382883</c:v>
                </c:pt>
                <c:pt idx="43">
                  <c:v>3.762256742536243</c:v>
                </c:pt>
                <c:pt idx="44">
                  <c:v>4.4091935392202553</c:v>
                </c:pt>
                <c:pt idx="45">
                  <c:v>4.6574187624661603</c:v>
                </c:pt>
                <c:pt idx="46">
                  <c:v>5.4767505366607381</c:v>
                </c:pt>
                <c:pt idx="47">
                  <c:v>5.363215535473473</c:v>
                </c:pt>
                <c:pt idx="48">
                  <c:v>3.4284089953539043</c:v>
                </c:pt>
                <c:pt idx="49">
                  <c:v>3.1021906536095059</c:v>
                </c:pt>
                <c:pt idx="50">
                  <c:v>5.4719503148845519</c:v>
                </c:pt>
                <c:pt idx="51">
                  <c:v>3.5878050904626924</c:v>
                </c:pt>
                <c:pt idx="52">
                  <c:v>3.3530516053778978</c:v>
                </c:pt>
                <c:pt idx="53">
                  <c:v>4.6876030986458721</c:v>
                </c:pt>
                <c:pt idx="54">
                  <c:v>3.3221029126079453</c:v>
                </c:pt>
                <c:pt idx="55">
                  <c:v>4.0820078864065339</c:v>
                </c:pt>
                <c:pt idx="56">
                  <c:v>5.5235048900795576</c:v>
                </c:pt>
                <c:pt idx="57">
                  <c:v>5.359666197065839</c:v>
                </c:pt>
                <c:pt idx="58">
                  <c:v>4.691380525788861</c:v>
                </c:pt>
                <c:pt idx="59">
                  <c:v>5.2424931972993107</c:v>
                </c:pt>
                <c:pt idx="60">
                  <c:v>4.5404972461848656</c:v>
                </c:pt>
                <c:pt idx="61">
                  <c:v>5.3985798068688036</c:v>
                </c:pt>
                <c:pt idx="62">
                  <c:v>5.6354701915439911</c:v>
                </c:pt>
                <c:pt idx="63">
                  <c:v>4.5010495155760228</c:v>
                </c:pt>
                <c:pt idx="64">
                  <c:v>4.40420230717974</c:v>
                </c:pt>
                <c:pt idx="65">
                  <c:v>4.9879178609410451</c:v>
                </c:pt>
                <c:pt idx="66">
                  <c:v>5.1840744774046144</c:v>
                </c:pt>
                <c:pt idx="67">
                  <c:v>6.5904264956061054</c:v>
                </c:pt>
                <c:pt idx="68">
                  <c:v>6.0610621831009084</c:v>
                </c:pt>
                <c:pt idx="69">
                  <c:v>4.136061249462812</c:v>
                </c:pt>
                <c:pt idx="70">
                  <c:v>3.5627236790895291</c:v>
                </c:pt>
                <c:pt idx="71">
                  <c:v>6.4024649115733503</c:v>
                </c:pt>
                <c:pt idx="72">
                  <c:v>4.1618143993005949</c:v>
                </c:pt>
                <c:pt idx="73">
                  <c:v>3.8434920145034903</c:v>
                </c:pt>
                <c:pt idx="74">
                  <c:v>5.4845953413316284</c:v>
                </c:pt>
                <c:pt idx="75">
                  <c:v>3.8649361710719834</c:v>
                </c:pt>
                <c:pt idx="76">
                  <c:v>4.6419357050932373</c:v>
                </c:pt>
                <c:pt idx="77">
                  <c:v>6.4453655654228692</c:v>
                </c:pt>
                <c:pt idx="78">
                  <c:v>6.5464616908802906</c:v>
                </c:pt>
                <c:pt idx="79">
                  <c:v>5.8753201246207531</c:v>
                </c:pt>
                <c:pt idx="80">
                  <c:v>6.2541675895379774</c:v>
                </c:pt>
                <c:pt idx="81">
                  <c:v>5.2358302894030349</c:v>
                </c:pt>
                <c:pt idx="82">
                  <c:v>6.3049699845590288</c:v>
                </c:pt>
                <c:pt idx="83">
                  <c:v>6.5461127651876918</c:v>
                </c:pt>
                <c:pt idx="84">
                  <c:v>3.827804014167651</c:v>
                </c:pt>
                <c:pt idx="85">
                  <c:v>3.9507792207792205</c:v>
                </c:pt>
                <c:pt idx="86">
                  <c:v>4.1500280112044816</c:v>
                </c:pt>
                <c:pt idx="87">
                  <c:v>4.1221478060046186</c:v>
                </c:pt>
                <c:pt idx="88">
                  <c:v>5.2902259887005645</c:v>
                </c:pt>
                <c:pt idx="89">
                  <c:v>4.6800000000000006</c:v>
                </c:pt>
                <c:pt idx="90">
                  <c:v>3.6885996701793897</c:v>
                </c:pt>
                <c:pt idx="91">
                  <c:v>3.3328254564629884</c:v>
                </c:pt>
                <c:pt idx="92">
                  <c:v>5.1046250000000013</c:v>
                </c:pt>
                <c:pt idx="93">
                  <c:v>3.4873962983728553</c:v>
                </c:pt>
                <c:pt idx="94">
                  <c:v>3.2581750301965524</c:v>
                </c:pt>
                <c:pt idx="95">
                  <c:v>4.6640000000000006</c:v>
                </c:pt>
                <c:pt idx="96">
                  <c:v>3.2483251833740829</c:v>
                </c:pt>
                <c:pt idx="97">
                  <c:v>4.1178130232182832</c:v>
                </c:pt>
                <c:pt idx="98">
                  <c:v>5.1512187958883997</c:v>
                </c:pt>
                <c:pt idx="99">
                  <c:v>5.5240944017563125</c:v>
                </c:pt>
                <c:pt idx="100">
                  <c:v>5.4719364161849713</c:v>
                </c:pt>
                <c:pt idx="101">
                  <c:v>4.9912811387900344</c:v>
                </c:pt>
                <c:pt idx="102">
                  <c:v>4.2397828042668033</c:v>
                </c:pt>
                <c:pt idx="103">
                  <c:v>5.107868852459017</c:v>
                </c:pt>
                <c:pt idx="104">
                  <c:v>5.1095833333333331</c:v>
                </c:pt>
                <c:pt idx="105">
                  <c:v>4.8897098638501806</c:v>
                </c:pt>
                <c:pt idx="106">
                  <c:v>5.0866863252037575</c:v>
                </c:pt>
                <c:pt idx="107">
                  <c:v>5.4520456799847983</c:v>
                </c:pt>
                <c:pt idx="108">
                  <c:v>5.8654047738510906</c:v>
                </c:pt>
                <c:pt idx="109">
                  <c:v>7.2434482820959998</c:v>
                </c:pt>
                <c:pt idx="110">
                  <c:v>6.5913975784902723</c:v>
                </c:pt>
                <c:pt idx="111">
                  <c:v>4.5330195979179795</c:v>
                </c:pt>
                <c:pt idx="112">
                  <c:v>4.1265097131073629</c:v>
                </c:pt>
                <c:pt idx="113">
                  <c:v>6.7267859867184292</c:v>
                </c:pt>
                <c:pt idx="114">
                  <c:v>4.6772768348988505</c:v>
                </c:pt>
                <c:pt idx="115">
                  <c:v>4.5587237764371071</c:v>
                </c:pt>
                <c:pt idx="116">
                  <c:v>5.9104036464746894</c:v>
                </c:pt>
                <c:pt idx="117">
                  <c:v>4.2425270416811367</c:v>
                </c:pt>
                <c:pt idx="118">
                  <c:v>5.1100281394029654</c:v>
                </c:pt>
                <c:pt idx="119">
                  <c:v>7.0726126467283441</c:v>
                </c:pt>
                <c:pt idx="120">
                  <c:v>7.6411996130229269</c:v>
                </c:pt>
                <c:pt idx="121">
                  <c:v>6.2180425537284778</c:v>
                </c:pt>
                <c:pt idx="122">
                  <c:v>7.1435252697699685</c:v>
                </c:pt>
                <c:pt idx="123">
                  <c:v>5.6844676408691175</c:v>
                </c:pt>
                <c:pt idx="124">
                  <c:v>7.1033903945587751</c:v>
                </c:pt>
                <c:pt idx="125">
                  <c:v>7.1167104784494803</c:v>
                </c:pt>
                <c:pt idx="126">
                  <c:v>5.4122181973697554</c:v>
                </c:pt>
                <c:pt idx="127">
                  <c:v>5.808642900437837</c:v>
                </c:pt>
                <c:pt idx="128">
                  <c:v>5.9317652905904872</c:v>
                </c:pt>
                <c:pt idx="129">
                  <c:v>6.7357420406398969</c:v>
                </c:pt>
                <c:pt idx="130">
                  <c:v>7.8402352329989231</c:v>
                </c:pt>
                <c:pt idx="131">
                  <c:v>7.3977248144999654</c:v>
                </c:pt>
                <c:pt idx="132">
                  <c:v>4.9868952110579334</c:v>
                </c:pt>
                <c:pt idx="133">
                  <c:v>4.7777016338559486</c:v>
                </c:pt>
                <c:pt idx="134">
                  <c:v>7.0791934101142378</c:v>
                </c:pt>
                <c:pt idx="135">
                  <c:v>5.2210882014705078</c:v>
                </c:pt>
                <c:pt idx="136">
                  <c:v>5.3938236376950384</c:v>
                </c:pt>
                <c:pt idx="137">
                  <c:v>6.8950405800736361</c:v>
                </c:pt>
                <c:pt idx="138">
                  <c:v>4.6700075878409582</c:v>
                </c:pt>
                <c:pt idx="139">
                  <c:v>6.0077559131692118</c:v>
                </c:pt>
                <c:pt idx="140">
                  <c:v>7.7225229806966347</c:v>
                </c:pt>
                <c:pt idx="141">
                  <c:v>9.1500973534920469</c:v>
                </c:pt>
                <c:pt idx="142">
                  <c:v>7.5391762800189301</c:v>
                </c:pt>
                <c:pt idx="143">
                  <c:v>7.9681775236040782</c:v>
                </c:pt>
                <c:pt idx="144">
                  <c:v>6.1587263339709315</c:v>
                </c:pt>
                <c:pt idx="145">
                  <c:v>7.7989904337871963</c:v>
                </c:pt>
                <c:pt idx="146">
                  <c:v>7.7931721721380258</c:v>
                </c:pt>
                <c:pt idx="147">
                  <c:v>6.8936886379186708</c:v>
                </c:pt>
                <c:pt idx="148">
                  <c:v>7.31218567896126</c:v>
                </c:pt>
                <c:pt idx="149">
                  <c:v>7.465423687445961</c:v>
                </c:pt>
                <c:pt idx="150">
                  <c:v>9.0829232210812023</c:v>
                </c:pt>
                <c:pt idx="151">
                  <c:v>10.187842183654453</c:v>
                </c:pt>
                <c:pt idx="152">
                  <c:v>9.8299557689544486</c:v>
                </c:pt>
                <c:pt idx="153">
                  <c:v>6.3359976546041983</c:v>
                </c:pt>
                <c:pt idx="154">
                  <c:v>6.0509942228160529</c:v>
                </c:pt>
                <c:pt idx="155">
                  <c:v>8.9857040270447079</c:v>
                </c:pt>
                <c:pt idx="156">
                  <c:v>6.5981972656705565</c:v>
                </c:pt>
                <c:pt idx="157">
                  <c:v>6.991532376972506</c:v>
                </c:pt>
                <c:pt idx="158">
                  <c:v>8.9437386780586845</c:v>
                </c:pt>
                <c:pt idx="159">
                  <c:v>5.931207977958417</c:v>
                </c:pt>
                <c:pt idx="160">
                  <c:v>7.6879762724259439</c:v>
                </c:pt>
                <c:pt idx="161">
                  <c:v>9.9409504094035661</c:v>
                </c:pt>
                <c:pt idx="162">
                  <c:v>11.961938024635906</c:v>
                </c:pt>
                <c:pt idx="163">
                  <c:v>9.3207832515757154</c:v>
                </c:pt>
                <c:pt idx="164">
                  <c:v>10.411750490061559</c:v>
                </c:pt>
                <c:pt idx="165">
                  <c:v>7.9408705929807937</c:v>
                </c:pt>
                <c:pt idx="166">
                  <c:v>10.001272327225667</c:v>
                </c:pt>
                <c:pt idx="167">
                  <c:v>10.143664250617315</c:v>
                </c:pt>
                <c:pt idx="168">
                  <c:v>6.5919570728409669</c:v>
                </c:pt>
                <c:pt idx="169">
                  <c:v>7.4080281690140843</c:v>
                </c:pt>
                <c:pt idx="170">
                  <c:v>6.9360304659498206</c:v>
                </c:pt>
                <c:pt idx="171">
                  <c:v>8.7536923076923081</c:v>
                </c:pt>
                <c:pt idx="172">
                  <c:v>9.1531506849315072</c:v>
                </c:pt>
                <c:pt idx="173">
                  <c:v>9.7142857142857153</c:v>
                </c:pt>
                <c:pt idx="174">
                  <c:v>6.3688024997702417</c:v>
                </c:pt>
                <c:pt idx="175">
                  <c:v>6.4217463235294119</c:v>
                </c:pt>
                <c:pt idx="176">
                  <c:v>7.8990086741016112</c:v>
                </c:pt>
                <c:pt idx="177">
                  <c:v>6.399584900462612</c:v>
                </c:pt>
                <c:pt idx="178">
                  <c:v>7.2735340804859234</c:v>
                </c:pt>
                <c:pt idx="179">
                  <c:v>9.1138961038961028</c:v>
                </c:pt>
                <c:pt idx="180">
                  <c:v>5.7562002096436062</c:v>
                </c:pt>
                <c:pt idx="181">
                  <c:v>7.8333772776535939</c:v>
                </c:pt>
                <c:pt idx="182">
                  <c:v>9.0801584158415825</c:v>
                </c:pt>
                <c:pt idx="183">
                  <c:v>12.192043010752688</c:v>
                </c:pt>
                <c:pt idx="184">
                  <c:v>9.824258474576272</c:v>
                </c:pt>
                <c:pt idx="185">
                  <c:v>9.7635103926097013</c:v>
                </c:pt>
                <c:pt idx="186">
                  <c:v>7.1941281138790041</c:v>
                </c:pt>
                <c:pt idx="187">
                  <c:v>9.2324663677130054</c:v>
                </c:pt>
                <c:pt idx="188">
                  <c:v>9.6178461538461555</c:v>
                </c:pt>
                <c:pt idx="189">
                  <c:v>6.5986510727785879</c:v>
                </c:pt>
                <c:pt idx="190">
                  <c:v>7.4734947102454514</c:v>
                </c:pt>
                <c:pt idx="191">
                  <c:v>7.2529635686441623</c:v>
                </c:pt>
                <c:pt idx="192">
                  <c:v>8.6085057771191273</c:v>
                </c:pt>
                <c:pt idx="193">
                  <c:v>9.7977426628539348</c:v>
                </c:pt>
                <c:pt idx="194">
                  <c:v>10.955251293078076</c:v>
                </c:pt>
                <c:pt idx="195">
                  <c:v>6.3640897141117563</c:v>
                </c:pt>
                <c:pt idx="196">
                  <c:v>6.3716690770500763</c:v>
                </c:pt>
                <c:pt idx="197">
                  <c:v>8.288856767781775</c:v>
                </c:pt>
                <c:pt idx="198">
                  <c:v>6.4197590451830067</c:v>
                </c:pt>
                <c:pt idx="199">
                  <c:v>7.0982987140956375</c:v>
                </c:pt>
                <c:pt idx="200">
                  <c:v>9.0958069490325766</c:v>
                </c:pt>
                <c:pt idx="201">
                  <c:v>5.7760342192726313</c:v>
                </c:pt>
                <c:pt idx="202">
                  <c:v>7.6679424198990889</c:v>
                </c:pt>
                <c:pt idx="203">
                  <c:v>9.1818069642397599</c:v>
                </c:pt>
                <c:pt idx="204">
                  <c:v>11.715726651963051</c:v>
                </c:pt>
                <c:pt idx="205">
                  <c:v>9.426626267638806</c:v>
                </c:pt>
                <c:pt idx="206">
                  <c:v>9.6884891658904859</c:v>
                </c:pt>
                <c:pt idx="207">
                  <c:v>7.6306208740724042</c:v>
                </c:pt>
                <c:pt idx="208">
                  <c:v>9.680741701678464</c:v>
                </c:pt>
                <c:pt idx="209">
                  <c:v>10.255060407479718</c:v>
                </c:pt>
                <c:pt idx="210">
                  <c:v>8.2895421610832809</c:v>
                </c:pt>
                <c:pt idx="211">
                  <c:v>9.0545319498355603</c:v>
                </c:pt>
                <c:pt idx="212">
                  <c:v>9.5610589552471072</c:v>
                </c:pt>
                <c:pt idx="213">
                  <c:v>10.685531110635733</c:v>
                </c:pt>
                <c:pt idx="214">
                  <c:v>13.224199862553998</c:v>
                </c:pt>
                <c:pt idx="215">
                  <c:v>14.763305401051426</c:v>
                </c:pt>
                <c:pt idx="216">
                  <c:v>7.4636703960678865</c:v>
                </c:pt>
                <c:pt idx="217">
                  <c:v>7.39588520357976</c:v>
                </c:pt>
                <c:pt idx="218">
                  <c:v>11.060670930610922</c:v>
                </c:pt>
                <c:pt idx="219">
                  <c:v>7.9023866393008015</c:v>
                </c:pt>
                <c:pt idx="220">
                  <c:v>8.1966122465655964</c:v>
                </c:pt>
                <c:pt idx="221">
                  <c:v>11.038536485931155</c:v>
                </c:pt>
                <c:pt idx="222">
                  <c:v>7.0765607525702041</c:v>
                </c:pt>
                <c:pt idx="223">
                  <c:v>9.2641482706524201</c:v>
                </c:pt>
                <c:pt idx="224">
                  <c:v>11.795998313347196</c:v>
                </c:pt>
                <c:pt idx="225">
                  <c:v>13.734673031162531</c:v>
                </c:pt>
                <c:pt idx="226">
                  <c:v>10.821452354085695</c:v>
                </c:pt>
                <c:pt idx="227">
                  <c:v>12.217016434540454</c:v>
                </c:pt>
                <c:pt idx="228">
                  <c:v>10.255455941665833</c:v>
                </c:pt>
                <c:pt idx="229">
                  <c:v>12.571075723513831</c:v>
                </c:pt>
                <c:pt idx="230">
                  <c:v>13.452956962512124</c:v>
                </c:pt>
                <c:pt idx="231">
                  <c:v>5.5121705538545998</c:v>
                </c:pt>
                <c:pt idx="232">
                  <c:v>6.579029505624244</c:v>
                </c:pt>
                <c:pt idx="233">
                  <c:v>6.4703762627547938</c:v>
                </c:pt>
                <c:pt idx="234">
                  <c:v>6.332424108208901</c:v>
                </c:pt>
                <c:pt idx="235">
                  <c:v>8.8479985336753053</c:v>
                </c:pt>
                <c:pt idx="236">
                  <c:v>9.9828130871641267</c:v>
                </c:pt>
                <c:pt idx="237">
                  <c:v>5.8370215122919662</c:v>
                </c:pt>
                <c:pt idx="238">
                  <c:v>5.4389204258005073</c:v>
                </c:pt>
                <c:pt idx="239">
                  <c:v>6.8456762399994959</c:v>
                </c:pt>
                <c:pt idx="240">
                  <c:v>5.1840954107619677</c:v>
                </c:pt>
                <c:pt idx="241">
                  <c:v>5.5255730164263133</c:v>
                </c:pt>
                <c:pt idx="242">
                  <c:v>7.6599518711200929</c:v>
                </c:pt>
                <c:pt idx="243">
                  <c:v>5.0183551036069218</c:v>
                </c:pt>
                <c:pt idx="244">
                  <c:v>7.2566381784884468</c:v>
                </c:pt>
                <c:pt idx="245">
                  <c:v>7.1174055689334139</c:v>
                </c:pt>
                <c:pt idx="246">
                  <c:v>9.0411959350729099</c:v>
                </c:pt>
                <c:pt idx="247">
                  <c:v>8.5891646608032115</c:v>
                </c:pt>
                <c:pt idx="248">
                  <c:v>7.1179249092397745</c:v>
                </c:pt>
                <c:pt idx="249">
                  <c:v>6.6784025454850466</c:v>
                </c:pt>
                <c:pt idx="250">
                  <c:v>8.1975159262722013</c:v>
                </c:pt>
                <c:pt idx="251">
                  <c:v>8.5231460816951845</c:v>
                </c:pt>
                <c:pt idx="252">
                  <c:v>5.5682827102803731</c:v>
                </c:pt>
                <c:pt idx="253">
                  <c:v>6.58</c:v>
                </c:pt>
                <c:pt idx="254">
                  <c:v>7.1000291545189507</c:v>
                </c:pt>
                <c:pt idx="255">
                  <c:v>6.4473275862068959</c:v>
                </c:pt>
                <c:pt idx="256">
                  <c:v>9.5801908223534742</c:v>
                </c:pt>
                <c:pt idx="257">
                  <c:v>10.378170637970793</c:v>
                </c:pt>
                <c:pt idx="258">
                  <c:v>4.5535007579058657</c:v>
                </c:pt>
                <c:pt idx="259">
                  <c:v>4.6964345272883952</c:v>
                </c:pt>
                <c:pt idx="260">
                  <c:v>7.3792665726375182</c:v>
                </c:pt>
                <c:pt idx="261">
                  <c:v>4.9334885794833436</c:v>
                </c:pt>
                <c:pt idx="262">
                  <c:v>5.1089482401656312</c:v>
                </c:pt>
                <c:pt idx="263">
                  <c:v>6.8835365853658539</c:v>
                </c:pt>
                <c:pt idx="264">
                  <c:v>4.9280674899236772</c:v>
                </c:pt>
                <c:pt idx="265">
                  <c:v>6.9931962708747619</c:v>
                </c:pt>
                <c:pt idx="266">
                  <c:v>7.416188540456834</c:v>
                </c:pt>
                <c:pt idx="267">
                  <c:v>7.9942931258106356</c:v>
                </c:pt>
                <c:pt idx="268">
                  <c:v>6.6876470588235275</c:v>
                </c:pt>
                <c:pt idx="269">
                  <c:v>7.3841775456919061</c:v>
                </c:pt>
                <c:pt idx="270">
                  <c:v>7.421701631701632</c:v>
                </c:pt>
                <c:pt idx="271">
                  <c:v>8.5506134969325185</c:v>
                </c:pt>
                <c:pt idx="272">
                  <c:v>8.9980459770114916</c:v>
                </c:pt>
                <c:pt idx="273">
                  <c:v>5.703560920129771</c:v>
                </c:pt>
                <c:pt idx="274">
                  <c:v>6.74733137638332</c:v>
                </c:pt>
                <c:pt idx="275">
                  <c:v>7.4156474194084048</c:v>
                </c:pt>
                <c:pt idx="276">
                  <c:v>6.3403748698436146</c:v>
                </c:pt>
                <c:pt idx="277">
                  <c:v>9.3036091981216256</c:v>
                </c:pt>
                <c:pt idx="278">
                  <c:v>11.02056495922093</c:v>
                </c:pt>
                <c:pt idx="279">
                  <c:v>5.4410452114278423</c:v>
                </c:pt>
                <c:pt idx="280">
                  <c:v>5.0487737581037448</c:v>
                </c:pt>
                <c:pt idx="281">
                  <c:v>7.043380317150719</c:v>
                </c:pt>
                <c:pt idx="282">
                  <c:v>5.0205608446528469</c:v>
                </c:pt>
                <c:pt idx="283">
                  <c:v>5.0492059381474901</c:v>
                </c:pt>
                <c:pt idx="284">
                  <c:v>6.8294863546199398</c:v>
                </c:pt>
                <c:pt idx="285">
                  <c:v>5.2106198163087081</c:v>
                </c:pt>
                <c:pt idx="286">
                  <c:v>7.8408549235200704</c:v>
                </c:pt>
                <c:pt idx="287">
                  <c:v>7.2430790337839106</c:v>
                </c:pt>
                <c:pt idx="288">
                  <c:v>7.970215482756184</c:v>
                </c:pt>
                <c:pt idx="289">
                  <c:v>6.5434297033687105</c:v>
                </c:pt>
                <c:pt idx="290">
                  <c:v>7.1318209751217294</c:v>
                </c:pt>
                <c:pt idx="291">
                  <c:v>7.3579222150876316</c:v>
                </c:pt>
                <c:pt idx="292">
                  <c:v>8.4408423829797599</c:v>
                </c:pt>
                <c:pt idx="293">
                  <c:v>8.9256629347616556</c:v>
                </c:pt>
                <c:pt idx="294">
                  <c:v>4.9673665570355174</c:v>
                </c:pt>
                <c:pt idx="295">
                  <c:v>5.9657345410382927</c:v>
                </c:pt>
                <c:pt idx="296">
                  <c:v>6.4084124388227144</c:v>
                </c:pt>
                <c:pt idx="297">
                  <c:v>5.2421520824364061</c:v>
                </c:pt>
                <c:pt idx="298">
                  <c:v>7.6175630976436075</c:v>
                </c:pt>
                <c:pt idx="299">
                  <c:v>10.139703129487787</c:v>
                </c:pt>
                <c:pt idx="300">
                  <c:v>5.7355872010941349</c:v>
                </c:pt>
                <c:pt idx="301">
                  <c:v>4.7583384263984234</c:v>
                </c:pt>
                <c:pt idx="302">
                  <c:v>5.6070620152248765</c:v>
                </c:pt>
                <c:pt idx="303">
                  <c:v>4.2961199103914476</c:v>
                </c:pt>
                <c:pt idx="304">
                  <c:v>4.3455133194994477</c:v>
                </c:pt>
                <c:pt idx="305">
                  <c:v>5.7479505762090293</c:v>
                </c:pt>
                <c:pt idx="306">
                  <c:v>4.8058575435294255</c:v>
                </c:pt>
                <c:pt idx="307">
                  <c:v>7.0914637417316717</c:v>
                </c:pt>
                <c:pt idx="308">
                  <c:v>5.8863417982892665</c:v>
                </c:pt>
                <c:pt idx="309">
                  <c:v>6.6467296826339739</c:v>
                </c:pt>
                <c:pt idx="310">
                  <c:v>5.473821091285159</c:v>
                </c:pt>
                <c:pt idx="311">
                  <c:v>5.6211948447432087</c:v>
                </c:pt>
                <c:pt idx="312">
                  <c:v>6.2287651825758497</c:v>
                </c:pt>
                <c:pt idx="313">
                  <c:v>6.9270932179917448</c:v>
                </c:pt>
                <c:pt idx="314">
                  <c:v>7.576300925218475</c:v>
                </c:pt>
                <c:pt idx="315">
                  <c:v>5.3134026278978181</c:v>
                </c:pt>
                <c:pt idx="316">
                  <c:v>6.2284540600021892</c:v>
                </c:pt>
                <c:pt idx="317">
                  <c:v>6.7680405904067449</c:v>
                </c:pt>
                <c:pt idx="318">
                  <c:v>5.8447125914088502</c:v>
                </c:pt>
                <c:pt idx="319">
                  <c:v>8.2583846439878972</c:v>
                </c:pt>
                <c:pt idx="320">
                  <c:v>10.081956478475213</c:v>
                </c:pt>
                <c:pt idx="321">
                  <c:v>5.5439717591889224</c:v>
                </c:pt>
                <c:pt idx="322">
                  <c:v>4.7321187537936371</c:v>
                </c:pt>
                <c:pt idx="323">
                  <c:v>6.1803538522874106</c:v>
                </c:pt>
                <c:pt idx="324">
                  <c:v>4.5653700059700038</c:v>
                </c:pt>
                <c:pt idx="325">
                  <c:v>4.6319390380760197</c:v>
                </c:pt>
                <c:pt idx="326">
                  <c:v>5.9808420558153115</c:v>
                </c:pt>
                <c:pt idx="327">
                  <c:v>5.0278220411419143</c:v>
                </c:pt>
                <c:pt idx="328">
                  <c:v>7.6715657144707929</c:v>
                </c:pt>
                <c:pt idx="329">
                  <c:v>6.5130040031745633</c:v>
                </c:pt>
                <c:pt idx="330">
                  <c:v>7.0476061357676025</c:v>
                </c:pt>
                <c:pt idx="331">
                  <c:v>5.4183856622190536</c:v>
                </c:pt>
                <c:pt idx="332">
                  <c:v>6.4093846441150832</c:v>
                </c:pt>
                <c:pt idx="333">
                  <c:v>6.7850088017830794</c:v>
                </c:pt>
                <c:pt idx="334">
                  <c:v>7.4324221557237351</c:v>
                </c:pt>
                <c:pt idx="335">
                  <c:v>8.4278938379598767</c:v>
                </c:pt>
                <c:pt idx="336">
                  <c:v>5.858920334777757</c:v>
                </c:pt>
                <c:pt idx="337">
                  <c:v>6.7326679884307277</c:v>
                </c:pt>
                <c:pt idx="338">
                  <c:v>7.2973941355549048</c:v>
                </c:pt>
                <c:pt idx="339">
                  <c:v>6.5771385060355474</c:v>
                </c:pt>
                <c:pt idx="340">
                  <c:v>9.1677654970279292</c:v>
                </c:pt>
                <c:pt idx="341">
                  <c:v>10.610137304311213</c:v>
                </c:pt>
                <c:pt idx="342">
                  <c:v>5.2517940586456024</c:v>
                </c:pt>
                <c:pt idx="343">
                  <c:v>4.8695586407393092</c:v>
                </c:pt>
                <c:pt idx="344">
                  <c:v>7.070310112662165</c:v>
                </c:pt>
                <c:pt idx="345">
                  <c:v>4.9759662017344128</c:v>
                </c:pt>
                <c:pt idx="346">
                  <c:v>5.112262281320449</c:v>
                </c:pt>
                <c:pt idx="347">
                  <c:v>6.8263882092778569</c:v>
                </c:pt>
                <c:pt idx="348">
                  <c:v>5.2704833512332563</c:v>
                </c:pt>
                <c:pt idx="349">
                  <c:v>8.3529270608195123</c:v>
                </c:pt>
                <c:pt idx="350">
                  <c:v>7.4747244048342738</c:v>
                </c:pt>
                <c:pt idx="351">
                  <c:v>8.1014600745472354</c:v>
                </c:pt>
                <c:pt idx="352">
                  <c:v>6.4183066440311203</c:v>
                </c:pt>
                <c:pt idx="353">
                  <c:v>7.4309377913150367</c:v>
                </c:pt>
                <c:pt idx="354">
                  <c:v>7.5719575894903288</c:v>
                </c:pt>
                <c:pt idx="355">
                  <c:v>8.3622582261018827</c:v>
                </c:pt>
                <c:pt idx="356">
                  <c:v>9.4796242763224186</c:v>
                </c:pt>
                <c:pt idx="357">
                  <c:v>4.5235772360942539</c:v>
                </c:pt>
                <c:pt idx="358">
                  <c:v>5.3370293214450015</c:v>
                </c:pt>
                <c:pt idx="359">
                  <c:v>5.3514881011804558</c:v>
                </c:pt>
                <c:pt idx="360">
                  <c:v>4.8754598874897832</c:v>
                </c:pt>
                <c:pt idx="361">
                  <c:v>6.7125792176134622</c:v>
                </c:pt>
                <c:pt idx="362">
                  <c:v>7.6084322478407929</c:v>
                </c:pt>
                <c:pt idx="363">
                  <c:v>4.1970570680321977</c:v>
                </c:pt>
                <c:pt idx="364">
                  <c:v>3.9604608497292153</c:v>
                </c:pt>
                <c:pt idx="365">
                  <c:v>5.1222147749737328</c:v>
                </c:pt>
                <c:pt idx="366">
                  <c:v>3.857972818370087</c:v>
                </c:pt>
                <c:pt idx="367">
                  <c:v>4.0867972725071624</c:v>
                </c:pt>
                <c:pt idx="368">
                  <c:v>5.411948122681558</c:v>
                </c:pt>
                <c:pt idx="369">
                  <c:v>4.1364225259591461</c:v>
                </c:pt>
                <c:pt idx="370">
                  <c:v>7.4961793639581442</c:v>
                </c:pt>
                <c:pt idx="371">
                  <c:v>5.4107293271052734</c:v>
                </c:pt>
                <c:pt idx="372">
                  <c:v>6.1123652780141482</c:v>
                </c:pt>
                <c:pt idx="373">
                  <c:v>5.622927566792713</c:v>
                </c:pt>
                <c:pt idx="374">
                  <c:v>5.2265378072298585</c:v>
                </c:pt>
                <c:pt idx="375">
                  <c:v>5.6998611346803871</c:v>
                </c:pt>
                <c:pt idx="376">
                  <c:v>6.2575409810577822</c:v>
                </c:pt>
                <c:pt idx="377">
                  <c:v>6.9896585150022892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4-4E4B-B8C6-927BA479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21720"/>
        <c:axId val="654321080"/>
      </c:lineChart>
      <c:catAx>
        <c:axId val="65432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21080"/>
        <c:crosses val="autoZero"/>
        <c:auto val="1"/>
        <c:lblAlgn val="ctr"/>
        <c:lblOffset val="100"/>
        <c:noMultiLvlLbl val="0"/>
      </c:catAx>
      <c:valAx>
        <c:axId val="6543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2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Prices_1998forward'!$F$7</c:f>
              <c:strCache>
                <c:ptCount val="1"/>
                <c:pt idx="0">
                  <c:v>N 311</c:v>
                </c:pt>
              </c:strCache>
            </c:strRef>
          </c:tx>
          <c:cat>
            <c:numRef>
              <c:f>'Plot Prices_1998forward'!$G$6:$X$6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Prices_1998forward'!$G$7:$X$7</c:f>
              <c:numCache>
                <c:formatCode>0.00</c:formatCode>
                <c:ptCount val="18"/>
                <c:pt idx="0">
                  <c:v>2.7294452083457879</c:v>
                </c:pt>
                <c:pt idx="1">
                  <c:v>2.7994195806250683</c:v>
                </c:pt>
                <c:pt idx="2">
                  <c:v>3.8220914511698765</c:v>
                </c:pt>
                <c:pt idx="3">
                  <c:v>4.4521757734570944</c:v>
                </c:pt>
                <c:pt idx="4">
                  <c:v>3.827804014167651</c:v>
                </c:pt>
                <c:pt idx="5">
                  <c:v>4.8238087276745976</c:v>
                </c:pt>
                <c:pt idx="6">
                  <c:v>5.3899182289783134</c:v>
                </c:pt>
                <c:pt idx="7">
                  <c:v>6.8405855608213697</c:v>
                </c:pt>
                <c:pt idx="8">
                  <c:v>6.5919570728409669</c:v>
                </c:pt>
                <c:pt idx="9">
                  <c:v>6.5807610718392775</c:v>
                </c:pt>
                <c:pt idx="10">
                  <c:v>8.2429815157465871</c:v>
                </c:pt>
                <c:pt idx="11">
                  <c:v>5.4937762102127037</c:v>
                </c:pt>
                <c:pt idx="12">
                  <c:v>5.5682827102803731</c:v>
                </c:pt>
                <c:pt idx="13">
                  <c:v>5.7023292479005807</c:v>
                </c:pt>
                <c:pt idx="14">
                  <c:v>4.8868718449331459</c:v>
                </c:pt>
                <c:pt idx="15">
                  <c:v>5.1622985235510965</c:v>
                </c:pt>
                <c:pt idx="16">
                  <c:v>5.7910221810908444</c:v>
                </c:pt>
                <c:pt idx="17">
                  <c:v>4.3567310026058967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C-423D-8FC4-FED2939496ED}"/>
            </c:ext>
          </c:extLst>
        </c:ser>
        <c:ser>
          <c:idx val="1"/>
          <c:order val="1"/>
          <c:tx>
            <c:strRef>
              <c:f>'Plot Prices_1998forward'!$F$8</c:f>
              <c:strCache>
                <c:ptCount val="1"/>
                <c:pt idx="0">
                  <c:v>N 312</c:v>
                </c:pt>
              </c:strCache>
            </c:strRef>
          </c:tx>
          <c:cat>
            <c:numRef>
              <c:f>'Plot Prices_1998forward'!$G$6:$X$6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Prices_1998forward'!$G$8:$X$8</c:f>
              <c:numCache>
                <c:formatCode>0.00</c:formatCode>
                <c:ptCount val="18"/>
                <c:pt idx="0">
                  <c:v>2.7241463414634151</c:v>
                </c:pt>
                <c:pt idx="1">
                  <c:v>2.7331957504096063</c:v>
                </c:pt>
                <c:pt idx="2">
                  <c:v>3.5309167656931333</c:v>
                </c:pt>
                <c:pt idx="3">
                  <c:v>4.2583505211639867</c:v>
                </c:pt>
                <c:pt idx="4">
                  <c:v>3.9507792207792205</c:v>
                </c:pt>
                <c:pt idx="5">
                  <c:v>4.7446245952199524</c:v>
                </c:pt>
                <c:pt idx="6">
                  <c:v>5.6315602764831585</c:v>
                </c:pt>
                <c:pt idx="7">
                  <c:v>7.0791253308137776</c:v>
                </c:pt>
                <c:pt idx="8">
                  <c:v>7.4080281690140843</c:v>
                </c:pt>
                <c:pt idx="9">
                  <c:v>7.4567568079449895</c:v>
                </c:pt>
                <c:pt idx="10">
                  <c:v>8.9835321925092924</c:v>
                </c:pt>
                <c:pt idx="11">
                  <c:v>7.1859147471645253</c:v>
                </c:pt>
                <c:pt idx="12">
                  <c:v>6.58</c:v>
                </c:pt>
                <c:pt idx="13">
                  <c:v>6.6278376759792259</c:v>
                </c:pt>
                <c:pt idx="14">
                  <c:v>5.5827646623023375</c:v>
                </c:pt>
                <c:pt idx="15">
                  <c:v>5.3803188255245757</c:v>
                </c:pt>
                <c:pt idx="16">
                  <c:v>5.8639837398373986</c:v>
                </c:pt>
                <c:pt idx="17">
                  <c:v>4.7506953812617603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23D-8FC4-FED2939496ED}"/>
            </c:ext>
          </c:extLst>
        </c:ser>
        <c:ser>
          <c:idx val="2"/>
          <c:order val="2"/>
          <c:tx>
            <c:strRef>
              <c:f>'Plot Prices_1998forward'!$F$9</c:f>
              <c:strCache>
                <c:ptCount val="1"/>
                <c:pt idx="0">
                  <c:v>N 313</c:v>
                </c:pt>
              </c:strCache>
            </c:strRef>
          </c:tx>
          <c:cat>
            <c:numRef>
              <c:f>'Plot Prices_1998forward'!$G$6:$X$6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Prices_1998forward'!$G$9:$X$9</c:f>
              <c:numCache>
                <c:formatCode>0.00</c:formatCode>
                <c:ptCount val="18"/>
                <c:pt idx="0">
                  <c:v>3.0717419354838711</c:v>
                </c:pt>
                <c:pt idx="1">
                  <c:v>3.1871806133675178</c:v>
                </c:pt>
                <c:pt idx="2">
                  <c:v>4.4254573520515423</c:v>
                </c:pt>
                <c:pt idx="3">
                  <c:v>4.986890215890889</c:v>
                </c:pt>
                <c:pt idx="4">
                  <c:v>4.1500280112044816</c:v>
                </c:pt>
                <c:pt idx="5">
                  <c:v>5.4448237547124654</c:v>
                </c:pt>
                <c:pt idx="6">
                  <c:v>5.9364584328250194</c:v>
                </c:pt>
                <c:pt idx="7">
                  <c:v>7.4657007809800913</c:v>
                </c:pt>
                <c:pt idx="8">
                  <c:v>6.9360304659498206</c:v>
                </c:pt>
                <c:pt idx="9">
                  <c:v>7.252247419026995</c:v>
                </c:pt>
                <c:pt idx="10">
                  <c:v>9.5599844775701683</c:v>
                </c:pt>
                <c:pt idx="11">
                  <c:v>6.4611611184161646</c:v>
                </c:pt>
                <c:pt idx="12">
                  <c:v>7.1000291545189507</c:v>
                </c:pt>
                <c:pt idx="13">
                  <c:v>7.0062376822063879</c:v>
                </c:pt>
                <c:pt idx="14">
                  <c:v>5.5120366508695948</c:v>
                </c:pt>
                <c:pt idx="15">
                  <c:v>5.4317851209376258</c:v>
                </c:pt>
                <c:pt idx="16">
                  <c:v>5.5801474005094329</c:v>
                </c:pt>
                <c:pt idx="17">
                  <c:v>3.9984196567592964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C-423D-8FC4-FED2939496ED}"/>
            </c:ext>
          </c:extLst>
        </c:ser>
        <c:ser>
          <c:idx val="3"/>
          <c:order val="3"/>
          <c:tx>
            <c:strRef>
              <c:f>'Plot Prices_1998forward'!$F$10</c:f>
              <c:strCache>
                <c:ptCount val="1"/>
                <c:pt idx="0">
                  <c:v>N 314 </c:v>
                </c:pt>
              </c:strCache>
            </c:strRef>
          </c:tx>
          <c:cat>
            <c:numRef>
              <c:f>'Plot Prices_1998forward'!$G$6:$X$6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Prices_1998forward'!$G$10:$X$10</c:f>
              <c:numCache>
                <c:formatCode>0.00</c:formatCode>
                <c:ptCount val="18"/>
                <c:pt idx="0">
                  <c:v>3.3820689655172407</c:v>
                </c:pt>
                <c:pt idx="1">
                  <c:v>3.3781627179885514</c:v>
                </c:pt>
                <c:pt idx="2">
                  <c:v>4.6563802769741036</c:v>
                </c:pt>
                <c:pt idx="3">
                  <c:v>5.185867611290008</c:v>
                </c:pt>
                <c:pt idx="4">
                  <c:v>4.1221478060046186</c:v>
                </c:pt>
                <c:pt idx="5">
                  <c:v>5.8535697998963547</c:v>
                </c:pt>
                <c:pt idx="6">
                  <c:v>6.7431562519915458</c:v>
                </c:pt>
                <c:pt idx="7">
                  <c:v>9.0891546198348703</c:v>
                </c:pt>
                <c:pt idx="8">
                  <c:v>8.7536923076923081</c:v>
                </c:pt>
                <c:pt idx="9">
                  <c:v>8.6128837241924234</c:v>
                </c:pt>
                <c:pt idx="10">
                  <c:v>10.700274786664229</c:v>
                </c:pt>
                <c:pt idx="11">
                  <c:v>6.3411044128565841</c:v>
                </c:pt>
                <c:pt idx="12">
                  <c:v>6.4473275862068959</c:v>
                </c:pt>
                <c:pt idx="13">
                  <c:v>6.9079833274696218</c:v>
                </c:pt>
                <c:pt idx="14">
                  <c:v>6.5596435812973368</c:v>
                </c:pt>
                <c:pt idx="15">
                  <c:v>7.9076391400911454</c:v>
                </c:pt>
                <c:pt idx="16">
                  <c:v>9.426731078904993</c:v>
                </c:pt>
                <c:pt idx="17">
                  <c:v>7.153682104794429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C-423D-8FC4-FED293949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35520"/>
        <c:axId val="120867648"/>
      </c:lineChart>
      <c:catAx>
        <c:axId val="1282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67648"/>
        <c:crosses val="autoZero"/>
        <c:auto val="1"/>
        <c:lblAlgn val="ctr"/>
        <c:lblOffset val="100"/>
        <c:noMultiLvlLbl val="0"/>
      </c:catAx>
      <c:valAx>
        <c:axId val="120867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2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Prices_1998forward'!$F$13</c:f>
              <c:strCache>
                <c:ptCount val="1"/>
                <c:pt idx="0">
                  <c:v>N 315</c:v>
                </c:pt>
              </c:strCache>
            </c:strRef>
          </c:tx>
          <c:cat>
            <c:numRef>
              <c:f>'Plot Prices_1998forward'!$G$12:$X$12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Prices_1998forward'!$G$13:$X$13</c:f>
              <c:numCache>
                <c:formatCode>0.00</c:formatCode>
                <c:ptCount val="18"/>
                <c:pt idx="0">
                  <c:v>3.6429032258064509</c:v>
                </c:pt>
                <c:pt idx="1">
                  <c:v>3.8479699150972086</c:v>
                </c:pt>
                <c:pt idx="2">
                  <c:v>5.6315030426329784</c:v>
                </c:pt>
                <c:pt idx="3">
                  <c:v>6.5856603191599232</c:v>
                </c:pt>
                <c:pt idx="4">
                  <c:v>5.2902259887005645</c:v>
                </c:pt>
                <c:pt idx="5">
                  <c:v>7.2856196797952899</c:v>
                </c:pt>
                <c:pt idx="6">
                  <c:v>7.9029834581573395</c:v>
                </c:pt>
                <c:pt idx="7">
                  <c:v>10.247927654920282</c:v>
                </c:pt>
                <c:pt idx="8">
                  <c:v>9.1531506849315072</c:v>
                </c:pt>
                <c:pt idx="9">
                  <c:v>9.7782973859890046</c:v>
                </c:pt>
                <c:pt idx="10">
                  <c:v>13.31161963378265</c:v>
                </c:pt>
                <c:pt idx="11">
                  <c:v>8.4132586271698617</c:v>
                </c:pt>
                <c:pt idx="12">
                  <c:v>9.5801908223534742</c:v>
                </c:pt>
                <c:pt idx="13">
                  <c:v>9.3374211920215267</c:v>
                </c:pt>
                <c:pt idx="14">
                  <c:v>7.4930639129621799</c:v>
                </c:pt>
                <c:pt idx="15">
                  <c:v>8.0216197494974377</c:v>
                </c:pt>
                <c:pt idx="16">
                  <c:v>8.9356521739130432</c:v>
                </c:pt>
                <c:pt idx="17">
                  <c:v>6.312262409550474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C-4C77-B89B-ADD919481EFC}"/>
            </c:ext>
          </c:extLst>
        </c:ser>
        <c:ser>
          <c:idx val="1"/>
          <c:order val="1"/>
          <c:tx>
            <c:strRef>
              <c:f>'Plot Prices_1998forward'!$F$14</c:f>
              <c:strCache>
                <c:ptCount val="1"/>
                <c:pt idx="0">
                  <c:v>N 316</c:v>
                </c:pt>
              </c:strCache>
            </c:strRef>
          </c:tx>
          <c:cat>
            <c:numRef>
              <c:f>'Plot Prices_1998forward'!$G$12:$X$12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Prices_1998forward'!$G$14:$X$14</c:f>
              <c:numCache>
                <c:formatCode>0.00</c:formatCode>
                <c:ptCount val="18"/>
                <c:pt idx="0">
                  <c:v>3.9314000000000009</c:v>
                </c:pt>
                <c:pt idx="1">
                  <c:v>3.824227317749231</c:v>
                </c:pt>
                <c:pt idx="2">
                  <c:v>5.3759140306829094</c:v>
                </c:pt>
                <c:pt idx="3">
                  <c:v>6.0537798557122171</c:v>
                </c:pt>
                <c:pt idx="4">
                  <c:v>4.6800000000000006</c:v>
                </c:pt>
                <c:pt idx="5">
                  <c:v>6.5737856573996876</c:v>
                </c:pt>
                <c:pt idx="6">
                  <c:v>7.4002675729956247</c:v>
                </c:pt>
                <c:pt idx="7">
                  <c:v>9.8257522146320753</c:v>
                </c:pt>
                <c:pt idx="8">
                  <c:v>9.7142857142857153</c:v>
                </c:pt>
                <c:pt idx="9">
                  <c:v>10.96044675126684</c:v>
                </c:pt>
                <c:pt idx="10">
                  <c:v>14.766221233329473</c:v>
                </c:pt>
                <c:pt idx="11">
                  <c:v>10.023609471589982</c:v>
                </c:pt>
                <c:pt idx="12">
                  <c:v>10.378170637970793</c:v>
                </c:pt>
                <c:pt idx="13">
                  <c:v>11.143954004501609</c:v>
                </c:pt>
                <c:pt idx="14">
                  <c:v>10.613677665996866</c:v>
                </c:pt>
                <c:pt idx="15">
                  <c:v>10.353618229063867</c:v>
                </c:pt>
                <c:pt idx="16">
                  <c:v>10.75</c:v>
                </c:pt>
                <c:pt idx="17">
                  <c:v>8.0082445883808457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C-4C77-B89B-ADD919481EFC}"/>
            </c:ext>
          </c:extLst>
        </c:ser>
        <c:ser>
          <c:idx val="2"/>
          <c:order val="2"/>
          <c:tx>
            <c:strRef>
              <c:f>'Plot Prices_1998forward'!$F$15</c:f>
              <c:strCache>
                <c:ptCount val="1"/>
                <c:pt idx="0">
                  <c:v>N 317</c:v>
                </c:pt>
              </c:strCache>
            </c:strRef>
          </c:tx>
          <c:cat>
            <c:numRef>
              <c:f>'Plot Prices_1998forward'!$G$12:$X$12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Prices_1998forward'!$G$15:$X$15</c:f>
              <c:numCache>
                <c:formatCode>0.00</c:formatCode>
                <c:ptCount val="18"/>
                <c:pt idx="0">
                  <c:v>2.65978955453149</c:v>
                </c:pt>
                <c:pt idx="1">
                  <c:v>2.678796543318327</c:v>
                </c:pt>
                <c:pt idx="2">
                  <c:v>3.5426786202987874</c:v>
                </c:pt>
                <c:pt idx="3">
                  <c:v>4.1374017415407565</c:v>
                </c:pt>
                <c:pt idx="4">
                  <c:v>3.6885996701793897</c:v>
                </c:pt>
                <c:pt idx="5">
                  <c:v>4.6138724998934997</c:v>
                </c:pt>
                <c:pt idx="6">
                  <c:v>5.0651760356189106</c:v>
                </c:pt>
                <c:pt idx="7">
                  <c:v>6.3922669692286798</c:v>
                </c:pt>
                <c:pt idx="8">
                  <c:v>6.3688024997702417</c:v>
                </c:pt>
                <c:pt idx="9">
                  <c:v>6.3287747538354928</c:v>
                </c:pt>
                <c:pt idx="10">
                  <c:v>7.3138946468568298</c:v>
                </c:pt>
                <c:pt idx="11">
                  <c:v>5.1795336679925787</c:v>
                </c:pt>
                <c:pt idx="12">
                  <c:v>4.5584223027878483</c:v>
                </c:pt>
                <c:pt idx="13">
                  <c:v>5.9518868083542413</c:v>
                </c:pt>
                <c:pt idx="14">
                  <c:v>6.5663824859436506</c:v>
                </c:pt>
                <c:pt idx="15">
                  <c:v>7.0308668500110931</c:v>
                </c:pt>
                <c:pt idx="16">
                  <c:v>7.5970564434924288</c:v>
                </c:pt>
                <c:pt idx="17">
                  <c:v>5.8801507065093777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C-4C77-B89B-ADD919481EFC}"/>
            </c:ext>
          </c:extLst>
        </c:ser>
        <c:ser>
          <c:idx val="3"/>
          <c:order val="3"/>
          <c:tx>
            <c:strRef>
              <c:f>'Plot Prices_1998forward'!$F$16</c:f>
              <c:strCache>
                <c:ptCount val="1"/>
                <c:pt idx="0">
                  <c:v>N 318</c:v>
                </c:pt>
              </c:strCache>
            </c:strRef>
          </c:tx>
          <c:cat>
            <c:numRef>
              <c:f>'Plot Prices_1998forward'!$G$12:$X$12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Prices_1998forward'!$G$16:$X$16</c:f>
              <c:numCache>
                <c:formatCode>0.00</c:formatCode>
                <c:ptCount val="18"/>
                <c:pt idx="0">
                  <c:v>2.3521324036124911</c:v>
                </c:pt>
                <c:pt idx="1">
                  <c:v>2.4286740689793174</c:v>
                </c:pt>
                <c:pt idx="2">
                  <c:v>3.1329415459364163</c:v>
                </c:pt>
                <c:pt idx="3">
                  <c:v>3.5584885145303184</c:v>
                </c:pt>
                <c:pt idx="4">
                  <c:v>3.3328254564629884</c:v>
                </c:pt>
                <c:pt idx="5">
                  <c:v>4.1172131089186452</c:v>
                </c:pt>
                <c:pt idx="6">
                  <c:v>4.7888293242942241</c:v>
                </c:pt>
                <c:pt idx="7">
                  <c:v>6.1042376315324827</c:v>
                </c:pt>
                <c:pt idx="8">
                  <c:v>6.4217463235294119</c:v>
                </c:pt>
                <c:pt idx="9">
                  <c:v>6.3519899124589738</c:v>
                </c:pt>
                <c:pt idx="10">
                  <c:v>7.4890157850663917</c:v>
                </c:pt>
                <c:pt idx="11">
                  <c:v>5.4075638542156641</c:v>
                </c:pt>
                <c:pt idx="12">
                  <c:v>4.6964345272883952</c:v>
                </c:pt>
                <c:pt idx="13">
                  <c:v>5.0891264608729401</c:v>
                </c:pt>
                <c:pt idx="14">
                  <c:v>4.6126823551069087</c:v>
                </c:pt>
                <c:pt idx="15">
                  <c:v>4.5405975007142194</c:v>
                </c:pt>
                <c:pt idx="16">
                  <c:v>4.7850470026727763</c:v>
                </c:pt>
                <c:pt idx="17">
                  <c:v>3.8994611378487676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C-4C77-B89B-ADD91948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47360"/>
        <c:axId val="160910720"/>
      </c:lineChart>
      <c:catAx>
        <c:axId val="1608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10720"/>
        <c:crosses val="autoZero"/>
        <c:auto val="1"/>
        <c:lblAlgn val="ctr"/>
        <c:lblOffset val="100"/>
        <c:noMultiLvlLbl val="0"/>
      </c:catAx>
      <c:valAx>
        <c:axId val="160910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8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Prices_1998forward'!$F$19</c:f>
              <c:strCache>
                <c:ptCount val="1"/>
                <c:pt idx="0">
                  <c:v>N 323</c:v>
                </c:pt>
              </c:strCache>
            </c:strRef>
          </c:tx>
          <c:cat>
            <c:numRef>
              <c:f>'Plot Prices_1998forward'!$G$18:$X$18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Prices_1998forward'!$G$19:$X$19</c:f>
              <c:numCache>
                <c:formatCode>0.00</c:formatCode>
                <c:ptCount val="18"/>
                <c:pt idx="0">
                  <c:v>3.9250810810810819</c:v>
                </c:pt>
                <c:pt idx="1">
                  <c:v>3.9452670221578159</c:v>
                </c:pt>
                <c:pt idx="2">
                  <c:v>5.5073320576934028</c:v>
                </c:pt>
                <c:pt idx="3">
                  <c:v>6.4288677972140205</c:v>
                </c:pt>
                <c:pt idx="4">
                  <c:v>5.1046250000000013</c:v>
                </c:pt>
                <c:pt idx="5">
                  <c:v>6.7301703873359608</c:v>
                </c:pt>
                <c:pt idx="6">
                  <c:v>7.0949915621787847</c:v>
                </c:pt>
                <c:pt idx="7">
                  <c:v>9.018546345656187</c:v>
                </c:pt>
                <c:pt idx="8">
                  <c:v>7.8990086741016112</c:v>
                </c:pt>
                <c:pt idx="9">
                  <c:v>8.2998263499882352</c:v>
                </c:pt>
                <c:pt idx="10">
                  <c:v>11.123237135208285</c:v>
                </c:pt>
                <c:pt idx="11">
                  <c:v>6.831001328671948</c:v>
                </c:pt>
                <c:pt idx="12">
                  <c:v>7.3632518612415421</c:v>
                </c:pt>
                <c:pt idx="13">
                  <c:v>7.0349248152869164</c:v>
                </c:pt>
                <c:pt idx="14">
                  <c:v>5.5923284697538067</c:v>
                </c:pt>
                <c:pt idx="15">
                  <c:v>6.2124626525122864</c:v>
                </c:pt>
                <c:pt idx="16">
                  <c:v>7.211557395087433</c:v>
                </c:pt>
                <c:pt idx="17">
                  <c:v>5.1935333127787482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E-403B-BDDC-EE1CD12E6EC1}"/>
            </c:ext>
          </c:extLst>
        </c:ser>
        <c:ser>
          <c:idx val="1"/>
          <c:order val="1"/>
          <c:tx>
            <c:strRef>
              <c:f>'Plot Prices_1998forward'!$F$20</c:f>
              <c:strCache>
                <c:ptCount val="1"/>
                <c:pt idx="0">
                  <c:v>N 324</c:v>
                </c:pt>
              </c:strCache>
            </c:strRef>
          </c:tx>
          <c:cat>
            <c:numRef>
              <c:f>'Plot Prices_1998forward'!$G$18:$X$18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Prices_1998forward'!$G$20:$X$20</c:f>
              <c:numCache>
                <c:formatCode>0.00</c:formatCode>
                <c:ptCount val="18"/>
                <c:pt idx="0">
                  <c:v>2.604663258596597</c:v>
                </c:pt>
                <c:pt idx="1">
                  <c:v>2.6646131244474502</c:v>
                </c:pt>
                <c:pt idx="2">
                  <c:v>3.6369498599227059</c:v>
                </c:pt>
                <c:pt idx="3">
                  <c:v>4.1930206291396983</c:v>
                </c:pt>
                <c:pt idx="4">
                  <c:v>3.4873962983728553</c:v>
                </c:pt>
                <c:pt idx="5">
                  <c:v>4.7074316685654747</c:v>
                </c:pt>
                <c:pt idx="6">
                  <c:v>5.1974821054014821</c:v>
                </c:pt>
                <c:pt idx="7">
                  <c:v>6.6049603893319011</c:v>
                </c:pt>
                <c:pt idx="8">
                  <c:v>6.399584900462612</c:v>
                </c:pt>
                <c:pt idx="9">
                  <c:v>6.4764238066260127</c:v>
                </c:pt>
                <c:pt idx="10">
                  <c:v>8.0337376067629194</c:v>
                </c:pt>
                <c:pt idx="11">
                  <c:v>5.1742691490529626</c:v>
                </c:pt>
                <c:pt idx="12">
                  <c:v>4.9465027904033132</c:v>
                </c:pt>
                <c:pt idx="13">
                  <c:v>5.5808195503827536</c:v>
                </c:pt>
                <c:pt idx="14">
                  <c:v>5.4057802562755395</c:v>
                </c:pt>
                <c:pt idx="15">
                  <c:v>6.1446077417289811</c:v>
                </c:pt>
                <c:pt idx="16">
                  <c:v>6.9872628411281585</c:v>
                </c:pt>
                <c:pt idx="17">
                  <c:v>5.7250464035666759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E-403B-BDDC-EE1CD12E6EC1}"/>
            </c:ext>
          </c:extLst>
        </c:ser>
        <c:ser>
          <c:idx val="2"/>
          <c:order val="2"/>
          <c:tx>
            <c:strRef>
              <c:f>'Plot Prices_1998forward'!$F$21</c:f>
              <c:strCache>
                <c:ptCount val="1"/>
                <c:pt idx="0">
                  <c:v>N 325</c:v>
                </c:pt>
              </c:strCache>
            </c:strRef>
          </c:tx>
          <c:cat>
            <c:numRef>
              <c:f>'Plot Prices_1998forward'!$G$18:$X$18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Prices_1998forward'!$G$21:$X$21</c:f>
              <c:numCache>
                <c:formatCode>0.00</c:formatCode>
                <c:ptCount val="18"/>
                <c:pt idx="0">
                  <c:v>2.5221103459932728</c:v>
                </c:pt>
                <c:pt idx="1">
                  <c:v>2.5633112647605847</c:v>
                </c:pt>
                <c:pt idx="2">
                  <c:v>3.4092696559535338</c:v>
                </c:pt>
                <c:pt idx="3">
                  <c:v>3.8706997085325012</c:v>
                </c:pt>
                <c:pt idx="4">
                  <c:v>3.2581750301965524</c:v>
                </c:pt>
                <c:pt idx="5">
                  <c:v>4.559376929969166</c:v>
                </c:pt>
                <c:pt idx="6">
                  <c:v>5.4054402859999886</c:v>
                </c:pt>
                <c:pt idx="7">
                  <c:v>7.1037371387039423</c:v>
                </c:pt>
                <c:pt idx="8">
                  <c:v>7.2735340804859234</c:v>
                </c:pt>
                <c:pt idx="9">
                  <c:v>7.0979577950648682</c:v>
                </c:pt>
                <c:pt idx="10">
                  <c:v>8.4725693052489497</c:v>
                </c:pt>
                <c:pt idx="11">
                  <c:v>5.492592093398426</c:v>
                </c:pt>
                <c:pt idx="12">
                  <c:v>5.1089482401656312</c:v>
                </c:pt>
                <c:pt idx="13">
                  <c:v>5.0759128877009561</c:v>
                </c:pt>
                <c:pt idx="14">
                  <c:v>4.1722102387527453</c:v>
                </c:pt>
                <c:pt idx="15">
                  <c:v>4.4082709092134973</c:v>
                </c:pt>
                <c:pt idx="16">
                  <c:v>4.8560693526810494</c:v>
                </c:pt>
                <c:pt idx="17">
                  <c:v>3.681912158564979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E-403B-BDDC-EE1CD12E6EC1}"/>
            </c:ext>
          </c:extLst>
        </c:ser>
        <c:ser>
          <c:idx val="3"/>
          <c:order val="3"/>
          <c:tx>
            <c:strRef>
              <c:f>'Plot Prices_1998forward'!$F$22</c:f>
              <c:strCache>
                <c:ptCount val="1"/>
                <c:pt idx="0">
                  <c:v>N 326</c:v>
                </c:pt>
              </c:strCache>
            </c:strRef>
          </c:tx>
          <c:cat>
            <c:numRef>
              <c:f>'Plot Prices_1998forward'!$G$18:$X$18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'Plot Prices_1998forward'!$G$22:$X$22</c:f>
              <c:numCache>
                <c:formatCode>0.00</c:formatCode>
                <c:ptCount val="18"/>
                <c:pt idx="0">
                  <c:v>3.6219444444444444</c:v>
                </c:pt>
                <c:pt idx="1">
                  <c:v>3.5513081451285506</c:v>
                </c:pt>
                <c:pt idx="2">
                  <c:v>4.6777340881101805</c:v>
                </c:pt>
                <c:pt idx="3">
                  <c:v>5.4519625803103162</c:v>
                </c:pt>
                <c:pt idx="4">
                  <c:v>4.6640000000000006</c:v>
                </c:pt>
                <c:pt idx="5">
                  <c:v>5.9022765967927207</c:v>
                </c:pt>
                <c:pt idx="6">
                  <c:v>6.8697535107650838</c:v>
                </c:pt>
                <c:pt idx="7">
                  <c:v>8.8797991174556898</c:v>
                </c:pt>
                <c:pt idx="8">
                  <c:v>9.1138961038961028</c:v>
                </c:pt>
                <c:pt idx="9">
                  <c:v>9.1035159680389572</c:v>
                </c:pt>
                <c:pt idx="10">
                  <c:v>10.91981126724205</c:v>
                </c:pt>
                <c:pt idx="11">
                  <c:v>7.6817385991979501</c:v>
                </c:pt>
                <c:pt idx="12">
                  <c:v>6.8835365853658539</c:v>
                </c:pt>
                <c:pt idx="13">
                  <c:v>6.9501071876951679</c:v>
                </c:pt>
                <c:pt idx="14">
                  <c:v>6.0702895111513806</c:v>
                </c:pt>
                <c:pt idx="15">
                  <c:v>6.3632389415828836</c:v>
                </c:pt>
                <c:pt idx="16">
                  <c:v>7.4546447507953362</c:v>
                </c:pt>
                <c:pt idx="17">
                  <c:v>6.1465392506239693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E-403B-BDDC-EE1CD12E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48384"/>
        <c:axId val="160913024"/>
      </c:lineChart>
      <c:catAx>
        <c:axId val="1608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13024"/>
        <c:crosses val="autoZero"/>
        <c:auto val="1"/>
        <c:lblAlgn val="ctr"/>
        <c:lblOffset val="100"/>
        <c:noMultiLvlLbl val="0"/>
      </c:catAx>
      <c:valAx>
        <c:axId val="160913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8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245</xdr:row>
      <xdr:rowOff>57150</xdr:rowOff>
    </xdr:from>
    <xdr:to>
      <xdr:col>24</xdr:col>
      <xdr:colOff>352425</xdr:colOff>
      <xdr:row>267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270</xdr:row>
      <xdr:rowOff>28575</xdr:rowOff>
    </xdr:from>
    <xdr:to>
      <xdr:col>24</xdr:col>
      <xdr:colOff>342900</xdr:colOff>
      <xdr:row>292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295</xdr:row>
      <xdr:rowOff>76200</xdr:rowOff>
    </xdr:from>
    <xdr:to>
      <xdr:col>24</xdr:col>
      <xdr:colOff>400050</xdr:colOff>
      <xdr:row>318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180975</xdr:colOff>
      <xdr:row>320</xdr:row>
      <xdr:rowOff>66675</xdr:rowOff>
    </xdr:from>
    <xdr:to>
      <xdr:col>24</xdr:col>
      <xdr:colOff>390525</xdr:colOff>
      <xdr:row>342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152400</xdr:colOff>
      <xdr:row>345</xdr:row>
      <xdr:rowOff>66675</xdr:rowOff>
    </xdr:from>
    <xdr:to>
      <xdr:col>24</xdr:col>
      <xdr:colOff>361950</xdr:colOff>
      <xdr:row>367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319086</xdr:colOff>
      <xdr:row>364</xdr:row>
      <xdr:rowOff>85725</xdr:rowOff>
    </xdr:from>
    <xdr:to>
      <xdr:col>55</xdr:col>
      <xdr:colOff>200025</xdr:colOff>
      <xdr:row>381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05B54-C5C8-4CED-8728-E8AD288FF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519112</xdr:colOff>
      <xdr:row>6</xdr:row>
      <xdr:rowOff>52387</xdr:rowOff>
    </xdr:from>
    <xdr:to>
      <xdr:col>32</xdr:col>
      <xdr:colOff>214312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528637</xdr:colOff>
      <xdr:row>25</xdr:row>
      <xdr:rowOff>109537</xdr:rowOff>
    </xdr:from>
    <xdr:to>
      <xdr:col>32</xdr:col>
      <xdr:colOff>223837</xdr:colOff>
      <xdr:row>42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528637</xdr:colOff>
      <xdr:row>44</xdr:row>
      <xdr:rowOff>80962</xdr:rowOff>
    </xdr:from>
    <xdr:to>
      <xdr:col>32</xdr:col>
      <xdr:colOff>223837</xdr:colOff>
      <xdr:row>61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528637</xdr:colOff>
      <xdr:row>63</xdr:row>
      <xdr:rowOff>128587</xdr:rowOff>
    </xdr:from>
    <xdr:to>
      <xdr:col>32</xdr:col>
      <xdr:colOff>223837</xdr:colOff>
      <xdr:row>80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557212</xdr:colOff>
      <xdr:row>82</xdr:row>
      <xdr:rowOff>23812</xdr:rowOff>
    </xdr:from>
    <xdr:to>
      <xdr:col>32</xdr:col>
      <xdr:colOff>252412</xdr:colOff>
      <xdr:row>99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519112</xdr:colOff>
      <xdr:row>6</xdr:row>
      <xdr:rowOff>52387</xdr:rowOff>
    </xdr:from>
    <xdr:to>
      <xdr:col>29</xdr:col>
      <xdr:colOff>214312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528637</xdr:colOff>
      <xdr:row>25</xdr:row>
      <xdr:rowOff>109537</xdr:rowOff>
    </xdr:from>
    <xdr:to>
      <xdr:col>29</xdr:col>
      <xdr:colOff>223837</xdr:colOff>
      <xdr:row>42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528637</xdr:colOff>
      <xdr:row>44</xdr:row>
      <xdr:rowOff>80962</xdr:rowOff>
    </xdr:from>
    <xdr:to>
      <xdr:col>29</xdr:col>
      <xdr:colOff>223837</xdr:colOff>
      <xdr:row>61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528637</xdr:colOff>
      <xdr:row>63</xdr:row>
      <xdr:rowOff>128587</xdr:rowOff>
    </xdr:from>
    <xdr:to>
      <xdr:col>29</xdr:col>
      <xdr:colOff>223837</xdr:colOff>
      <xdr:row>80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557212</xdr:colOff>
      <xdr:row>82</xdr:row>
      <xdr:rowOff>23812</xdr:rowOff>
    </xdr:from>
    <xdr:to>
      <xdr:col>29</xdr:col>
      <xdr:colOff>252412</xdr:colOff>
      <xdr:row>99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sidential%20Floor%20Space\AHS\AHS_summary_results_1208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_12\Industrial\Table4.2_02_pnn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_12\Industrial\Table7.2_02_pnn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_12\Industrial\Table7.6_02_pnn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%20-%20Industrial\ASMdata_1007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_12\Industrial\Table4_2_2006_pnn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_12\Industrial\Table7_2_2006_pnn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MyGeekSquadBackup2904/Users/David/Desktop/Old%20computer/Indicators%20-%20Industrial/MECS_Tables/Table7_6_2006_pnn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%20-%20Industrial\MECS_Tables\Table7_6_2010_pnn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_12\Industrial\Table4_2_2010_pnnl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ECS_Tables/Table7_6_2010_pnn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dustrial_indicators_101613b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ASMdata_01022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ECS_Tables/table4_2_2014_pnnl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ECS_Tables/table7_2_2014_pnn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ECS_Tables/table7_6_2014_pnn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wnloads\table3_2_2014_pnnl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uel_Prices_by_Sector/Ind_Residual_Prices_123019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uel_Prices_by_Sector/Ind_Distillate_Prices_123019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uel_Prices_by_Sector/Ind_Gas_Prices_123019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uel_Prices_by_Sector/Ind_LPG_Prices_123119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uel_Prices_by_Sector/Ind_Coal_Prices_1231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d3g086\My%20Documents\OIT\MECS98\98MEC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uel_Prices_by_Sector/Ind_Coke_Prices_01022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uel_Prices_by_Sector/Ind_Other_Prices_01022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MyGeekSquadBackup2904/Users/David/Desktop/Old%20computer/Indicators%20-%20Industrial/MECS_prices_101116b_backup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%20-%20Industrial\Fuel_Prices_by_Sector\Ind_Residual_Prices_101016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%20-%20Industrial\Fuel_Prices_by_Sector\Ind_Distillate_Prices_101016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%20-%20Industrial\Fuel_Prices_by_Sector\Ind_Gas_Prices_10101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%20-%20Industrial\Fuel_Prices_by_Sector\Ind_LPG_Prices_101016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%20-%20Industrial\Fuel_Prices_by_Sector\Ind_Coal_Prices_1011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sidential%20Floor%20Space\starts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_12\Industrial\Table7_2_2010_pnn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%20-%20Industrial\MECS_Tables\Table7_6_2006_pnn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%20-%20Industrial\MECS_Tables\d98n4_2_1998_pnn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_12\Industrial\d98n8_2_pnn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dicators_12\Industrial\d98n1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_tables"/>
      <sheetName val="Final Floorspace Estimates"/>
      <sheetName val="Wgted_Floorspace"/>
      <sheetName val="RECS_intensity_data"/>
      <sheetName val="Stock_85to95"/>
      <sheetName val="Compare_PWT"/>
      <sheetName val="Time_series"/>
      <sheetName val="Survival_curve"/>
      <sheetName val="Survival_curve_MF"/>
      <sheetName val="Survival_curve_MH"/>
      <sheetName val="Total_stock"/>
      <sheetName val="Total_stock_SF"/>
      <sheetName val="Total_stock_MF"/>
      <sheetName val="Total_stock_MH"/>
      <sheetName val="mhstabplcmnt"/>
      <sheetName val="Sheet4"/>
      <sheetName val="Comps Ann"/>
      <sheetName val="SFTotalMedAvgSqFt"/>
      <sheetName val="Compare_size"/>
      <sheetName val="Compare_FS"/>
      <sheetName val="RECS_4_adj"/>
      <sheetName val="Estimate"/>
      <sheetName val="RECS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4.2"/>
    </sheetNames>
    <sheetDataSet>
      <sheetData sheetId="0" refreshError="1">
        <row r="114">
          <cell r="C114">
            <v>1079</v>
          </cell>
          <cell r="D114">
            <v>233</v>
          </cell>
          <cell r="E114">
            <v>13</v>
          </cell>
          <cell r="F114">
            <v>19</v>
          </cell>
          <cell r="G114">
            <v>575</v>
          </cell>
          <cell r="H114">
            <v>5</v>
          </cell>
          <cell r="I114">
            <v>184</v>
          </cell>
          <cell r="J114">
            <v>1</v>
          </cell>
          <cell r="K114">
            <v>50</v>
          </cell>
          <cell r="L114">
            <v>847</v>
          </cell>
          <cell r="M114">
            <v>846</v>
          </cell>
        </row>
        <row r="115">
          <cell r="C115">
            <v>104</v>
          </cell>
          <cell r="D115">
            <v>27</v>
          </cell>
          <cell r="E115">
            <v>2</v>
          </cell>
          <cell r="F115">
            <v>2</v>
          </cell>
          <cell r="G115">
            <v>46</v>
          </cell>
          <cell r="H115">
            <v>1</v>
          </cell>
          <cell r="I115">
            <v>17</v>
          </cell>
          <cell r="J115">
            <v>0</v>
          </cell>
          <cell r="K115">
            <v>9</v>
          </cell>
          <cell r="L115">
            <v>77</v>
          </cell>
          <cell r="M115">
            <v>77</v>
          </cell>
        </row>
        <row r="116">
          <cell r="C116">
            <v>206</v>
          </cell>
          <cell r="D116">
            <v>87</v>
          </cell>
          <cell r="E116">
            <v>4</v>
          </cell>
          <cell r="F116">
            <v>2</v>
          </cell>
          <cell r="G116">
            <v>74</v>
          </cell>
          <cell r="H116">
            <v>2</v>
          </cell>
          <cell r="I116">
            <v>22</v>
          </cell>
          <cell r="J116">
            <v>0</v>
          </cell>
          <cell r="K116">
            <v>15</v>
          </cell>
          <cell r="L116">
            <v>119</v>
          </cell>
          <cell r="M116">
            <v>119</v>
          </cell>
        </row>
        <row r="117">
          <cell r="C117">
            <v>60</v>
          </cell>
          <cell r="D117">
            <v>17</v>
          </cell>
          <cell r="E117">
            <v>2</v>
          </cell>
          <cell r="F117">
            <v>1.3</v>
          </cell>
          <cell r="G117">
            <v>29</v>
          </cell>
          <cell r="H117">
            <v>1</v>
          </cell>
          <cell r="I117">
            <v>9</v>
          </cell>
          <cell r="J117">
            <v>0</v>
          </cell>
          <cell r="K117">
            <v>1</v>
          </cell>
          <cell r="L117">
            <v>43.3</v>
          </cell>
          <cell r="M117">
            <v>43</v>
          </cell>
        </row>
        <row r="118">
          <cell r="C118">
            <v>30</v>
          </cell>
          <cell r="D118">
            <v>12</v>
          </cell>
          <cell r="E118">
            <v>0.3</v>
          </cell>
          <cell r="F118">
            <v>1</v>
          </cell>
          <cell r="G118">
            <v>16</v>
          </cell>
          <cell r="H118">
            <v>0.1</v>
          </cell>
          <cell r="I118">
            <v>0</v>
          </cell>
          <cell r="J118">
            <v>0</v>
          </cell>
          <cell r="K118">
            <v>0.3</v>
          </cell>
          <cell r="L118">
            <v>17.700000000000003</v>
          </cell>
          <cell r="M118">
            <v>18</v>
          </cell>
        </row>
        <row r="119">
          <cell r="C119">
            <v>7</v>
          </cell>
          <cell r="D119">
            <v>2</v>
          </cell>
          <cell r="E119">
            <v>0.1</v>
          </cell>
          <cell r="F119">
            <v>0.4</v>
          </cell>
          <cell r="G119">
            <v>4</v>
          </cell>
          <cell r="H119">
            <v>0.1</v>
          </cell>
          <cell r="I119">
            <v>0</v>
          </cell>
          <cell r="J119">
            <v>0</v>
          </cell>
          <cell r="K119">
            <v>0.4</v>
          </cell>
          <cell r="L119">
            <v>5</v>
          </cell>
          <cell r="M119">
            <v>5</v>
          </cell>
        </row>
        <row r="120">
          <cell r="C120">
            <v>198</v>
          </cell>
          <cell r="D120">
            <v>74</v>
          </cell>
          <cell r="E120">
            <v>1</v>
          </cell>
          <cell r="F120">
            <v>10</v>
          </cell>
          <cell r="G120">
            <v>57</v>
          </cell>
          <cell r="H120">
            <v>5</v>
          </cell>
          <cell r="I120">
            <v>1</v>
          </cell>
          <cell r="J120">
            <v>0</v>
          </cell>
          <cell r="K120">
            <v>50</v>
          </cell>
          <cell r="L120">
            <v>124</v>
          </cell>
          <cell r="M120">
            <v>124</v>
          </cell>
        </row>
        <row r="121">
          <cell r="C121">
            <v>1413</v>
          </cell>
          <cell r="D121">
            <v>245</v>
          </cell>
          <cell r="E121">
            <v>100</v>
          </cell>
          <cell r="F121">
            <v>13</v>
          </cell>
          <cell r="G121">
            <v>504</v>
          </cell>
          <cell r="H121">
            <v>6</v>
          </cell>
          <cell r="I121">
            <v>234</v>
          </cell>
          <cell r="J121">
            <v>4</v>
          </cell>
          <cell r="K121">
            <v>306</v>
          </cell>
          <cell r="L121">
            <v>1167</v>
          </cell>
          <cell r="M121">
            <v>1168</v>
          </cell>
        </row>
        <row r="122">
          <cell r="C122">
            <v>98</v>
          </cell>
          <cell r="D122">
            <v>50</v>
          </cell>
          <cell r="E122">
            <v>0.1</v>
          </cell>
          <cell r="F122">
            <v>0.4</v>
          </cell>
          <cell r="G122">
            <v>46</v>
          </cell>
          <cell r="H122">
            <v>1</v>
          </cell>
          <cell r="I122">
            <v>0</v>
          </cell>
          <cell r="J122">
            <v>0</v>
          </cell>
          <cell r="K122">
            <v>0.5</v>
          </cell>
          <cell r="L122">
            <v>48</v>
          </cell>
          <cell r="M122">
            <v>48</v>
          </cell>
        </row>
        <row r="123">
          <cell r="C123">
            <v>1290</v>
          </cell>
          <cell r="D123">
            <v>141</v>
          </cell>
          <cell r="E123">
            <v>14</v>
          </cell>
          <cell r="F123">
            <v>13</v>
          </cell>
          <cell r="G123">
            <v>878</v>
          </cell>
          <cell r="H123">
            <v>10</v>
          </cell>
          <cell r="I123">
            <v>13</v>
          </cell>
          <cell r="J123">
            <v>0.1</v>
          </cell>
          <cell r="K123">
            <v>222</v>
          </cell>
          <cell r="L123">
            <v>1150.0999999999999</v>
          </cell>
          <cell r="M123">
            <v>1149</v>
          </cell>
        </row>
        <row r="124">
          <cell r="C124">
            <v>3154</v>
          </cell>
          <cell r="D124">
            <v>551</v>
          </cell>
          <cell r="E124">
            <v>43</v>
          </cell>
          <cell r="F124">
            <v>13</v>
          </cell>
          <cell r="G124">
            <v>1674</v>
          </cell>
          <cell r="H124">
            <v>32</v>
          </cell>
          <cell r="I124">
            <v>314</v>
          </cell>
          <cell r="J124">
            <v>1</v>
          </cell>
          <cell r="K124">
            <v>525</v>
          </cell>
          <cell r="L124">
            <v>2602</v>
          </cell>
          <cell r="M124">
            <v>2603</v>
          </cell>
        </row>
        <row r="125">
          <cell r="C125">
            <v>347</v>
          </cell>
          <cell r="D125">
            <v>182</v>
          </cell>
          <cell r="E125">
            <v>7</v>
          </cell>
          <cell r="F125">
            <v>2</v>
          </cell>
          <cell r="G125">
            <v>128</v>
          </cell>
          <cell r="H125">
            <v>3</v>
          </cell>
          <cell r="I125">
            <v>21</v>
          </cell>
          <cell r="J125">
            <v>0</v>
          </cell>
          <cell r="K125">
            <v>4</v>
          </cell>
          <cell r="L125">
            <v>165</v>
          </cell>
          <cell r="M125">
            <v>165</v>
          </cell>
        </row>
        <row r="126">
          <cell r="C126">
            <v>960</v>
          </cell>
          <cell r="D126">
            <v>141</v>
          </cell>
          <cell r="E126">
            <v>3</v>
          </cell>
          <cell r="F126">
            <v>31</v>
          </cell>
          <cell r="G126">
            <v>421</v>
          </cell>
          <cell r="H126">
            <v>3</v>
          </cell>
          <cell r="I126">
            <v>309</v>
          </cell>
          <cell r="J126">
            <v>11</v>
          </cell>
          <cell r="K126">
            <v>40</v>
          </cell>
          <cell r="L126">
            <v>818</v>
          </cell>
          <cell r="M126">
            <v>819</v>
          </cell>
        </row>
        <row r="127">
          <cell r="C127">
            <v>1614</v>
          </cell>
          <cell r="D127">
            <v>500</v>
          </cell>
          <cell r="E127">
            <v>1</v>
          </cell>
          <cell r="F127">
            <v>15</v>
          </cell>
          <cell r="G127">
            <v>669</v>
          </cell>
          <cell r="H127">
            <v>3</v>
          </cell>
          <cell r="I127">
            <v>47</v>
          </cell>
          <cell r="J127">
            <v>340</v>
          </cell>
          <cell r="K127">
            <v>39</v>
          </cell>
          <cell r="L127">
            <v>1114</v>
          </cell>
          <cell r="M127">
            <v>1114</v>
          </cell>
        </row>
        <row r="128">
          <cell r="C128">
            <v>387</v>
          </cell>
          <cell r="D128">
            <v>161</v>
          </cell>
          <cell r="E128">
            <v>1</v>
          </cell>
          <cell r="F128">
            <v>6</v>
          </cell>
          <cell r="G128">
            <v>209</v>
          </cell>
          <cell r="H128">
            <v>3</v>
          </cell>
          <cell r="I128">
            <v>1</v>
          </cell>
          <cell r="J128">
            <v>5</v>
          </cell>
          <cell r="K128">
            <v>2</v>
          </cell>
          <cell r="L128">
            <v>227</v>
          </cell>
          <cell r="M128">
            <v>226</v>
          </cell>
        </row>
        <row r="129">
          <cell r="C129">
            <v>175</v>
          </cell>
          <cell r="D129">
            <v>84</v>
          </cell>
          <cell r="E129">
            <v>0.1</v>
          </cell>
          <cell r="F129">
            <v>2</v>
          </cell>
          <cell r="G129">
            <v>82</v>
          </cell>
          <cell r="H129">
            <v>2</v>
          </cell>
          <cell r="I129">
            <v>1</v>
          </cell>
          <cell r="J129">
            <v>0</v>
          </cell>
          <cell r="K129">
            <v>4</v>
          </cell>
          <cell r="L129">
            <v>91.1</v>
          </cell>
          <cell r="M129">
            <v>91</v>
          </cell>
        </row>
        <row r="130">
          <cell r="C130">
            <v>200</v>
          </cell>
          <cell r="D130">
            <v>131</v>
          </cell>
          <cell r="E130">
            <v>1</v>
          </cell>
          <cell r="F130">
            <v>1</v>
          </cell>
          <cell r="G130">
            <v>65</v>
          </cell>
          <cell r="I130">
            <v>0.1</v>
          </cell>
          <cell r="J130">
            <v>0</v>
          </cell>
          <cell r="K130">
            <v>2</v>
          </cell>
          <cell r="M130">
            <v>69</v>
          </cell>
        </row>
        <row r="131">
          <cell r="C131">
            <v>103</v>
          </cell>
          <cell r="D131">
            <v>47</v>
          </cell>
          <cell r="E131">
            <v>0.1</v>
          </cell>
          <cell r="F131">
            <v>1</v>
          </cell>
          <cell r="G131">
            <v>53</v>
          </cell>
          <cell r="H131">
            <v>1</v>
          </cell>
          <cell r="I131">
            <v>0.1</v>
          </cell>
          <cell r="J131">
            <v>0</v>
          </cell>
          <cell r="K131">
            <v>1</v>
          </cell>
          <cell r="L131">
            <v>56.2</v>
          </cell>
          <cell r="M131">
            <v>56</v>
          </cell>
        </row>
        <row r="132">
          <cell r="C132">
            <v>422</v>
          </cell>
          <cell r="D132">
            <v>173</v>
          </cell>
          <cell r="E132">
            <v>6</v>
          </cell>
          <cell r="F132">
            <v>3</v>
          </cell>
          <cell r="G132">
            <v>203</v>
          </cell>
          <cell r="H132">
            <v>4</v>
          </cell>
          <cell r="I132">
            <v>8</v>
          </cell>
          <cell r="J132">
            <v>0</v>
          </cell>
          <cell r="K132">
            <v>27</v>
          </cell>
          <cell r="L132">
            <v>251</v>
          </cell>
          <cell r="M132">
            <v>249</v>
          </cell>
        </row>
        <row r="133">
          <cell r="C133">
            <v>55</v>
          </cell>
          <cell r="D133">
            <v>24</v>
          </cell>
          <cell r="E133">
            <v>0.5</v>
          </cell>
          <cell r="F133">
            <v>1</v>
          </cell>
          <cell r="G133">
            <v>25</v>
          </cell>
          <cell r="H133">
            <v>1</v>
          </cell>
          <cell r="I133">
            <v>1</v>
          </cell>
          <cell r="J133">
            <v>0</v>
          </cell>
          <cell r="K133">
            <v>2</v>
          </cell>
          <cell r="L133">
            <v>30.5</v>
          </cell>
          <cell r="M133">
            <v>31</v>
          </cell>
        </row>
        <row r="134">
          <cell r="C134">
            <v>71</v>
          </cell>
          <cell r="D134">
            <v>35</v>
          </cell>
          <cell r="E134">
            <v>0.5</v>
          </cell>
          <cell r="F134">
            <v>0.5</v>
          </cell>
          <cell r="G134">
            <v>32</v>
          </cell>
          <cell r="H134">
            <v>1</v>
          </cell>
          <cell r="I134">
            <v>0</v>
          </cell>
          <cell r="J134">
            <v>0</v>
          </cell>
          <cell r="K134">
            <v>2</v>
          </cell>
          <cell r="L134">
            <v>36</v>
          </cell>
          <cell r="M134">
            <v>36</v>
          </cell>
        </row>
        <row r="135">
          <cell r="C135">
            <v>11973</v>
          </cell>
          <cell r="D135">
            <v>2917</v>
          </cell>
          <cell r="E135">
            <v>200</v>
          </cell>
          <cell r="F135">
            <v>138</v>
          </cell>
          <cell r="G135">
            <v>5790</v>
          </cell>
          <cell r="H135">
            <v>84</v>
          </cell>
          <cell r="I135">
            <v>1182</v>
          </cell>
          <cell r="J135">
            <v>362</v>
          </cell>
          <cell r="K135">
            <v>1302</v>
          </cell>
          <cell r="L135">
            <v>9058</v>
          </cell>
          <cell r="M135">
            <v>9056</v>
          </cell>
        </row>
        <row r="136">
          <cell r="C136">
            <v>11973</v>
          </cell>
          <cell r="D136">
            <v>2917</v>
          </cell>
          <cell r="E136">
            <v>199.7</v>
          </cell>
          <cell r="F136">
            <v>137.6</v>
          </cell>
          <cell r="G136">
            <v>5790</v>
          </cell>
          <cell r="H136">
            <v>84.2</v>
          </cell>
          <cell r="I136">
            <v>1182.1999999999998</v>
          </cell>
          <cell r="J136">
            <v>362.1</v>
          </cell>
          <cell r="K136">
            <v>1302.2</v>
          </cell>
          <cell r="L136">
            <v>9058</v>
          </cell>
          <cell r="M136">
            <v>9056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2"/>
    </sheetNames>
    <sheetDataSet>
      <sheetData sheetId="0" refreshError="1">
        <row r="117">
          <cell r="AT117">
            <v>19</v>
          </cell>
          <cell r="AU117">
            <v>7.04</v>
          </cell>
          <cell r="AV117">
            <v>4.29</v>
          </cell>
          <cell r="AW117">
            <v>4.38</v>
          </cell>
          <cell r="AX117">
            <v>8.31</v>
          </cell>
          <cell r="AY117">
            <v>1.46</v>
          </cell>
          <cell r="AZ117">
            <v>5.18</v>
          </cell>
        </row>
        <row r="118">
          <cell r="AT118">
            <v>17.760000000000002</v>
          </cell>
          <cell r="AU118">
            <v>9.75</v>
          </cell>
          <cell r="AV118">
            <v>4.59</v>
          </cell>
          <cell r="AW118">
            <v>4.3899999999999997</v>
          </cell>
          <cell r="AX118">
            <v>9.15</v>
          </cell>
          <cell r="AY118">
            <v>2.3199999999999998</v>
          </cell>
          <cell r="AZ118">
            <v>0</v>
          </cell>
        </row>
        <row r="119">
          <cell r="AT119">
            <v>12.82</v>
          </cell>
          <cell r="AU119">
            <v>6.73</v>
          </cell>
          <cell r="AV119">
            <v>4.8899999999999997</v>
          </cell>
          <cell r="AW119">
            <v>4.6100000000000003</v>
          </cell>
          <cell r="AX119">
            <v>9.35</v>
          </cell>
          <cell r="AY119">
            <v>2.2799999999999998</v>
          </cell>
          <cell r="AZ119">
            <v>0</v>
          </cell>
        </row>
        <row r="120">
          <cell r="AT120">
            <v>15.9</v>
          </cell>
          <cell r="AU120">
            <v>6.73</v>
          </cell>
          <cell r="AV120">
            <v>5</v>
          </cell>
          <cell r="AW120">
            <v>4.46</v>
          </cell>
          <cell r="AX120">
            <v>9.1</v>
          </cell>
          <cell r="AY120">
            <v>2</v>
          </cell>
          <cell r="AZ120">
            <v>0</v>
          </cell>
        </row>
        <row r="121">
          <cell r="AT121">
            <v>19.73</v>
          </cell>
          <cell r="AU121">
            <v>6.74</v>
          </cell>
          <cell r="AV121">
            <v>5</v>
          </cell>
          <cell r="AW121">
            <v>5.2</v>
          </cell>
          <cell r="AX121">
            <v>12.07</v>
          </cell>
          <cell r="AY121">
            <v>0</v>
          </cell>
          <cell r="AZ121">
            <v>0</v>
          </cell>
        </row>
        <row r="122">
          <cell r="AT122">
            <v>20</v>
          </cell>
          <cell r="AU122">
            <v>5.87</v>
          </cell>
          <cell r="AV122">
            <v>3.87</v>
          </cell>
          <cell r="AW122">
            <v>4.57</v>
          </cell>
          <cell r="AX122">
            <v>10.65</v>
          </cell>
          <cell r="AY122">
            <v>0</v>
          </cell>
          <cell r="AZ122">
            <v>0</v>
          </cell>
        </row>
        <row r="123">
          <cell r="AT123">
            <v>16.670000000000002</v>
          </cell>
          <cell r="AU123">
            <v>7.02</v>
          </cell>
          <cell r="AV123">
            <v>4</v>
          </cell>
          <cell r="AW123">
            <v>4.74</v>
          </cell>
          <cell r="AX123">
            <v>8.7100000000000009</v>
          </cell>
          <cell r="AY123">
            <v>2</v>
          </cell>
          <cell r="AZ123">
            <v>5</v>
          </cell>
        </row>
        <row r="124">
          <cell r="AT124">
            <v>13</v>
          </cell>
          <cell r="AU124">
            <v>5.13</v>
          </cell>
          <cell r="AV124">
            <v>3.71</v>
          </cell>
          <cell r="AW124">
            <v>4.1500000000000004</v>
          </cell>
          <cell r="AX124">
            <v>8.9700000000000006</v>
          </cell>
          <cell r="AY124">
            <v>1.97</v>
          </cell>
          <cell r="AZ124">
            <v>5</v>
          </cell>
        </row>
        <row r="125">
          <cell r="AT125">
            <v>19.57</v>
          </cell>
          <cell r="AU125">
            <v>6.28</v>
          </cell>
          <cell r="AV125">
            <v>5</v>
          </cell>
          <cell r="AW125">
            <v>4.9800000000000004</v>
          </cell>
          <cell r="AX125">
            <v>11.68</v>
          </cell>
          <cell r="AY125">
            <v>2</v>
          </cell>
          <cell r="AZ125">
            <v>0</v>
          </cell>
        </row>
        <row r="126">
          <cell r="AT126">
            <v>13.23</v>
          </cell>
          <cell r="AU126">
            <v>6.08</v>
          </cell>
          <cell r="AV126">
            <v>3.23</v>
          </cell>
          <cell r="AW126">
            <v>3.42</v>
          </cell>
          <cell r="AX126">
            <v>6.68</v>
          </cell>
          <cell r="AY126">
            <v>2</v>
          </cell>
          <cell r="AZ126">
            <v>5</v>
          </cell>
        </row>
        <row r="127">
          <cell r="AT127">
            <v>11.67</v>
          </cell>
          <cell r="AU127">
            <v>6.1</v>
          </cell>
          <cell r="AV127">
            <v>3.64</v>
          </cell>
          <cell r="AW127">
            <v>3.37</v>
          </cell>
          <cell r="AX127">
            <v>5.77</v>
          </cell>
          <cell r="AY127">
            <v>1.99</v>
          </cell>
          <cell r="AZ127">
            <v>5</v>
          </cell>
        </row>
        <row r="128">
          <cell r="AT128">
            <v>16.54</v>
          </cell>
          <cell r="AU128">
            <v>6.66</v>
          </cell>
          <cell r="AV128">
            <v>3.86</v>
          </cell>
          <cell r="AW128">
            <v>4.9800000000000004</v>
          </cell>
          <cell r="AX128">
            <v>11.26</v>
          </cell>
          <cell r="AY128">
            <v>2</v>
          </cell>
          <cell r="AZ128">
            <v>0</v>
          </cell>
        </row>
        <row r="129">
          <cell r="AT129">
            <v>14.84</v>
          </cell>
          <cell r="AU129">
            <v>7.5</v>
          </cell>
          <cell r="AV129">
            <v>3.99</v>
          </cell>
          <cell r="AW129">
            <v>4.2</v>
          </cell>
          <cell r="AX129">
            <v>10.210000000000001</v>
          </cell>
          <cell r="AY129">
            <v>1.75</v>
          </cell>
          <cell r="AZ129">
            <v>1.96</v>
          </cell>
        </row>
        <row r="130">
          <cell r="AT130">
            <v>9.75</v>
          </cell>
          <cell r="AU130">
            <v>4.7300000000000004</v>
          </cell>
          <cell r="AV130">
            <v>4.25</v>
          </cell>
          <cell r="AW130">
            <v>4.08</v>
          </cell>
          <cell r="AX130">
            <v>8.98</v>
          </cell>
          <cell r="AY130">
            <v>1.95</v>
          </cell>
          <cell r="AZ130">
            <v>4.66</v>
          </cell>
        </row>
        <row r="131">
          <cell r="AT131">
            <v>17.8</v>
          </cell>
          <cell r="AU131">
            <v>6.77</v>
          </cell>
          <cell r="AV131">
            <v>4.25</v>
          </cell>
          <cell r="AW131">
            <v>4.92</v>
          </cell>
          <cell r="AX131">
            <v>12.66</v>
          </cell>
          <cell r="AY131">
            <v>5.03</v>
          </cell>
          <cell r="AZ131">
            <v>4.5</v>
          </cell>
        </row>
        <row r="132">
          <cell r="AT132">
            <v>17.87</v>
          </cell>
          <cell r="AU132">
            <v>8.69</v>
          </cell>
          <cell r="AV132">
            <v>4.1500000000000004</v>
          </cell>
          <cell r="AW132">
            <v>5.28</v>
          </cell>
          <cell r="AX132">
            <v>10.7</v>
          </cell>
          <cell r="AY132">
            <v>1.49</v>
          </cell>
          <cell r="AZ132">
            <v>0</v>
          </cell>
        </row>
        <row r="133">
          <cell r="AT133">
            <v>18.47</v>
          </cell>
          <cell r="AU133">
            <v>6.88</v>
          </cell>
          <cell r="AV133">
            <v>4.97</v>
          </cell>
          <cell r="AW133">
            <v>5.47</v>
          </cell>
          <cell r="AX133">
            <v>9.4700000000000006</v>
          </cell>
          <cell r="AY133">
            <v>3.11</v>
          </cell>
          <cell r="AZ133">
            <v>0</v>
          </cell>
        </row>
        <row r="134">
          <cell r="AT134">
            <v>18</v>
          </cell>
          <cell r="AU134">
            <v>6.73</v>
          </cell>
          <cell r="AV134">
            <v>4.5999999999999996</v>
          </cell>
          <cell r="AW134">
            <v>4.9000000000000004</v>
          </cell>
          <cell r="AX134">
            <v>10.87</v>
          </cell>
          <cell r="AY134">
            <v>33.57</v>
          </cell>
          <cell r="AZ134">
            <v>0</v>
          </cell>
        </row>
        <row r="135">
          <cell r="AT135">
            <v>18</v>
          </cell>
          <cell r="AU135">
            <v>7.73</v>
          </cell>
          <cell r="AV135">
            <v>4.24</v>
          </cell>
          <cell r="AW135">
            <v>4.26</v>
          </cell>
          <cell r="AX135">
            <v>9.44</v>
          </cell>
          <cell r="AY135">
            <v>2.2599999999999998</v>
          </cell>
          <cell r="AZ135">
            <v>4.5</v>
          </cell>
        </row>
        <row r="136">
          <cell r="AT136">
            <v>20.48</v>
          </cell>
          <cell r="AU136">
            <v>8.2200000000000006</v>
          </cell>
          <cell r="AV136">
            <v>4</v>
          </cell>
          <cell r="AW136">
            <v>5.15</v>
          </cell>
          <cell r="AX136">
            <v>10.220000000000001</v>
          </cell>
          <cell r="AY136">
            <v>2.6</v>
          </cell>
          <cell r="AZ136">
            <v>0</v>
          </cell>
        </row>
        <row r="137">
          <cell r="AT137">
            <v>20.89</v>
          </cell>
          <cell r="AU137">
            <v>7.07</v>
          </cell>
          <cell r="AV137">
            <v>4</v>
          </cell>
          <cell r="AW137">
            <v>5.07</v>
          </cell>
          <cell r="AX137">
            <v>12.17</v>
          </cell>
          <cell r="AY137">
            <v>0</v>
          </cell>
          <cell r="AZ137">
            <v>0</v>
          </cell>
        </row>
        <row r="138">
          <cell r="AT138">
            <v>14.13</v>
          </cell>
          <cell r="AU138">
            <v>6.56</v>
          </cell>
          <cell r="AV138">
            <v>3.78</v>
          </cell>
          <cell r="AW138">
            <v>3.9</v>
          </cell>
          <cell r="AX138">
            <v>5.84</v>
          </cell>
          <cell r="AY138">
            <v>1.87</v>
          </cell>
          <cell r="AZ138">
            <v>4.58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6"/>
    </sheetNames>
    <sheetDataSet>
      <sheetData sheetId="0" refreshError="1">
        <row r="89">
          <cell r="O89">
            <v>4.375</v>
          </cell>
        </row>
        <row r="90">
          <cell r="O90">
            <v>2.7777777777777777</v>
          </cell>
        </row>
        <row r="91">
          <cell r="O91">
            <v>3.3888888888888888</v>
          </cell>
        </row>
        <row r="92">
          <cell r="O92">
            <v>3.3</v>
          </cell>
        </row>
        <row r="93">
          <cell r="O93">
            <v>3.3</v>
          </cell>
        </row>
        <row r="94">
          <cell r="O94">
            <v>3.3</v>
          </cell>
        </row>
        <row r="95">
          <cell r="O95">
            <v>1.3491271820448878</v>
          </cell>
        </row>
        <row r="96">
          <cell r="O96">
            <v>2.6971153846153846</v>
          </cell>
        </row>
        <row r="97">
          <cell r="O97">
            <v>2.5</v>
          </cell>
        </row>
        <row r="98">
          <cell r="O98">
            <v>3.5632183908045976</v>
          </cell>
        </row>
        <row r="99">
          <cell r="O99">
            <v>3.4020408163265308</v>
          </cell>
        </row>
        <row r="100">
          <cell r="O100">
            <v>4</v>
          </cell>
        </row>
        <row r="101">
          <cell r="O101">
            <v>1.288</v>
          </cell>
        </row>
        <row r="102">
          <cell r="O102">
            <v>2.0393258426966292</v>
          </cell>
        </row>
        <row r="103">
          <cell r="O103">
            <v>15.333333333333334</v>
          </cell>
        </row>
        <row r="104">
          <cell r="O104">
            <v>7.4</v>
          </cell>
        </row>
        <row r="105">
          <cell r="O105">
            <v>0.42201834862385323</v>
          </cell>
        </row>
        <row r="106">
          <cell r="O106">
            <v>2.5</v>
          </cell>
        </row>
        <row r="107">
          <cell r="O107">
            <v>3.5161290322580645</v>
          </cell>
        </row>
        <row r="108">
          <cell r="O108">
            <v>2</v>
          </cell>
        </row>
        <row r="109">
          <cell r="O109">
            <v>0</v>
          </cell>
        </row>
        <row r="110">
          <cell r="O110">
            <v>2.4974874371859297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Few Notes"/>
      <sheetName val="ASM_DB"/>
      <sheetName val="ELECTRICITY"/>
      <sheetName val="PURCHASED FUEL"/>
      <sheetName val="Distillate"/>
      <sheetName val="Resid"/>
      <sheetName val="Prices"/>
      <sheetName val="AER_11_Table3.4"/>
      <sheetName val="3DNAICS"/>
      <sheetName val="Original_MECS (110910)"/>
      <sheetName val="Pivot_table-(not used)"/>
      <sheetName val="Quantity_shares"/>
      <sheetName val="Quantity_shares_revised"/>
      <sheetName val="Expenditure_ratios"/>
      <sheetName val="Expenditure_ratios_revised"/>
      <sheetName val="Expend_ratios_revised_1985-97"/>
      <sheetName val="Final_quant._fuel_w_ASM"/>
      <sheetName val="Final_quantities_w_ASM_85"/>
      <sheetName val="Final_quantities"/>
      <sheetName val="BTUCharts10.28.10"/>
      <sheetName val="BTU charts"/>
      <sheetName val="Chart5"/>
      <sheetName val="Chart6"/>
      <sheetName val="Asmt4"/>
      <sheetName val="Chart7"/>
      <sheetName val="Chart8"/>
      <sheetName val="Lookups"/>
      <sheetName val="3Digit"/>
      <sheetName val="313&amp;314"/>
      <sheetName val="334fix"/>
      <sheetName val="336fix"/>
      <sheetName val="339fix"/>
      <sheetName val="AERTable6.8"/>
      <sheetName val="Chart9"/>
      <sheetName val="Chart10"/>
      <sheetName val="Chart11"/>
      <sheetName val="Chart12"/>
      <sheetName val="Chart13"/>
      <sheetName val="Chart14"/>
      <sheetName val="Chart15"/>
      <sheetName val="Chart16"/>
      <sheetName val="Chart17"/>
      <sheetName val="Chart18"/>
      <sheetName val="Chart19"/>
      <sheetName val="Chart20"/>
      <sheetName val="Chart21"/>
      <sheetName val="Chart22"/>
      <sheetName val="Shares"/>
      <sheetName val="Chart4"/>
      <sheetName val="Sheet2"/>
      <sheetName val="Example_calc"/>
      <sheetName val="Expenditure_ratios_revised_1985"/>
      <sheetName val="Final_quantities_fuel_w_A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2">
          <cell r="AX172">
            <v>5548</v>
          </cell>
        </row>
        <row r="173">
          <cell r="AX173">
            <v>102</v>
          </cell>
        </row>
        <row r="174">
          <cell r="AX174">
            <v>2102</v>
          </cell>
        </row>
        <row r="175">
          <cell r="AX175"/>
        </row>
        <row r="176">
          <cell r="AX176">
            <v>685</v>
          </cell>
        </row>
        <row r="177">
          <cell r="AX177">
            <v>1674</v>
          </cell>
        </row>
        <row r="178">
          <cell r="AX178">
            <v>6058</v>
          </cell>
        </row>
        <row r="179">
          <cell r="AX179">
            <v>1394</v>
          </cell>
        </row>
        <row r="180">
          <cell r="AX180">
            <v>18007</v>
          </cell>
        </row>
        <row r="181">
          <cell r="AX181">
            <v>3720</v>
          </cell>
        </row>
        <row r="182">
          <cell r="AX182">
            <v>2874</v>
          </cell>
        </row>
        <row r="183">
          <cell r="AX183">
            <v>3630</v>
          </cell>
        </row>
        <row r="184">
          <cell r="AX184">
            <v>10748</v>
          </cell>
        </row>
        <row r="185">
          <cell r="AX185">
            <v>3068</v>
          </cell>
        </row>
        <row r="186">
          <cell r="AX186">
            <v>2468</v>
          </cell>
        </row>
        <row r="187">
          <cell r="AX187">
            <v>1017</v>
          </cell>
        </row>
        <row r="188">
          <cell r="AX188">
            <v>2296</v>
          </cell>
        </row>
        <row r="189">
          <cell r="AX189">
            <v>2729</v>
          </cell>
        </row>
        <row r="190">
          <cell r="AX190">
            <v>543</v>
          </cell>
        </row>
        <row r="191">
          <cell r="AX191">
            <v>436</v>
          </cell>
        </row>
        <row r="234">
          <cell r="J234">
            <v>2420533</v>
          </cell>
        </row>
        <row r="235">
          <cell r="J235">
            <v>233704</v>
          </cell>
        </row>
        <row r="236">
          <cell r="J236">
            <v>545069</v>
          </cell>
        </row>
        <row r="237">
          <cell r="J237">
            <v>150941</v>
          </cell>
        </row>
        <row r="238">
          <cell r="J238">
            <v>191391</v>
          </cell>
        </row>
        <row r="239">
          <cell r="J239">
            <v>27704</v>
          </cell>
        </row>
        <row r="240">
          <cell r="J240">
            <v>418306</v>
          </cell>
        </row>
        <row r="241">
          <cell r="J241">
            <v>3019126</v>
          </cell>
        </row>
        <row r="242">
          <cell r="J242">
            <v>262690</v>
          </cell>
        </row>
        <row r="243">
          <cell r="J243">
            <v>2912467</v>
          </cell>
        </row>
        <row r="244">
          <cell r="J244">
            <v>5595239</v>
          </cell>
        </row>
        <row r="245">
          <cell r="J245">
            <v>579622</v>
          </cell>
        </row>
        <row r="246">
          <cell r="J246">
            <v>2225962</v>
          </cell>
        </row>
        <row r="247">
          <cell r="J247">
            <v>3171162</v>
          </cell>
        </row>
        <row r="248">
          <cell r="J248">
            <v>1175977</v>
          </cell>
        </row>
        <row r="249">
          <cell r="J249">
            <v>489940</v>
          </cell>
        </row>
        <row r="250">
          <cell r="J250">
            <v>371766</v>
          </cell>
        </row>
        <row r="251">
          <cell r="J251">
            <v>236857</v>
          </cell>
        </row>
        <row r="252">
          <cell r="J252">
            <v>941227</v>
          </cell>
        </row>
        <row r="253">
          <cell r="J253">
            <v>164573</v>
          </cell>
        </row>
        <row r="254">
          <cell r="J254">
            <v>183887</v>
          </cell>
        </row>
        <row r="318">
          <cell r="AX318">
            <v>3240</v>
          </cell>
        </row>
        <row r="319">
          <cell r="AX319">
            <v>301</v>
          </cell>
        </row>
        <row r="320">
          <cell r="AX320">
            <v>506</v>
          </cell>
        </row>
        <row r="321">
          <cell r="AX321">
            <v>174</v>
          </cell>
        </row>
        <row r="322">
          <cell r="AX322">
            <v>97</v>
          </cell>
        </row>
        <row r="323">
          <cell r="AX323">
            <v>23</v>
          </cell>
        </row>
        <row r="324">
          <cell r="AX324">
            <v>950</v>
          </cell>
        </row>
        <row r="325">
          <cell r="AX325">
            <v>4177</v>
          </cell>
        </row>
        <row r="326">
          <cell r="AX326">
            <v>247</v>
          </cell>
        </row>
        <row r="327">
          <cell r="AX327">
            <v>4757</v>
          </cell>
        </row>
        <row r="328">
          <cell r="AX328">
            <v>25633</v>
          </cell>
        </row>
        <row r="329">
          <cell r="AX329">
            <v>816</v>
          </cell>
        </row>
        <row r="330">
          <cell r="AX330">
            <v>2809</v>
          </cell>
        </row>
        <row r="331">
          <cell r="AX331">
            <v>5970</v>
          </cell>
        </row>
        <row r="332">
          <cell r="AX332">
            <v>1188</v>
          </cell>
        </row>
        <row r="333">
          <cell r="AX333">
            <v>522</v>
          </cell>
        </row>
        <row r="334">
          <cell r="AX334">
            <v>418</v>
          </cell>
        </row>
        <row r="335">
          <cell r="AX335">
            <v>409</v>
          </cell>
        </row>
        <row r="336">
          <cell r="AX336">
            <v>1092</v>
          </cell>
        </row>
        <row r="337">
          <cell r="AX337">
            <v>156</v>
          </cell>
        </row>
        <row r="338">
          <cell r="AX338">
            <v>198</v>
          </cell>
        </row>
        <row r="402">
          <cell r="AX402">
            <v>5673</v>
          </cell>
        </row>
        <row r="403">
          <cell r="AX403">
            <v>540</v>
          </cell>
        </row>
        <row r="404">
          <cell r="AX404">
            <v>787</v>
          </cell>
        </row>
        <row r="405">
          <cell r="AX405">
            <v>470</v>
          </cell>
        </row>
        <row r="406">
          <cell r="AX406">
            <v>71</v>
          </cell>
        </row>
        <row r="407">
          <cell r="AX407">
            <v>17</v>
          </cell>
        </row>
        <row r="408">
          <cell r="AX408">
            <v>1177</v>
          </cell>
        </row>
        <row r="409">
          <cell r="AX409">
            <v>6345</v>
          </cell>
        </row>
        <row r="410">
          <cell r="AX410">
            <v>342</v>
          </cell>
        </row>
        <row r="411">
          <cell r="AX411">
            <v>8466</v>
          </cell>
        </row>
        <row r="412">
          <cell r="AX412">
            <v>39616</v>
          </cell>
        </row>
        <row r="413">
          <cell r="AX413">
            <v>1402</v>
          </cell>
        </row>
        <row r="414">
          <cell r="AX414">
            <v>5610</v>
          </cell>
        </row>
        <row r="415">
          <cell r="AX415">
            <v>9210</v>
          </cell>
        </row>
        <row r="416">
          <cell r="AX416">
            <v>2362</v>
          </cell>
        </row>
        <row r="417">
          <cell r="AX417">
            <v>1157</v>
          </cell>
        </row>
        <row r="418">
          <cell r="AX418">
            <v>450</v>
          </cell>
        </row>
        <row r="419">
          <cell r="AX419">
            <v>517</v>
          </cell>
        </row>
        <row r="420">
          <cell r="AX420">
            <v>2040</v>
          </cell>
        </row>
        <row r="421">
          <cell r="AX421">
            <v>223</v>
          </cell>
        </row>
        <row r="422">
          <cell r="AX422">
            <v>266</v>
          </cell>
        </row>
        <row r="486">
          <cell r="AX486">
            <v>4783</v>
          </cell>
        </row>
        <row r="487">
          <cell r="AX487">
            <v>380</v>
          </cell>
        </row>
        <row r="488">
          <cell r="AX488">
            <v>351</v>
          </cell>
        </row>
        <row r="489">
          <cell r="AX489">
            <v>81</v>
          </cell>
        </row>
        <row r="490">
          <cell r="AX490">
            <v>25</v>
          </cell>
        </row>
        <row r="491">
          <cell r="AX491">
            <v>9</v>
          </cell>
        </row>
        <row r="492">
          <cell r="AX492">
            <v>767</v>
          </cell>
        </row>
        <row r="493">
          <cell r="AX493">
            <v>4523</v>
          </cell>
        </row>
        <row r="494">
          <cell r="AX494">
            <v>276</v>
          </cell>
        </row>
        <row r="495">
          <cell r="AX495">
            <v>7694</v>
          </cell>
        </row>
        <row r="496">
          <cell r="AX496">
            <v>40247</v>
          </cell>
        </row>
        <row r="497">
          <cell r="AX497">
            <v>830</v>
          </cell>
        </row>
        <row r="498">
          <cell r="AX498">
            <v>2999</v>
          </cell>
        </row>
        <row r="499">
          <cell r="AX499">
            <v>8620</v>
          </cell>
        </row>
        <row r="500">
          <cell r="AX500">
            <v>1318</v>
          </cell>
        </row>
        <row r="501">
          <cell r="AX501">
            <v>644</v>
          </cell>
        </row>
        <row r="502">
          <cell r="AX502">
            <v>312</v>
          </cell>
        </row>
        <row r="503">
          <cell r="AX503">
            <v>461</v>
          </cell>
        </row>
        <row r="504">
          <cell r="AX504">
            <v>1097</v>
          </cell>
        </row>
        <row r="505">
          <cell r="AX505">
            <v>142</v>
          </cell>
        </row>
        <row r="506">
          <cell r="AX506">
            <v>162</v>
          </cell>
        </row>
      </sheetData>
      <sheetData sheetId="9"/>
      <sheetData sheetId="10"/>
      <sheetData sheetId="11">
        <row r="235">
          <cell r="BB235">
            <v>1998</v>
          </cell>
          <cell r="BC235" t="str">
            <v>311</v>
          </cell>
          <cell r="BD235">
            <v>0.68351383874849581</v>
          </cell>
          <cell r="BE235">
            <v>3.6101083032490974E-2</v>
          </cell>
          <cell r="BF235">
            <v>0.1552346570397112</v>
          </cell>
          <cell r="BG235">
            <v>0.12515042117930206</v>
          </cell>
        </row>
        <row r="236">
          <cell r="BB236">
            <v>1998</v>
          </cell>
          <cell r="BC236" t="str">
            <v>312</v>
          </cell>
          <cell r="BD236">
            <v>0.54216867469879515</v>
          </cell>
          <cell r="BE236">
            <v>4.8192771084337352E-2</v>
          </cell>
          <cell r="BF236">
            <v>0.3493975903614458</v>
          </cell>
          <cell r="BG236">
            <v>6.0240963855421686E-2</v>
          </cell>
        </row>
        <row r="237">
          <cell r="BB237">
            <v>1998</v>
          </cell>
          <cell r="BC237" t="str">
            <v>313</v>
          </cell>
          <cell r="BD237">
            <v>0.67320261437908502</v>
          </cell>
          <cell r="BE237">
            <v>0.10457516339869281</v>
          </cell>
          <cell r="BF237">
            <v>0.13071895424836602</v>
          </cell>
          <cell r="BG237">
            <v>9.1503267973856203E-2</v>
          </cell>
        </row>
        <row r="238">
          <cell r="BB238">
            <v>1998</v>
          </cell>
          <cell r="BC238" t="str">
            <v>314</v>
          </cell>
          <cell r="BD238">
            <v>0.84126888726289495</v>
          </cell>
          <cell r="BE238">
            <v>2.2675873248157855E-2</v>
          </cell>
          <cell r="BF238">
            <v>0.12093799065684188</v>
          </cell>
          <cell r="BG238">
            <v>1.5117248832105235E-2</v>
          </cell>
        </row>
        <row r="239">
          <cell r="BB239">
            <v>1998</v>
          </cell>
          <cell r="BC239" t="str">
            <v>315</v>
          </cell>
          <cell r="BD239">
            <v>0.71875</v>
          </cell>
          <cell r="BE239">
            <v>9.375E-2</v>
          </cell>
          <cell r="BF239">
            <v>3.125E-2</v>
          </cell>
          <cell r="BG239">
            <v>0.15625</v>
          </cell>
        </row>
        <row r="240">
          <cell r="BB240">
            <v>1998</v>
          </cell>
          <cell r="BC240" t="str">
            <v>316</v>
          </cell>
          <cell r="BD240">
            <v>0.79999999999999849</v>
          </cell>
          <cell r="BE240">
            <v>9.9999999999999811E-2</v>
          </cell>
          <cell r="BF240">
            <v>1.9999999999999962E-15</v>
          </cell>
          <cell r="BG240">
            <v>9.9999999999999811E-2</v>
          </cell>
        </row>
        <row r="241">
          <cell r="BB241">
            <v>1998</v>
          </cell>
          <cell r="BC241" t="str">
            <v>321</v>
          </cell>
          <cell r="BD241">
            <v>0.16743119266055045</v>
          </cell>
          <cell r="BE241">
            <v>3.2110091743119268E-2</v>
          </cell>
          <cell r="BF241">
            <v>4.5871559633027525E-3</v>
          </cell>
          <cell r="BG241">
            <v>0.79587155963302747</v>
          </cell>
        </row>
        <row r="242">
          <cell r="BB242">
            <v>1998</v>
          </cell>
          <cell r="BC242" t="str">
            <v>322</v>
          </cell>
          <cell r="BD242">
            <v>0.2338387869114126</v>
          </cell>
          <cell r="BE242">
            <v>6.3846767757382281E-2</v>
          </cell>
          <cell r="BF242">
            <v>0.11053471667996807</v>
          </cell>
          <cell r="BG242">
            <v>0.59177972865123707</v>
          </cell>
        </row>
        <row r="243">
          <cell r="BB243">
            <v>1998</v>
          </cell>
          <cell r="BC243" t="str">
            <v>323</v>
          </cell>
          <cell r="BD243">
            <v>0.92146596858638741</v>
          </cell>
          <cell r="BE243">
            <v>1.0471204188481676E-2</v>
          </cell>
          <cell r="BF243">
            <v>5.235602094240838E-3</v>
          </cell>
          <cell r="BG243">
            <v>6.2827225130890049E-2</v>
          </cell>
        </row>
        <row r="244">
          <cell r="BB244">
            <v>1998</v>
          </cell>
          <cell r="BC244" t="str">
            <v>324</v>
          </cell>
          <cell r="BD244">
            <v>0.28689458689458691</v>
          </cell>
          <cell r="BE244">
            <v>2.8490028490028491E-2</v>
          </cell>
          <cell r="BF244">
            <v>3.4188034188034188E-3</v>
          </cell>
          <cell r="BG244">
            <v>0.68119658119658122</v>
          </cell>
        </row>
        <row r="245">
          <cell r="BB245">
            <v>1998</v>
          </cell>
          <cell r="BC245" t="str">
            <v>325</v>
          </cell>
          <cell r="BD245">
            <v>0.70194690265486726</v>
          </cell>
          <cell r="BE245">
            <v>1.7345132743362832E-2</v>
          </cell>
          <cell r="BF245">
            <v>0.10053097345132743</v>
          </cell>
          <cell r="BG245">
            <v>0.18017699115044247</v>
          </cell>
        </row>
        <row r="246">
          <cell r="BB246">
            <v>1998</v>
          </cell>
          <cell r="BC246" t="str">
            <v>326</v>
          </cell>
          <cell r="BD246">
            <v>0.86896551724137927</v>
          </cell>
          <cell r="BE246">
            <v>4.1379310344827586E-2</v>
          </cell>
          <cell r="BF246">
            <v>2.0689655172413793E-2</v>
          </cell>
          <cell r="BG246">
            <v>6.8965517241379309E-2</v>
          </cell>
        </row>
        <row r="247">
          <cell r="BB247">
            <v>1998</v>
          </cell>
          <cell r="BC247" t="str">
            <v>327</v>
          </cell>
          <cell r="BD247">
            <v>0.52544378698224847</v>
          </cell>
          <cell r="BE247">
            <v>2.4852071005917159E-2</v>
          </cell>
          <cell r="BF247">
            <v>0.336094674556213</v>
          </cell>
          <cell r="BG247">
            <v>0.1136094674556213</v>
          </cell>
        </row>
        <row r="248">
          <cell r="BB248">
            <v>1998</v>
          </cell>
          <cell r="BC248" t="str">
            <v>331</v>
          </cell>
          <cell r="BD248">
            <v>0.42474916387959866</v>
          </cell>
          <cell r="BE248">
            <v>1.6832565971649234E-2</v>
          </cell>
          <cell r="BF248">
            <v>0.34161490683229812</v>
          </cell>
          <cell r="BG248">
            <v>0.216803363316454</v>
          </cell>
        </row>
        <row r="249">
          <cell r="BB249">
            <v>1998</v>
          </cell>
          <cell r="BC249" t="str">
            <v>332</v>
          </cell>
          <cell r="BD249">
            <v>0.8925925925925926</v>
          </cell>
          <cell r="BE249">
            <v>2.9629629629629631E-2</v>
          </cell>
          <cell r="BF249">
            <v>1.1111111111111112E-2</v>
          </cell>
          <cell r="BG249">
            <v>6.6666666666666666E-2</v>
          </cell>
        </row>
        <row r="250">
          <cell r="BB250">
            <v>1998</v>
          </cell>
          <cell r="BC250" t="str">
            <v>333</v>
          </cell>
          <cell r="BD250">
            <v>0.83193277310924374</v>
          </cell>
          <cell r="BE250">
            <v>3.3613445378151259E-2</v>
          </cell>
          <cell r="BF250">
            <v>5.0420168067226892E-2</v>
          </cell>
          <cell r="BG250">
            <v>8.4033613445378158E-2</v>
          </cell>
        </row>
        <row r="251">
          <cell r="BB251">
            <v>1998</v>
          </cell>
          <cell r="BC251" t="str">
            <v>334</v>
          </cell>
          <cell r="BD251">
            <v>0.94814814814814818</v>
          </cell>
          <cell r="BE251">
            <v>2.9629629629629631E-2</v>
          </cell>
          <cell r="BF251">
            <v>3.7037037037037038E-3</v>
          </cell>
          <cell r="BG251">
            <v>1.8518518518518517E-2</v>
          </cell>
        </row>
        <row r="252">
          <cell r="BB252">
            <v>1998</v>
          </cell>
          <cell r="BC252" t="str">
            <v>335</v>
          </cell>
          <cell r="BD252">
            <v>0.60056657223796039</v>
          </cell>
          <cell r="BE252">
            <v>2.2662889518413599E-2</v>
          </cell>
          <cell r="BF252">
            <v>1.1331444759206799E-2</v>
          </cell>
          <cell r="BG252">
            <v>0.36543909348441928</v>
          </cell>
        </row>
        <row r="253">
          <cell r="BB253">
            <v>1998</v>
          </cell>
          <cell r="BC253" t="str">
            <v>336</v>
          </cell>
          <cell r="BD253">
            <v>0.71380471380471378</v>
          </cell>
          <cell r="BE253">
            <v>6.7340067340067339E-2</v>
          </cell>
          <cell r="BF253">
            <v>9.7643097643097643E-2</v>
          </cell>
          <cell r="BG253">
            <v>0.12121212121212122</v>
          </cell>
        </row>
        <row r="254">
          <cell r="BB254">
            <v>1998</v>
          </cell>
          <cell r="BC254" t="str">
            <v>337</v>
          </cell>
          <cell r="BD254">
            <v>0.45569620253164556</v>
          </cell>
          <cell r="BE254">
            <v>2.1097046413502109E-2</v>
          </cell>
          <cell r="BF254">
            <v>3.3755274261603373E-2</v>
          </cell>
          <cell r="BG254">
            <v>0.48945147679324896</v>
          </cell>
        </row>
        <row r="255">
          <cell r="BB255">
            <v>1998</v>
          </cell>
          <cell r="BC255" t="str">
            <v>339</v>
          </cell>
          <cell r="BD255">
            <v>0.82901554404145072</v>
          </cell>
          <cell r="BE255">
            <v>6.2176165803108807E-2</v>
          </cell>
          <cell r="BF255">
            <v>5.1813471502590676E-3</v>
          </cell>
          <cell r="BG255">
            <v>0.10362694300518134</v>
          </cell>
        </row>
        <row r="256">
          <cell r="BB256">
            <v>1999</v>
          </cell>
          <cell r="BC256" t="str">
            <v>311</v>
          </cell>
          <cell r="BD256">
            <v>0.67488142872277135</v>
          </cell>
          <cell r="BE256">
            <v>3.6105157646828728E-2</v>
          </cell>
          <cell r="BF256">
            <v>0.16834472867143127</v>
          </cell>
          <cell r="BG256">
            <v>0.12066868495896864</v>
          </cell>
        </row>
        <row r="257">
          <cell r="BB257">
            <v>1999</v>
          </cell>
          <cell r="BC257" t="str">
            <v>312</v>
          </cell>
          <cell r="BD257">
            <v>0.5540624034599938</v>
          </cell>
          <cell r="BE257">
            <v>4.8965091133765834E-2</v>
          </cell>
          <cell r="BF257">
            <v>0.31653537225826389</v>
          </cell>
          <cell r="BG257">
            <v>8.0437133147976514E-2</v>
          </cell>
        </row>
        <row r="258">
          <cell r="BB258">
            <v>1999</v>
          </cell>
          <cell r="BC258" t="str">
            <v>313</v>
          </cell>
          <cell r="BD258">
            <v>0.66036414565826329</v>
          </cell>
          <cell r="BE258">
            <v>9.1036414565826326E-2</v>
          </cell>
          <cell r="BF258">
            <v>0.14425770308123251</v>
          </cell>
          <cell r="BG258">
            <v>0.10434173669467786</v>
          </cell>
        </row>
        <row r="259">
          <cell r="BB259">
            <v>1999</v>
          </cell>
          <cell r="BC259" t="str">
            <v>314</v>
          </cell>
          <cell r="BD259">
            <v>0.79955631660996185</v>
          </cell>
          <cell r="BE259">
            <v>2.8634811912862577E-2</v>
          </cell>
          <cell r="BF259">
            <v>0.15465698136472444</v>
          </cell>
          <cell r="BG259">
            <v>1.715189011245102E-2</v>
          </cell>
        </row>
        <row r="260">
          <cell r="BB260">
            <v>1999</v>
          </cell>
          <cell r="BC260" t="str">
            <v>315</v>
          </cell>
          <cell r="BD260">
            <v>0.75527871621621612</v>
          </cell>
          <cell r="BE260">
            <v>9.0582770270270258E-2</v>
          </cell>
          <cell r="BF260">
            <v>2.3437500000000135E-2</v>
          </cell>
          <cell r="BG260">
            <v>0.13070101351351351</v>
          </cell>
        </row>
        <row r="261">
          <cell r="BB261">
            <v>1999</v>
          </cell>
          <cell r="BC261" t="str">
            <v>316</v>
          </cell>
          <cell r="BD261">
            <v>0.80833333333333179</v>
          </cell>
          <cell r="BE261">
            <v>9.5833333333333146E-2</v>
          </cell>
          <cell r="BF261">
            <v>2.0208333333333293E-15</v>
          </cell>
          <cell r="BG261">
            <v>9.5833333333333146E-2</v>
          </cell>
        </row>
        <row r="262">
          <cell r="BB262">
            <v>1999</v>
          </cell>
          <cell r="BC262" t="str">
            <v>321</v>
          </cell>
          <cell r="BD262">
            <v>0.17260309746570984</v>
          </cell>
          <cell r="BE262">
            <v>3.3158476398098526E-2</v>
          </cell>
          <cell r="BF262">
            <v>4.2654494807278891E-3</v>
          </cell>
          <cell r="BG262">
            <v>0.78997297665546373</v>
          </cell>
        </row>
        <row r="263">
          <cell r="BB263">
            <v>1999</v>
          </cell>
          <cell r="BC263" t="str">
            <v>322</v>
          </cell>
          <cell r="BD263">
            <v>0.23434025068894082</v>
          </cell>
          <cell r="BE263">
            <v>6.110454235991785E-2</v>
          </cell>
          <cell r="BF263">
            <v>0.1102758620303317</v>
          </cell>
          <cell r="BG263">
            <v>0.59427934492080969</v>
          </cell>
        </row>
        <row r="264">
          <cell r="BB264">
            <v>1999</v>
          </cell>
          <cell r="BC264" t="str">
            <v>323</v>
          </cell>
          <cell r="BD264">
            <v>0.92772499084308269</v>
          </cell>
          <cell r="BE264">
            <v>1.0939822894447677E-2</v>
          </cell>
          <cell r="BF264">
            <v>3.9267015706806801E-3</v>
          </cell>
          <cell r="BG264">
            <v>5.7408484691788927E-2</v>
          </cell>
        </row>
        <row r="265">
          <cell r="BB265">
            <v>1999</v>
          </cell>
          <cell r="BC265" t="str">
            <v>324</v>
          </cell>
          <cell r="BD265">
            <v>0.28655305399207842</v>
          </cell>
          <cell r="BE265">
            <v>2.4700854700854702E-2</v>
          </cell>
          <cell r="BF265">
            <v>3.6210131332082554E-3</v>
          </cell>
          <cell r="BG265">
            <v>0.68512507817385859</v>
          </cell>
        </row>
        <row r="266">
          <cell r="BB266">
            <v>1999</v>
          </cell>
          <cell r="BC266" t="str">
            <v>325</v>
          </cell>
          <cell r="BD266">
            <v>0.65577583667055861</v>
          </cell>
          <cell r="BE266">
            <v>1.7401574588348265E-2</v>
          </cell>
          <cell r="BF266">
            <v>9.9596750433748341E-2</v>
          </cell>
          <cell r="BG266">
            <v>0.22722583830734477</v>
          </cell>
        </row>
        <row r="267">
          <cell r="BB267">
            <v>1999</v>
          </cell>
          <cell r="BC267" t="str">
            <v>326</v>
          </cell>
          <cell r="BD267">
            <v>0.86280593212628509</v>
          </cell>
          <cell r="BE267">
            <v>4.5876171412974252E-2</v>
          </cell>
          <cell r="BF267">
            <v>2.6401146392502954E-2</v>
          </cell>
          <cell r="BG267">
            <v>6.4916750068237647E-2</v>
          </cell>
        </row>
        <row r="268">
          <cell r="BB268">
            <v>1999</v>
          </cell>
          <cell r="BC268" t="str">
            <v>327</v>
          </cell>
          <cell r="BD268">
            <v>0.50961522223449096</v>
          </cell>
          <cell r="BE268">
            <v>2.7969459401528979E-2</v>
          </cell>
          <cell r="BF268">
            <v>0.33988659318389958</v>
          </cell>
          <cell r="BG268">
            <v>0.1225287251800804</v>
          </cell>
        </row>
        <row r="269">
          <cell r="BB269">
            <v>1999</v>
          </cell>
          <cell r="BC269" t="str">
            <v>331</v>
          </cell>
          <cell r="BD269">
            <v>0.42116923487288921</v>
          </cell>
          <cell r="BE269">
            <v>1.5078412208798275E-2</v>
          </cell>
          <cell r="BF269">
            <v>0.34823572000152425</v>
          </cell>
          <cell r="BG269">
            <v>0.21551663291678835</v>
          </cell>
        </row>
        <row r="270">
          <cell r="BB270">
            <v>1999</v>
          </cell>
          <cell r="BC270" t="str">
            <v>332</v>
          </cell>
          <cell r="BD270">
            <v>0.90082390676264634</v>
          </cell>
          <cell r="BE270">
            <v>3.1257039322266297E-2</v>
          </cell>
          <cell r="BF270">
            <v>9.9860437784633459E-3</v>
          </cell>
          <cell r="BG270">
            <v>5.7933010136624066E-2</v>
          </cell>
        </row>
        <row r="271">
          <cell r="BB271">
            <v>1999</v>
          </cell>
          <cell r="BC271" t="str">
            <v>333</v>
          </cell>
          <cell r="BD271">
            <v>0.84320091673032849</v>
          </cell>
          <cell r="BE271">
            <v>3.4568372803666925E-2</v>
          </cell>
          <cell r="BF271">
            <v>4.048892284186402E-2</v>
          </cell>
          <cell r="BG271">
            <v>8.1741787624140555E-2</v>
          </cell>
        </row>
        <row r="272">
          <cell r="BB272">
            <v>1999</v>
          </cell>
          <cell r="BC272" t="str">
            <v>334</v>
          </cell>
          <cell r="BD272">
            <v>0.94193497474747478</v>
          </cell>
          <cell r="BE272">
            <v>2.9324494949494951E-2</v>
          </cell>
          <cell r="BF272">
            <v>3.4880050505050504E-3</v>
          </cell>
          <cell r="BG272">
            <v>2.5252525252525252E-2</v>
          </cell>
        </row>
        <row r="273">
          <cell r="BB273">
            <v>1999</v>
          </cell>
          <cell r="BC273" t="str">
            <v>335</v>
          </cell>
          <cell r="BD273">
            <v>0.68328960404666017</v>
          </cell>
          <cell r="BE273">
            <v>2.3587676804891045E-2</v>
          </cell>
          <cell r="BF273">
            <v>1.0256052813693324E-2</v>
          </cell>
          <cell r="BG273">
            <v>0.2828666663347556</v>
          </cell>
        </row>
        <row r="274">
          <cell r="BB274">
            <v>1999</v>
          </cell>
          <cell r="BC274" t="str">
            <v>336</v>
          </cell>
          <cell r="BD274">
            <v>0.73390596101863714</v>
          </cell>
          <cell r="BE274">
            <v>6.0285958173282118E-2</v>
          </cell>
          <cell r="BF274">
            <v>8.1057049366908523E-2</v>
          </cell>
          <cell r="BG274">
            <v>0.12475103144117229</v>
          </cell>
        </row>
        <row r="275">
          <cell r="BB275">
            <v>1999</v>
          </cell>
          <cell r="BC275" t="str">
            <v>337</v>
          </cell>
          <cell r="BD275">
            <v>0.49920288237732358</v>
          </cell>
          <cell r="BE275">
            <v>2.3379459873098876E-2</v>
          </cell>
          <cell r="BF275">
            <v>3.476229952491789E-2</v>
          </cell>
          <cell r="BG275">
            <v>0.44265535822465962</v>
          </cell>
        </row>
        <row r="276">
          <cell r="BB276">
            <v>1999</v>
          </cell>
          <cell r="BC276" t="str">
            <v>339</v>
          </cell>
          <cell r="BD276">
            <v>0.84398388025331028</v>
          </cell>
          <cell r="BE276">
            <v>5.3576568796776046E-2</v>
          </cell>
          <cell r="BF276">
            <v>3.8860103626943698E-3</v>
          </cell>
          <cell r="BG276">
            <v>9.8553540587219338E-2</v>
          </cell>
        </row>
        <row r="277">
          <cell r="BB277">
            <v>2000</v>
          </cell>
          <cell r="BC277" t="str">
            <v>311</v>
          </cell>
          <cell r="BD277">
            <v>0.666249018697047</v>
          </cell>
          <cell r="BE277">
            <v>3.6109232261166482E-2</v>
          </cell>
          <cell r="BF277">
            <v>0.18145480030315131</v>
          </cell>
          <cell r="BG277">
            <v>0.11618694873863522</v>
          </cell>
        </row>
        <row r="278">
          <cell r="BB278">
            <v>2000</v>
          </cell>
          <cell r="BC278" t="str">
            <v>312</v>
          </cell>
          <cell r="BD278">
            <v>0.56595613222119245</v>
          </cell>
          <cell r="BE278">
            <v>4.9737411183194316E-2</v>
          </cell>
          <cell r="BF278">
            <v>0.28367315415508187</v>
          </cell>
          <cell r="BG278">
            <v>0.10063330244053136</v>
          </cell>
        </row>
        <row r="279">
          <cell r="BB279">
            <v>2000</v>
          </cell>
          <cell r="BC279" t="str">
            <v>313</v>
          </cell>
          <cell r="BD279">
            <v>0.64752567693744167</v>
          </cell>
          <cell r="BE279">
            <v>7.7497665732959853E-2</v>
          </cell>
          <cell r="BF279">
            <v>0.15779645191409897</v>
          </cell>
          <cell r="BG279">
            <v>0.11718020541549953</v>
          </cell>
        </row>
        <row r="280">
          <cell r="BB280">
            <v>2000</v>
          </cell>
          <cell r="BC280" t="str">
            <v>314</v>
          </cell>
          <cell r="BD280">
            <v>0.75784374595702886</v>
          </cell>
          <cell r="BE280">
            <v>3.4593750577567299E-2</v>
          </cell>
          <cell r="BF280">
            <v>0.18837597207260698</v>
          </cell>
          <cell r="BG280">
            <v>1.9186531392796802E-2</v>
          </cell>
        </row>
        <row r="281">
          <cell r="BB281">
            <v>2000</v>
          </cell>
          <cell r="BC281" t="str">
            <v>315</v>
          </cell>
          <cell r="BD281">
            <v>0.79180743243243223</v>
          </cell>
          <cell r="BE281">
            <v>8.7415540540540515E-2</v>
          </cell>
          <cell r="BF281">
            <v>1.5625000000000271E-2</v>
          </cell>
          <cell r="BG281">
            <v>0.10515202702702701</v>
          </cell>
        </row>
        <row r="282">
          <cell r="BB282">
            <v>2000</v>
          </cell>
          <cell r="BC282" t="str">
            <v>316</v>
          </cell>
          <cell r="BD282">
            <v>0.81666666666666499</v>
          </cell>
          <cell r="BE282">
            <v>9.166666666666648E-2</v>
          </cell>
          <cell r="BF282">
            <v>2.0416666666666624E-15</v>
          </cell>
          <cell r="BG282">
            <v>9.166666666666648E-2</v>
          </cell>
        </row>
        <row r="283">
          <cell r="BB283">
            <v>2000</v>
          </cell>
          <cell r="BC283" t="str">
            <v>321</v>
          </cell>
          <cell r="BD283">
            <v>0.17777500227086929</v>
          </cell>
          <cell r="BE283">
            <v>3.4206861053077783E-2</v>
          </cell>
          <cell r="BF283">
            <v>3.9437429981530265E-3</v>
          </cell>
          <cell r="BG283">
            <v>0.78407439367789988</v>
          </cell>
        </row>
        <row r="284">
          <cell r="BB284">
            <v>2000</v>
          </cell>
          <cell r="BC284" t="str">
            <v>322</v>
          </cell>
          <cell r="BD284">
            <v>0.23484171446646906</v>
          </cell>
          <cell r="BE284">
            <v>5.836231696245342E-2</v>
          </cell>
          <cell r="BF284">
            <v>0.11001700738069531</v>
          </cell>
          <cell r="BG284">
            <v>0.59677896119038221</v>
          </cell>
        </row>
        <row r="285">
          <cell r="BB285">
            <v>2000</v>
          </cell>
          <cell r="BC285" t="str">
            <v>323</v>
          </cell>
          <cell r="BD285">
            <v>0.93398401309977797</v>
          </cell>
          <cell r="BE285">
            <v>1.1408441600413675E-2</v>
          </cell>
          <cell r="BF285">
            <v>2.6178010471205218E-3</v>
          </cell>
          <cell r="BG285">
            <v>5.198974425268782E-2</v>
          </cell>
        </row>
        <row r="286">
          <cell r="BB286">
            <v>2000</v>
          </cell>
          <cell r="BC286" t="str">
            <v>324</v>
          </cell>
          <cell r="BD286">
            <v>0.28621152108956988</v>
          </cell>
          <cell r="BE286">
            <v>2.0911680911680913E-2</v>
          </cell>
          <cell r="BF286">
            <v>3.8232228476130915E-3</v>
          </cell>
          <cell r="BG286">
            <v>0.68905357515113619</v>
          </cell>
        </row>
        <row r="287">
          <cell r="BB287">
            <v>2000</v>
          </cell>
          <cell r="BC287" t="str">
            <v>325</v>
          </cell>
          <cell r="BD287">
            <v>0.60960477068624996</v>
          </cell>
          <cell r="BE287">
            <v>1.7458016433333695E-2</v>
          </cell>
          <cell r="BF287">
            <v>9.8662527416169266E-2</v>
          </cell>
          <cell r="BG287">
            <v>0.2742746854642471</v>
          </cell>
        </row>
        <row r="288">
          <cell r="BB288">
            <v>2000</v>
          </cell>
          <cell r="BC288" t="str">
            <v>326</v>
          </cell>
          <cell r="BD288">
            <v>0.85664634701119091</v>
          </cell>
          <cell r="BE288">
            <v>5.0373032481120919E-2</v>
          </cell>
          <cell r="BF288">
            <v>3.2112637612592115E-2</v>
          </cell>
          <cell r="BG288">
            <v>6.0867982895095984E-2</v>
          </cell>
        </row>
        <row r="289">
          <cell r="BB289">
            <v>2000</v>
          </cell>
          <cell r="BC289" t="str">
            <v>327</v>
          </cell>
          <cell r="BD289">
            <v>0.49378665748673345</v>
          </cell>
          <cell r="BE289">
            <v>3.1086847797140795E-2</v>
          </cell>
          <cell r="BF289">
            <v>0.34367851181158621</v>
          </cell>
          <cell r="BG289">
            <v>0.13144798290453952</v>
          </cell>
        </row>
        <row r="290">
          <cell r="BB290">
            <v>2000</v>
          </cell>
          <cell r="BC290" t="str">
            <v>331</v>
          </cell>
          <cell r="BD290">
            <v>0.41758930586617971</v>
          </cell>
          <cell r="BE290">
            <v>1.3324258445947316E-2</v>
          </cell>
          <cell r="BF290">
            <v>0.35485653317075028</v>
          </cell>
          <cell r="BG290">
            <v>0.21422990251712271</v>
          </cell>
        </row>
        <row r="291">
          <cell r="BB291">
            <v>2000</v>
          </cell>
          <cell r="BC291" t="str">
            <v>332</v>
          </cell>
          <cell r="BD291">
            <v>0.90905522093270008</v>
          </cell>
          <cell r="BE291">
            <v>3.2884449014902964E-2</v>
          </cell>
          <cell r="BF291">
            <v>8.8609764458155819E-3</v>
          </cell>
          <cell r="BG291">
            <v>4.9199353606581467E-2</v>
          </cell>
        </row>
        <row r="292">
          <cell r="BB292">
            <v>2000</v>
          </cell>
          <cell r="BC292" t="str">
            <v>333</v>
          </cell>
          <cell r="BD292">
            <v>0.85446906035141335</v>
          </cell>
          <cell r="BE292">
            <v>3.5523300229182583E-2</v>
          </cell>
          <cell r="BF292">
            <v>3.0557677616501147E-2</v>
          </cell>
          <cell r="BG292">
            <v>7.944996180290298E-2</v>
          </cell>
        </row>
        <row r="293">
          <cell r="BB293">
            <v>2000</v>
          </cell>
          <cell r="BC293" t="str">
            <v>334</v>
          </cell>
          <cell r="BD293">
            <v>0.93572180134680139</v>
          </cell>
          <cell r="BE293">
            <v>2.9019360269360271E-2</v>
          </cell>
          <cell r="BF293">
            <v>3.2723063973063974E-3</v>
          </cell>
          <cell r="BG293">
            <v>3.1986531986531987E-2</v>
          </cell>
        </row>
        <row r="294">
          <cell r="BB294">
            <v>2000</v>
          </cell>
          <cell r="BC294" t="str">
            <v>335</v>
          </cell>
          <cell r="BD294">
            <v>0.76601263585535984</v>
          </cell>
          <cell r="BE294">
            <v>2.4512464091368487E-2</v>
          </cell>
          <cell r="BF294">
            <v>9.1806608681798494E-3</v>
          </cell>
          <cell r="BG294">
            <v>0.2002942391850919</v>
          </cell>
        </row>
        <row r="295">
          <cell r="BB295">
            <v>2000</v>
          </cell>
          <cell r="BC295" t="str">
            <v>336</v>
          </cell>
          <cell r="BD295">
            <v>0.7540072082325604</v>
          </cell>
          <cell r="BE295">
            <v>5.3231849006496898E-2</v>
          </cell>
          <cell r="BF295">
            <v>6.4471001090719404E-2</v>
          </cell>
          <cell r="BG295">
            <v>0.12828994167022337</v>
          </cell>
        </row>
        <row r="296">
          <cell r="BB296">
            <v>2000</v>
          </cell>
          <cell r="BC296" t="str">
            <v>337</v>
          </cell>
          <cell r="BD296">
            <v>0.5427095622230016</v>
          </cell>
          <cell r="BE296">
            <v>2.5661873332695637E-2</v>
          </cell>
          <cell r="BF296">
            <v>3.5769324788232415E-2</v>
          </cell>
          <cell r="BG296">
            <v>0.39585923965607028</v>
          </cell>
        </row>
        <row r="297">
          <cell r="BB297">
            <v>2000</v>
          </cell>
          <cell r="BC297" t="str">
            <v>339</v>
          </cell>
          <cell r="BD297">
            <v>0.85895221646516973</v>
          </cell>
          <cell r="BE297">
            <v>4.4976971790443292E-2</v>
          </cell>
          <cell r="BF297">
            <v>2.5906735751296726E-3</v>
          </cell>
          <cell r="BG297">
            <v>9.3480138169257321E-2</v>
          </cell>
        </row>
        <row r="298">
          <cell r="BB298">
            <v>2001</v>
          </cell>
          <cell r="BC298" t="str">
            <v>311</v>
          </cell>
          <cell r="BD298">
            <v>0.65761660867132266</v>
          </cell>
          <cell r="BE298">
            <v>3.6113306875504236E-2</v>
          </cell>
          <cell r="BF298">
            <v>0.19456487193487135</v>
          </cell>
          <cell r="BG298">
            <v>0.11170521251830182</v>
          </cell>
        </row>
        <row r="299">
          <cell r="BB299">
            <v>2001</v>
          </cell>
          <cell r="BC299" t="str">
            <v>312</v>
          </cell>
          <cell r="BD299">
            <v>0.57784986098239111</v>
          </cell>
          <cell r="BE299">
            <v>5.0509731232622798E-2</v>
          </cell>
          <cell r="BF299">
            <v>0.25081093605189991</v>
          </cell>
          <cell r="BG299">
            <v>0.1208294717330862</v>
          </cell>
        </row>
        <row r="300">
          <cell r="BB300">
            <v>2001</v>
          </cell>
          <cell r="BC300" t="str">
            <v>313</v>
          </cell>
          <cell r="BD300">
            <v>0.63468720821661995</v>
          </cell>
          <cell r="BE300">
            <v>6.3958916900093379E-2</v>
          </cell>
          <cell r="BF300">
            <v>0.17133520074696545</v>
          </cell>
          <cell r="BG300">
            <v>0.13001867413632118</v>
          </cell>
        </row>
        <row r="301">
          <cell r="BB301">
            <v>2001</v>
          </cell>
          <cell r="BC301" t="str">
            <v>314</v>
          </cell>
          <cell r="BD301">
            <v>0.71613117530409587</v>
          </cell>
          <cell r="BE301">
            <v>4.0552689242272025E-2</v>
          </cell>
          <cell r="BF301">
            <v>0.22209496278048954</v>
          </cell>
          <cell r="BG301">
            <v>2.1221172673142587E-2</v>
          </cell>
        </row>
        <row r="302">
          <cell r="BB302">
            <v>2001</v>
          </cell>
          <cell r="BC302" t="str">
            <v>315</v>
          </cell>
          <cell r="BD302">
            <v>0.82833614864864824</v>
          </cell>
          <cell r="BE302">
            <v>8.4248310810810773E-2</v>
          </cell>
          <cell r="BF302">
            <v>7.8125000000004059E-3</v>
          </cell>
          <cell r="BG302">
            <v>7.9603040540540515E-2</v>
          </cell>
        </row>
        <row r="303">
          <cell r="BB303">
            <v>2001</v>
          </cell>
          <cell r="BC303" t="str">
            <v>316</v>
          </cell>
          <cell r="BD303">
            <v>0.82499999999999829</v>
          </cell>
          <cell r="BE303">
            <v>8.7499999999999828E-2</v>
          </cell>
          <cell r="BF303">
            <v>2.0624999999999956E-15</v>
          </cell>
          <cell r="BG303">
            <v>8.7499999999999828E-2</v>
          </cell>
        </row>
        <row r="304">
          <cell r="BB304">
            <v>2001</v>
          </cell>
          <cell r="BC304" t="str">
            <v>321</v>
          </cell>
          <cell r="BD304">
            <v>0.18294690707602873</v>
          </cell>
          <cell r="BE304">
            <v>3.5255245708057048E-2</v>
          </cell>
          <cell r="BF304">
            <v>3.6220365155781634E-3</v>
          </cell>
          <cell r="BG304">
            <v>0.77817581070033615</v>
          </cell>
        </row>
        <row r="305">
          <cell r="BB305">
            <v>2001</v>
          </cell>
          <cell r="BC305" t="str">
            <v>322</v>
          </cell>
          <cell r="BD305">
            <v>0.23534317824399728</v>
          </cell>
          <cell r="BE305">
            <v>5.5620091564988997E-2</v>
          </cell>
          <cell r="BF305">
            <v>0.10975815273105893</v>
          </cell>
          <cell r="BG305">
            <v>0.59927857745995472</v>
          </cell>
        </row>
        <row r="306">
          <cell r="BB306">
            <v>2001</v>
          </cell>
          <cell r="BC306" t="str">
            <v>323</v>
          </cell>
          <cell r="BD306">
            <v>0.94024303535647324</v>
          </cell>
          <cell r="BE306">
            <v>1.1877060306379677E-2</v>
          </cell>
          <cell r="BF306">
            <v>1.3089005235603639E-3</v>
          </cell>
          <cell r="BG306">
            <v>4.6571003813586705E-2</v>
          </cell>
        </row>
        <row r="307">
          <cell r="BB307">
            <v>2001</v>
          </cell>
          <cell r="BC307" t="str">
            <v>324</v>
          </cell>
          <cell r="BD307">
            <v>0.28586998818706133</v>
          </cell>
          <cell r="BE307">
            <v>1.7122507122507125E-2</v>
          </cell>
          <cell r="BF307">
            <v>4.0254325620179277E-3</v>
          </cell>
          <cell r="BG307">
            <v>0.69298207212841367</v>
          </cell>
        </row>
        <row r="308">
          <cell r="BB308">
            <v>2001</v>
          </cell>
          <cell r="BC308" t="str">
            <v>325</v>
          </cell>
          <cell r="BD308">
            <v>0.56343370470194121</v>
          </cell>
          <cell r="BE308">
            <v>1.7514458278319128E-2</v>
          </cell>
          <cell r="BF308">
            <v>9.7728304398590191E-2</v>
          </cell>
          <cell r="BG308">
            <v>0.32132353262114943</v>
          </cell>
        </row>
        <row r="309">
          <cell r="BB309">
            <v>2001</v>
          </cell>
          <cell r="BC309" t="str">
            <v>326</v>
          </cell>
          <cell r="BD309">
            <v>0.85048676189609684</v>
          </cell>
          <cell r="BE309">
            <v>5.4869893549267586E-2</v>
          </cell>
          <cell r="BF309">
            <v>3.7824128832681284E-2</v>
          </cell>
          <cell r="BG309">
            <v>5.6819215721954329E-2</v>
          </cell>
        </row>
        <row r="310">
          <cell r="BB310">
            <v>2001</v>
          </cell>
          <cell r="BC310" t="str">
            <v>327</v>
          </cell>
          <cell r="BD310">
            <v>0.47795809273897594</v>
          </cell>
          <cell r="BE310">
            <v>3.4204236192752611E-2</v>
          </cell>
          <cell r="BF310">
            <v>0.34747043043927278</v>
          </cell>
          <cell r="BG310">
            <v>0.14036724062899861</v>
          </cell>
        </row>
        <row r="311">
          <cell r="BB311">
            <v>2001</v>
          </cell>
          <cell r="BC311" t="str">
            <v>331</v>
          </cell>
          <cell r="BD311">
            <v>0.4140093768594702</v>
          </cell>
          <cell r="BE311">
            <v>1.1570104683096358E-2</v>
          </cell>
          <cell r="BF311">
            <v>0.3614773463399763</v>
          </cell>
          <cell r="BG311">
            <v>0.21294317211745706</v>
          </cell>
        </row>
        <row r="312">
          <cell r="BB312">
            <v>2001</v>
          </cell>
          <cell r="BC312" t="str">
            <v>332</v>
          </cell>
          <cell r="BD312">
            <v>0.91728653510275371</v>
          </cell>
          <cell r="BE312">
            <v>3.451185870753963E-2</v>
          </cell>
          <cell r="BF312">
            <v>7.735909113167818E-3</v>
          </cell>
          <cell r="BG312">
            <v>4.0465697076538867E-2</v>
          </cell>
        </row>
        <row r="313">
          <cell r="BB313">
            <v>2001</v>
          </cell>
          <cell r="BC313" t="str">
            <v>333</v>
          </cell>
          <cell r="BD313">
            <v>0.86573720397249809</v>
          </cell>
          <cell r="BE313">
            <v>3.6478227654698242E-2</v>
          </cell>
          <cell r="BF313">
            <v>2.0626432391138275E-2</v>
          </cell>
          <cell r="BG313">
            <v>7.7158135981665391E-2</v>
          </cell>
        </row>
        <row r="314">
          <cell r="BB314">
            <v>2001</v>
          </cell>
          <cell r="BC314" t="str">
            <v>334</v>
          </cell>
          <cell r="BD314">
            <v>0.92950862794612787</v>
          </cell>
          <cell r="BE314">
            <v>2.8714225589225588E-2</v>
          </cell>
          <cell r="BF314">
            <v>3.056607744107744E-3</v>
          </cell>
          <cell r="BG314">
            <v>3.8720538720538718E-2</v>
          </cell>
        </row>
        <row r="315">
          <cell r="BB315">
            <v>2001</v>
          </cell>
          <cell r="BC315" t="str">
            <v>335</v>
          </cell>
          <cell r="BD315">
            <v>0.8487356676640595</v>
          </cell>
          <cell r="BE315">
            <v>2.5437251377845929E-2</v>
          </cell>
          <cell r="BF315">
            <v>8.1052689226663744E-3</v>
          </cell>
          <cell r="BG315">
            <v>0.1177218120354282</v>
          </cell>
        </row>
        <row r="316">
          <cell r="BB316">
            <v>2001</v>
          </cell>
          <cell r="BC316" t="str">
            <v>336</v>
          </cell>
          <cell r="BD316">
            <v>0.77410845544648366</v>
          </cell>
          <cell r="BE316">
            <v>4.6177739839711671E-2</v>
          </cell>
          <cell r="BF316">
            <v>4.7884952814530278E-2</v>
          </cell>
          <cell r="BG316">
            <v>0.13182885189927446</v>
          </cell>
        </row>
        <row r="317">
          <cell r="BB317">
            <v>2001</v>
          </cell>
          <cell r="BC317" t="str">
            <v>337</v>
          </cell>
          <cell r="BD317">
            <v>0.58621624206867962</v>
          </cell>
          <cell r="BE317">
            <v>2.7944286792292397E-2</v>
          </cell>
          <cell r="BF317">
            <v>3.677635005154694E-2</v>
          </cell>
          <cell r="BG317">
            <v>0.349063121087481</v>
          </cell>
        </row>
        <row r="318">
          <cell r="BB318">
            <v>2001</v>
          </cell>
          <cell r="BC318" t="str">
            <v>339</v>
          </cell>
          <cell r="BD318">
            <v>0.87392055267702917</v>
          </cell>
          <cell r="BE318">
            <v>3.637737478411053E-2</v>
          </cell>
          <cell r="BF318">
            <v>1.2953367875649753E-3</v>
          </cell>
          <cell r="BG318">
            <v>8.8406735751295318E-2</v>
          </cell>
        </row>
        <row r="319">
          <cell r="BB319">
            <v>2002</v>
          </cell>
          <cell r="BC319" t="str">
            <v>311</v>
          </cell>
          <cell r="BD319">
            <v>0.6489841986455982</v>
          </cell>
          <cell r="BE319">
            <v>3.6117381489841983E-2</v>
          </cell>
          <cell r="BF319">
            <v>0.20767494356659141</v>
          </cell>
          <cell r="BG319">
            <v>0.1072234762979684</v>
          </cell>
        </row>
        <row r="320">
          <cell r="BB320">
            <v>2002</v>
          </cell>
          <cell r="BC320" t="str">
            <v>312</v>
          </cell>
          <cell r="BD320">
            <v>0.58974358974358976</v>
          </cell>
          <cell r="BE320">
            <v>5.128205128205128E-2</v>
          </cell>
          <cell r="BF320">
            <v>0.21794871794871795</v>
          </cell>
          <cell r="BG320">
            <v>0.14102564102564102</v>
          </cell>
        </row>
        <row r="321">
          <cell r="BB321">
            <v>2002</v>
          </cell>
          <cell r="BC321" t="str">
            <v>313</v>
          </cell>
          <cell r="BD321">
            <v>0.62184873949579833</v>
          </cell>
          <cell r="BE321">
            <v>5.0420168067226892E-2</v>
          </cell>
          <cell r="BF321">
            <v>0.18487394957983194</v>
          </cell>
          <cell r="BG321">
            <v>0.14285714285714285</v>
          </cell>
        </row>
        <row r="322">
          <cell r="BB322">
            <v>2002</v>
          </cell>
          <cell r="BC322" t="str">
            <v>314</v>
          </cell>
          <cell r="BD322">
            <v>0.67441860465116277</v>
          </cell>
          <cell r="BE322">
            <v>4.6511627906976744E-2</v>
          </cell>
          <cell r="BF322">
            <v>0.2558139534883721</v>
          </cell>
          <cell r="BG322">
            <v>2.3255813953488372E-2</v>
          </cell>
        </row>
        <row r="323">
          <cell r="BB323">
            <v>2002</v>
          </cell>
          <cell r="BC323" t="str">
            <v>315</v>
          </cell>
          <cell r="BD323">
            <v>0.86486486486486436</v>
          </cell>
          <cell r="BE323">
            <v>8.108108108108103E-2</v>
          </cell>
          <cell r="BF323">
            <v>5.4054054054054022E-16</v>
          </cell>
          <cell r="BG323">
            <v>5.4054054054054022E-2</v>
          </cell>
        </row>
        <row r="324">
          <cell r="BB324">
            <v>2002</v>
          </cell>
          <cell r="BC324" t="str">
            <v>316</v>
          </cell>
          <cell r="BD324">
            <v>0.83333333333333148</v>
          </cell>
          <cell r="BE324">
            <v>8.3333333333333162E-2</v>
          </cell>
          <cell r="BF324">
            <v>2.0833333333333287E-15</v>
          </cell>
          <cell r="BG324">
            <v>8.3333333333333162E-2</v>
          </cell>
        </row>
        <row r="325">
          <cell r="BB325">
            <v>2002</v>
          </cell>
          <cell r="BC325" t="str">
            <v>321</v>
          </cell>
          <cell r="BD325">
            <v>0.18811881188118812</v>
          </cell>
          <cell r="BE325">
            <v>3.6303630363036306E-2</v>
          </cell>
          <cell r="BF325">
            <v>3.3003300330033004E-3</v>
          </cell>
          <cell r="BG325">
            <v>0.7722772277227723</v>
          </cell>
        </row>
        <row r="326">
          <cell r="BB326">
            <v>2002</v>
          </cell>
          <cell r="BC326" t="str">
            <v>322</v>
          </cell>
          <cell r="BD326">
            <v>0.2358446420215255</v>
          </cell>
          <cell r="BE326">
            <v>5.2877866167524566E-2</v>
          </cell>
          <cell r="BF326">
            <v>0.10949929808142256</v>
          </cell>
          <cell r="BG326">
            <v>0.60177819372952734</v>
          </cell>
        </row>
        <row r="327">
          <cell r="BB327">
            <v>2002</v>
          </cell>
          <cell r="BC327" t="str">
            <v>323</v>
          </cell>
          <cell r="BD327">
            <v>0.94650205761316852</v>
          </cell>
          <cell r="BE327">
            <v>1.2345679012345677E-2</v>
          </cell>
          <cell r="BF327">
            <v>2.0576131687242794E-16</v>
          </cell>
          <cell r="BG327">
            <v>4.115226337448559E-2</v>
          </cell>
        </row>
        <row r="328">
          <cell r="BB328">
            <v>2002</v>
          </cell>
          <cell r="BC328" t="str">
            <v>324</v>
          </cell>
          <cell r="BD328">
            <v>0.28552845528455284</v>
          </cell>
          <cell r="BE328">
            <v>1.3333333333333334E-2</v>
          </cell>
          <cell r="BF328">
            <v>4.2276422764227642E-3</v>
          </cell>
          <cell r="BG328">
            <v>0.69691056910569105</v>
          </cell>
        </row>
        <row r="329">
          <cell r="BB329">
            <v>2002</v>
          </cell>
          <cell r="BC329" t="str">
            <v>325</v>
          </cell>
          <cell r="BD329">
            <v>0.51726263871763256</v>
          </cell>
          <cell r="BE329">
            <v>1.7570900123304561E-2</v>
          </cell>
          <cell r="BF329">
            <v>9.6794081381011102E-2</v>
          </cell>
          <cell r="BG329">
            <v>0.36837237977805176</v>
          </cell>
        </row>
        <row r="330">
          <cell r="BB330">
            <v>2002</v>
          </cell>
          <cell r="BC330" t="str">
            <v>326</v>
          </cell>
          <cell r="BD330">
            <v>0.84432717678100266</v>
          </cell>
          <cell r="BE330">
            <v>5.9366754617414252E-2</v>
          </cell>
          <cell r="BF330">
            <v>4.3535620052770445E-2</v>
          </cell>
          <cell r="BG330">
            <v>5.2770448548812667E-2</v>
          </cell>
        </row>
        <row r="331">
          <cell r="BB331">
            <v>2002</v>
          </cell>
          <cell r="BC331" t="str">
            <v>327</v>
          </cell>
          <cell r="BD331">
            <v>0.46212952799121843</v>
          </cell>
          <cell r="BE331">
            <v>3.7321624588364431E-2</v>
          </cell>
          <cell r="BF331">
            <v>0.35126234906695941</v>
          </cell>
          <cell r="BG331">
            <v>0.14928649835345773</v>
          </cell>
        </row>
        <row r="332">
          <cell r="BB332">
            <v>2002</v>
          </cell>
          <cell r="BC332" t="str">
            <v>331</v>
          </cell>
          <cell r="BD332">
            <v>0.41042944785276075</v>
          </cell>
          <cell r="BE332">
            <v>9.8159509202453993E-3</v>
          </cell>
          <cell r="BF332">
            <v>0.36809815950920244</v>
          </cell>
          <cell r="BG332">
            <v>0.21165644171779141</v>
          </cell>
        </row>
        <row r="333">
          <cell r="BB333">
            <v>2002</v>
          </cell>
          <cell r="BC333" t="str">
            <v>332</v>
          </cell>
          <cell r="BD333">
            <v>0.92551784927280745</v>
          </cell>
          <cell r="BE333">
            <v>3.613926840017629E-2</v>
          </cell>
          <cell r="BF333">
            <v>6.6108417805200532E-3</v>
          </cell>
          <cell r="BG333">
            <v>3.1732040546496261E-2</v>
          </cell>
        </row>
        <row r="334">
          <cell r="BB334">
            <v>2002</v>
          </cell>
          <cell r="BC334" t="str">
            <v>333</v>
          </cell>
          <cell r="BD334">
            <v>0.87700534759358284</v>
          </cell>
          <cell r="BE334">
            <v>3.7433155080213901E-2</v>
          </cell>
          <cell r="BF334">
            <v>1.06951871657754E-2</v>
          </cell>
          <cell r="BG334">
            <v>7.4866310160427801E-2</v>
          </cell>
        </row>
        <row r="335">
          <cell r="BB335">
            <v>2002</v>
          </cell>
          <cell r="BC335" t="str">
            <v>334</v>
          </cell>
          <cell r="BD335">
            <v>0.92329545454545447</v>
          </cell>
          <cell r="BE335">
            <v>2.8409090909090908E-2</v>
          </cell>
          <cell r="BF335">
            <v>2.840909090909091E-3</v>
          </cell>
          <cell r="BG335">
            <v>4.5454545454545456E-2</v>
          </cell>
        </row>
        <row r="336">
          <cell r="BB336">
            <v>2002</v>
          </cell>
          <cell r="BC336" t="str">
            <v>335</v>
          </cell>
          <cell r="BD336">
            <v>0.93145869947275928</v>
          </cell>
          <cell r="BE336">
            <v>2.6362038664323375E-2</v>
          </cell>
          <cell r="BF336">
            <v>7.0298769771529003E-3</v>
          </cell>
          <cell r="BG336">
            <v>3.5149384885764502E-2</v>
          </cell>
        </row>
        <row r="337">
          <cell r="BB337">
            <v>2002</v>
          </cell>
          <cell r="BC337" t="str">
            <v>336</v>
          </cell>
          <cell r="BD337">
            <v>0.79420970266040691</v>
          </cell>
          <cell r="BE337">
            <v>3.912363067292645E-2</v>
          </cell>
          <cell r="BF337">
            <v>3.1298904538341159E-2</v>
          </cell>
          <cell r="BG337">
            <v>0.13536776212832552</v>
          </cell>
        </row>
        <row r="338">
          <cell r="BB338">
            <v>2002</v>
          </cell>
          <cell r="BC338" t="str">
            <v>337</v>
          </cell>
          <cell r="BD338">
            <v>0.62972292191435764</v>
          </cell>
          <cell r="BE338">
            <v>3.0226700251889164E-2</v>
          </cell>
          <cell r="BF338">
            <v>3.7783375314861457E-2</v>
          </cell>
          <cell r="BG338">
            <v>0.30226700251889166</v>
          </cell>
        </row>
        <row r="339">
          <cell r="BB339">
            <v>2002</v>
          </cell>
          <cell r="BC339" t="str">
            <v>339</v>
          </cell>
          <cell r="BD339">
            <v>0.88888888888888873</v>
          </cell>
          <cell r="BE339">
            <v>2.7777777777777773E-2</v>
          </cell>
          <cell r="BF339">
            <v>2.777777777777777E-16</v>
          </cell>
          <cell r="BG339">
            <v>8.3333333333333315E-2</v>
          </cell>
        </row>
        <row r="340">
          <cell r="BB340">
            <v>2003</v>
          </cell>
          <cell r="BC340" t="str">
            <v>311</v>
          </cell>
          <cell r="BD340">
            <v>0.65652424524088315</v>
          </cell>
          <cell r="BE340">
            <v>3.8317982641445661E-2</v>
          </cell>
          <cell r="BF340">
            <v>0.19532840018831255</v>
          </cell>
          <cell r="BG340">
            <v>0.10982937192935865</v>
          </cell>
        </row>
        <row r="341">
          <cell r="BB341">
            <v>2003</v>
          </cell>
          <cell r="BC341" t="str">
            <v>312</v>
          </cell>
          <cell r="BD341">
            <v>0.57371794871794868</v>
          </cell>
          <cell r="BE341">
            <v>5.128205128205128E-2</v>
          </cell>
          <cell r="BF341">
            <v>0.22756410256410256</v>
          </cell>
          <cell r="BG341">
            <v>0.14743589743589744</v>
          </cell>
        </row>
        <row r="342">
          <cell r="BB342">
            <v>2003</v>
          </cell>
          <cell r="BC342" t="str">
            <v>313</v>
          </cell>
          <cell r="BD342">
            <v>0.61212646493575007</v>
          </cell>
          <cell r="BE342">
            <v>4.3420507216339457E-2</v>
          </cell>
          <cell r="BF342">
            <v>0.21040434110864076</v>
          </cell>
          <cell r="BG342">
            <v>0.1340486867392697</v>
          </cell>
        </row>
        <row r="343">
          <cell r="BB343">
            <v>2003</v>
          </cell>
          <cell r="BC343" t="str">
            <v>314</v>
          </cell>
          <cell r="BD343">
            <v>0.72696779964221825</v>
          </cell>
          <cell r="BE343">
            <v>4.4499105545617174E-2</v>
          </cell>
          <cell r="BF343">
            <v>0.206283542039356</v>
          </cell>
          <cell r="BG343">
            <v>2.2249552772808587E-2</v>
          </cell>
        </row>
        <row r="344">
          <cell r="BB344">
            <v>2003</v>
          </cell>
          <cell r="BC344" t="str">
            <v>315</v>
          </cell>
          <cell r="BD344">
            <v>0.88152536097741507</v>
          </cell>
          <cell r="BE344">
            <v>7.1084783413550484E-2</v>
          </cell>
          <cell r="BF344">
            <v>7.4787115883006223E-16</v>
          </cell>
          <cell r="BG344">
            <v>4.7389855609033658E-2</v>
          </cell>
        </row>
        <row r="345">
          <cell r="BB345">
            <v>2003</v>
          </cell>
          <cell r="BC345" t="str">
            <v>316</v>
          </cell>
          <cell r="BD345">
            <v>0.80357142857142594</v>
          </cell>
          <cell r="BE345">
            <v>9.8214285714285338E-2</v>
          </cell>
          <cell r="BF345">
            <v>3.3482142857142694E-15</v>
          </cell>
          <cell r="BG345">
            <v>9.8214285714285338E-2</v>
          </cell>
        </row>
        <row r="346">
          <cell r="BB346">
            <v>2003</v>
          </cell>
          <cell r="BC346" t="str">
            <v>321</v>
          </cell>
          <cell r="BD346">
            <v>0.20182357218772726</v>
          </cell>
          <cell r="BE346">
            <v>4.064580186832243E-2</v>
          </cell>
          <cell r="BF346">
            <v>1.3774682553001063E-2</v>
          </cell>
          <cell r="BG346">
            <v>0.7437559433909493</v>
          </cell>
        </row>
        <row r="347">
          <cell r="BB347">
            <v>2003</v>
          </cell>
          <cell r="BC347" t="str">
            <v>322</v>
          </cell>
          <cell r="BD347">
            <v>0.23315128778395039</v>
          </cell>
          <cell r="BE347">
            <v>5.2004078637989101E-2</v>
          </cell>
          <cell r="BF347">
            <v>0.10835904146230149</v>
          </cell>
          <cell r="BG347">
            <v>0.60648559211575903</v>
          </cell>
        </row>
        <row r="348">
          <cell r="BB348">
            <v>2003</v>
          </cell>
          <cell r="BC348" t="str">
            <v>323</v>
          </cell>
          <cell r="BD348">
            <v>0.94884713144517041</v>
          </cell>
          <cell r="BE348">
            <v>1.293572984749455E-2</v>
          </cell>
          <cell r="BF348">
            <v>2.155954974582425E-16</v>
          </cell>
          <cell r="BG348">
            <v>3.8217138707334779E-2</v>
          </cell>
        </row>
        <row r="349">
          <cell r="BB349">
            <v>2003</v>
          </cell>
          <cell r="BC349" t="str">
            <v>324</v>
          </cell>
          <cell r="BD349">
            <v>0.27925370342660483</v>
          </cell>
          <cell r="BE349">
            <v>1.6365030674846626E-2</v>
          </cell>
          <cell r="BF349">
            <v>7.2351488852311838E-3</v>
          </cell>
          <cell r="BG349">
            <v>0.69714611701331741</v>
          </cell>
        </row>
        <row r="350">
          <cell r="BB350">
            <v>2003</v>
          </cell>
          <cell r="BC350" t="str">
            <v>325</v>
          </cell>
          <cell r="BD350">
            <v>0.51813001975544515</v>
          </cell>
          <cell r="BE350">
            <v>1.6166594965470578E-2</v>
          </cell>
          <cell r="BF350">
            <v>8.8191377247936145E-2</v>
          </cell>
          <cell r="BG350">
            <v>0.37751200803114804</v>
          </cell>
        </row>
        <row r="351">
          <cell r="BB351">
            <v>2003</v>
          </cell>
          <cell r="BC351" t="str">
            <v>326</v>
          </cell>
          <cell r="BD351">
            <v>0.84035562394256869</v>
          </cell>
          <cell r="BE351">
            <v>6.4094537587326833E-2</v>
          </cell>
          <cell r="BF351">
            <v>4.732881875777744E-2</v>
          </cell>
          <cell r="BG351">
            <v>4.8221019712327048E-2</v>
          </cell>
        </row>
        <row r="352">
          <cell r="BB352">
            <v>2003</v>
          </cell>
          <cell r="BC352" t="str">
            <v>327</v>
          </cell>
          <cell r="BD352">
            <v>0.46637793931282928</v>
          </cell>
          <cell r="BE352">
            <v>3.6602909464237832E-2</v>
          </cell>
          <cell r="BF352">
            <v>0.34982463236389383</v>
          </cell>
          <cell r="BG352">
            <v>0.147194518859039</v>
          </cell>
        </row>
        <row r="353">
          <cell r="BB353">
            <v>2003</v>
          </cell>
          <cell r="BC353" t="str">
            <v>331</v>
          </cell>
          <cell r="BD353">
            <v>0.42154681372782871</v>
          </cell>
          <cell r="BE353">
            <v>1.2221994294383117E-2</v>
          </cell>
          <cell r="BF353">
            <v>0.34994609241572761</v>
          </cell>
          <cell r="BG353">
            <v>0.21628509956206052</v>
          </cell>
        </row>
        <row r="354">
          <cell r="BB354">
            <v>2003</v>
          </cell>
          <cell r="BC354" t="str">
            <v>332</v>
          </cell>
          <cell r="BD354">
            <v>0.93119883736946141</v>
          </cell>
          <cell r="BE354">
            <v>2.9573830991953633E-2</v>
          </cell>
          <cell r="BF354">
            <v>5.0569065230628967E-3</v>
          </cell>
          <cell r="BG354">
            <v>3.4170425115522138E-2</v>
          </cell>
        </row>
        <row r="355">
          <cell r="BB355">
            <v>2003</v>
          </cell>
          <cell r="BC355" t="str">
            <v>333</v>
          </cell>
          <cell r="BD355">
            <v>0.88356046230809038</v>
          </cell>
          <cell r="BE355">
            <v>3.613938243919268E-2</v>
          </cell>
          <cell r="BF355">
            <v>1.0709562417342302E-2</v>
          </cell>
          <cell r="BG355">
            <v>6.9590592835374609E-2</v>
          </cell>
        </row>
        <row r="356">
          <cell r="BB356">
            <v>2003</v>
          </cell>
          <cell r="BC356" t="str">
            <v>334</v>
          </cell>
          <cell r="BD356">
            <v>0.92684659090909083</v>
          </cell>
          <cell r="BE356">
            <v>2.911931818181818E-2</v>
          </cell>
          <cell r="BF356">
            <v>2.6515151515151512E-3</v>
          </cell>
          <cell r="BG356">
            <v>4.1382575757575757E-2</v>
          </cell>
        </row>
        <row r="357">
          <cell r="BB357">
            <v>2003</v>
          </cell>
          <cell r="BC357" t="str">
            <v>335</v>
          </cell>
          <cell r="BD357">
            <v>0.93531457887708669</v>
          </cell>
          <cell r="BE357">
            <v>2.3813099437041605E-2</v>
          </cell>
          <cell r="BF357">
            <v>6.4271421439501255E-3</v>
          </cell>
          <cell r="BG357">
            <v>3.4445179541921528E-2</v>
          </cell>
        </row>
        <row r="358">
          <cell r="BB358">
            <v>2003</v>
          </cell>
          <cell r="BC358" t="str">
            <v>336</v>
          </cell>
          <cell r="BD358">
            <v>0.81500188587479783</v>
          </cell>
          <cell r="BE358">
            <v>3.8151743441622248E-2</v>
          </cell>
          <cell r="BF358">
            <v>2.7878688622219573E-2</v>
          </cell>
          <cell r="BG358">
            <v>0.11896768206136042</v>
          </cell>
        </row>
        <row r="359">
          <cell r="BB359">
            <v>2003</v>
          </cell>
          <cell r="BC359" t="str">
            <v>337</v>
          </cell>
          <cell r="BD359">
            <v>0.62300141129392428</v>
          </cell>
          <cell r="BE359">
            <v>2.8875698947782118E-2</v>
          </cell>
          <cell r="BF359">
            <v>5.0500652053521985E-2</v>
          </cell>
          <cell r="BG359">
            <v>0.29762223770477159</v>
          </cell>
        </row>
        <row r="360">
          <cell r="BB360">
            <v>2003</v>
          </cell>
          <cell r="BC360" t="str">
            <v>339</v>
          </cell>
          <cell r="BD360">
            <v>0.85838445807770947</v>
          </cell>
          <cell r="BE360">
            <v>4.7673824130879339E-2</v>
          </cell>
          <cell r="BF360">
            <v>7.6687116564438018E-4</v>
          </cell>
          <cell r="BG360">
            <v>9.3174846625766861E-2</v>
          </cell>
        </row>
        <row r="361">
          <cell r="BB361">
            <v>2004</v>
          </cell>
          <cell r="BC361" t="str">
            <v>311</v>
          </cell>
          <cell r="BD361">
            <v>0.66406429183616811</v>
          </cell>
          <cell r="BE361">
            <v>4.0518583793049331E-2</v>
          </cell>
          <cell r="BF361">
            <v>0.18298185681003368</v>
          </cell>
          <cell r="BG361">
            <v>0.1124352675607489</v>
          </cell>
        </row>
        <row r="362">
          <cell r="BB362">
            <v>2004</v>
          </cell>
          <cell r="BC362" t="str">
            <v>312</v>
          </cell>
          <cell r="BD362">
            <v>0.55769230769230771</v>
          </cell>
          <cell r="BE362">
            <v>5.128205128205128E-2</v>
          </cell>
          <cell r="BF362">
            <v>0.23717948717948717</v>
          </cell>
          <cell r="BG362">
            <v>0.15384615384615385</v>
          </cell>
        </row>
        <row r="363">
          <cell r="BB363">
            <v>2004</v>
          </cell>
          <cell r="BC363" t="str">
            <v>313</v>
          </cell>
          <cell r="BD363">
            <v>0.60240419037570181</v>
          </cell>
          <cell r="BE363">
            <v>3.6420846365452009E-2</v>
          </cell>
          <cell r="BF363">
            <v>0.2359347326374496</v>
          </cell>
          <cell r="BG363">
            <v>0.12524023062139655</v>
          </cell>
        </row>
        <row r="364">
          <cell r="BB364">
            <v>2004</v>
          </cell>
          <cell r="BC364" t="str">
            <v>314</v>
          </cell>
          <cell r="BD364">
            <v>0.77951699463327362</v>
          </cell>
          <cell r="BE364">
            <v>4.2486583184257604E-2</v>
          </cell>
          <cell r="BF364">
            <v>0.15675313059033991</v>
          </cell>
          <cell r="BG364">
            <v>2.1243291592128802E-2</v>
          </cell>
        </row>
        <row r="365">
          <cell r="BB365">
            <v>2004</v>
          </cell>
          <cell r="BC365" t="str">
            <v>315</v>
          </cell>
          <cell r="BD365">
            <v>0.89818585708996579</v>
          </cell>
          <cell r="BE365">
            <v>6.1088485746019938E-2</v>
          </cell>
          <cell r="BF365">
            <v>9.5520177711958435E-16</v>
          </cell>
          <cell r="BG365">
            <v>4.0725657164013294E-2</v>
          </cell>
        </row>
        <row r="366">
          <cell r="BB366">
            <v>2004</v>
          </cell>
          <cell r="BC366" t="str">
            <v>316</v>
          </cell>
          <cell r="BD366">
            <v>0.77380952380952039</v>
          </cell>
          <cell r="BE366">
            <v>0.1130952380952375</v>
          </cell>
          <cell r="BF366">
            <v>4.6130952380952102E-15</v>
          </cell>
          <cell r="BG366">
            <v>0.1130952380952375</v>
          </cell>
        </row>
        <row r="367">
          <cell r="BB367">
            <v>2004</v>
          </cell>
          <cell r="BC367" t="str">
            <v>321</v>
          </cell>
          <cell r="BD367">
            <v>0.21552833249426639</v>
          </cell>
          <cell r="BE367">
            <v>4.4987973373608547E-2</v>
          </cell>
          <cell r="BF367">
            <v>2.4249035072998824E-2</v>
          </cell>
          <cell r="BG367">
            <v>0.71523465905912631</v>
          </cell>
        </row>
        <row r="368">
          <cell r="BB368">
            <v>2004</v>
          </cell>
          <cell r="BC368" t="str">
            <v>322</v>
          </cell>
          <cell r="BD368">
            <v>0.23045793354637528</v>
          </cell>
          <cell r="BE368">
            <v>5.1130291108453643E-2</v>
          </cell>
          <cell r="BF368">
            <v>0.10721878484318041</v>
          </cell>
          <cell r="BG368">
            <v>0.61119299050199061</v>
          </cell>
        </row>
        <row r="369">
          <cell r="BB369">
            <v>2004</v>
          </cell>
          <cell r="BC369" t="str">
            <v>323</v>
          </cell>
          <cell r="BD369">
            <v>0.95119220527717241</v>
          </cell>
          <cell r="BE369">
            <v>1.3525780682643424E-2</v>
          </cell>
          <cell r="BF369">
            <v>2.2542967804405711E-16</v>
          </cell>
          <cell r="BG369">
            <v>3.5282014040183968E-2</v>
          </cell>
        </row>
        <row r="370">
          <cell r="BB370">
            <v>2004</v>
          </cell>
          <cell r="BC370" t="str">
            <v>324</v>
          </cell>
          <cell r="BD370">
            <v>0.27297895156865681</v>
          </cell>
          <cell r="BE370">
            <v>1.9396728016359919E-2</v>
          </cell>
          <cell r="BF370">
            <v>1.0242655494039602E-2</v>
          </cell>
          <cell r="BG370">
            <v>0.69738166492094367</v>
          </cell>
        </row>
        <row r="371">
          <cell r="BB371">
            <v>2004</v>
          </cell>
          <cell r="BC371" t="str">
            <v>325</v>
          </cell>
          <cell r="BD371">
            <v>0.51899740079325785</v>
          </cell>
          <cell r="BE371">
            <v>1.4762289807636591E-2</v>
          </cell>
          <cell r="BF371">
            <v>7.9588673114861175E-2</v>
          </cell>
          <cell r="BG371">
            <v>0.38665163628424437</v>
          </cell>
        </row>
        <row r="372">
          <cell r="BB372">
            <v>2004</v>
          </cell>
          <cell r="BC372" t="str">
            <v>326</v>
          </cell>
          <cell r="BD372">
            <v>0.83638407110413471</v>
          </cell>
          <cell r="BE372">
            <v>6.8822320557239414E-2</v>
          </cell>
          <cell r="BF372">
            <v>5.1122017462784441E-2</v>
          </cell>
          <cell r="BG372">
            <v>4.3671590875841423E-2</v>
          </cell>
        </row>
        <row r="373">
          <cell r="BB373">
            <v>2004</v>
          </cell>
          <cell r="BC373" t="str">
            <v>327</v>
          </cell>
          <cell r="BD373">
            <v>0.47062635063444014</v>
          </cell>
          <cell r="BE373">
            <v>3.5884194340111239E-2</v>
          </cell>
          <cell r="BF373">
            <v>0.34838691566082836</v>
          </cell>
          <cell r="BG373">
            <v>0.14510253936462031</v>
          </cell>
        </row>
        <row r="374">
          <cell r="BB374">
            <v>2004</v>
          </cell>
          <cell r="BC374" t="str">
            <v>331</v>
          </cell>
          <cell r="BD374">
            <v>0.43266417960289671</v>
          </cell>
          <cell r="BE374">
            <v>1.4628037668520832E-2</v>
          </cell>
          <cell r="BF374">
            <v>0.33179402532225288</v>
          </cell>
          <cell r="BG374">
            <v>0.22091375740632962</v>
          </cell>
        </row>
        <row r="375">
          <cell r="BB375">
            <v>2004</v>
          </cell>
          <cell r="BC375" t="str">
            <v>332</v>
          </cell>
          <cell r="BD375">
            <v>0.93687982546611526</v>
          </cell>
          <cell r="BE375">
            <v>2.3008393583730975E-2</v>
          </cell>
          <cell r="BF375">
            <v>3.5029712656057398E-3</v>
          </cell>
          <cell r="BG375">
            <v>3.6608809684548008E-2</v>
          </cell>
        </row>
        <row r="376">
          <cell r="BB376">
            <v>2004</v>
          </cell>
          <cell r="BC376" t="str">
            <v>333</v>
          </cell>
          <cell r="BD376">
            <v>0.89011557702259791</v>
          </cell>
          <cell r="BE376">
            <v>3.4845609798171466E-2</v>
          </cell>
          <cell r="BF376">
            <v>1.0723937668909205E-2</v>
          </cell>
          <cell r="BG376">
            <v>6.4314875510321431E-2</v>
          </cell>
        </row>
        <row r="377">
          <cell r="BB377">
            <v>2004</v>
          </cell>
          <cell r="BC377" t="str">
            <v>334</v>
          </cell>
          <cell r="BD377">
            <v>0.93039772727272729</v>
          </cell>
          <cell r="BE377">
            <v>2.9829545454545456E-2</v>
          </cell>
          <cell r="BF377">
            <v>2.4621212121212124E-3</v>
          </cell>
          <cell r="BG377">
            <v>3.7310606060606058E-2</v>
          </cell>
        </row>
        <row r="378">
          <cell r="BB378">
            <v>2004</v>
          </cell>
          <cell r="BC378" t="str">
            <v>335</v>
          </cell>
          <cell r="BD378">
            <v>0.93917045828141421</v>
          </cell>
          <cell r="BE378">
            <v>2.1264160209759839E-2</v>
          </cell>
          <cell r="BF378">
            <v>5.8244073107473508E-3</v>
          </cell>
          <cell r="BG378">
            <v>3.3740974198078554E-2</v>
          </cell>
        </row>
        <row r="379">
          <cell r="BB379">
            <v>2004</v>
          </cell>
          <cell r="BC379" t="str">
            <v>336</v>
          </cell>
          <cell r="BD379">
            <v>0.83579406908918863</v>
          </cell>
          <cell r="BE379">
            <v>3.7179856210318052E-2</v>
          </cell>
          <cell r="BF379">
            <v>2.4458472706097995E-2</v>
          </cell>
          <cell r="BG379">
            <v>0.10256760199439532</v>
          </cell>
        </row>
        <row r="380">
          <cell r="BB380">
            <v>2004</v>
          </cell>
          <cell r="BC380" t="str">
            <v>337</v>
          </cell>
          <cell r="BD380">
            <v>0.61627990067349092</v>
          </cell>
          <cell r="BE380">
            <v>2.7524697643675079E-2</v>
          </cell>
          <cell r="BF380">
            <v>6.3217928792182507E-2</v>
          </cell>
          <cell r="BG380">
            <v>0.29297747289065151</v>
          </cell>
        </row>
        <row r="381">
          <cell r="BB381">
            <v>2004</v>
          </cell>
          <cell r="BC381" t="str">
            <v>339</v>
          </cell>
          <cell r="BD381">
            <v>0.82788002726653032</v>
          </cell>
          <cell r="BE381">
            <v>6.7569870483980901E-2</v>
          </cell>
          <cell r="BF381">
            <v>1.5337423312884826E-3</v>
          </cell>
          <cell r="BG381">
            <v>0.10301635991820041</v>
          </cell>
        </row>
        <row r="382">
          <cell r="BB382">
            <v>2005</v>
          </cell>
          <cell r="BC382" t="str">
            <v>311</v>
          </cell>
          <cell r="BD382">
            <v>0.67160433843145306</v>
          </cell>
          <cell r="BE382">
            <v>4.2719184944653009E-2</v>
          </cell>
          <cell r="BF382">
            <v>0.17063531343175481</v>
          </cell>
          <cell r="BG382">
            <v>0.11504116319213915</v>
          </cell>
        </row>
        <row r="383">
          <cell r="BB383">
            <v>2005</v>
          </cell>
          <cell r="BC383" t="str">
            <v>312</v>
          </cell>
          <cell r="BD383">
            <v>0.54166666666666674</v>
          </cell>
          <cell r="BE383">
            <v>5.128205128205128E-2</v>
          </cell>
          <cell r="BF383">
            <v>0.24679487179487178</v>
          </cell>
          <cell r="BG383">
            <v>0.16025641025641024</v>
          </cell>
        </row>
        <row r="384">
          <cell r="BB384">
            <v>2005</v>
          </cell>
          <cell r="BC384" t="str">
            <v>313</v>
          </cell>
          <cell r="BD384">
            <v>0.59268191581565366</v>
          </cell>
          <cell r="BE384">
            <v>2.9421185514564571E-2</v>
          </cell>
          <cell r="BF384">
            <v>0.26146512416625844</v>
          </cell>
          <cell r="BG384">
            <v>0.11643177450352339</v>
          </cell>
        </row>
        <row r="385">
          <cell r="BB385">
            <v>2005</v>
          </cell>
          <cell r="BC385" t="str">
            <v>314</v>
          </cell>
          <cell r="BD385">
            <v>0.8320661896243291</v>
          </cell>
          <cell r="BE385">
            <v>4.0474060822898034E-2</v>
          </cell>
          <cell r="BF385">
            <v>0.10722271914132379</v>
          </cell>
          <cell r="BG385">
            <v>2.0237030411449017E-2</v>
          </cell>
        </row>
        <row r="386">
          <cell r="BB386">
            <v>2005</v>
          </cell>
          <cell r="BC386" t="str">
            <v>315</v>
          </cell>
          <cell r="BD386">
            <v>0.9148463532025165</v>
          </cell>
          <cell r="BE386">
            <v>5.1092188078489392E-2</v>
          </cell>
          <cell r="BF386">
            <v>1.1625323954091062E-15</v>
          </cell>
          <cell r="BG386">
            <v>3.406145871899293E-2</v>
          </cell>
        </row>
        <row r="387">
          <cell r="BB387">
            <v>2005</v>
          </cell>
          <cell r="BC387" t="str">
            <v>316</v>
          </cell>
          <cell r="BD387">
            <v>0.74404761904761485</v>
          </cell>
          <cell r="BE387">
            <v>0.12797619047618969</v>
          </cell>
          <cell r="BF387">
            <v>5.8779761904761509E-15</v>
          </cell>
          <cell r="BG387">
            <v>0.12797619047618969</v>
          </cell>
        </row>
        <row r="388">
          <cell r="BB388">
            <v>2005</v>
          </cell>
          <cell r="BC388" t="str">
            <v>321</v>
          </cell>
          <cell r="BD388">
            <v>0.2292330928008055</v>
          </cell>
          <cell r="BE388">
            <v>4.9330144878894665E-2</v>
          </cell>
          <cell r="BF388">
            <v>3.4723387592996591E-2</v>
          </cell>
          <cell r="BG388">
            <v>0.68671337472730332</v>
          </cell>
        </row>
        <row r="389">
          <cell r="BB389">
            <v>2005</v>
          </cell>
          <cell r="BC389" t="str">
            <v>322</v>
          </cell>
          <cell r="BD389">
            <v>0.22776457930880017</v>
          </cell>
          <cell r="BE389">
            <v>5.0256503578918178E-2</v>
          </cell>
          <cell r="BF389">
            <v>0.10607852822405933</v>
          </cell>
          <cell r="BG389">
            <v>0.61590038888822229</v>
          </cell>
        </row>
        <row r="390">
          <cell r="BB390">
            <v>2005</v>
          </cell>
          <cell r="BC390" t="str">
            <v>323</v>
          </cell>
          <cell r="BD390">
            <v>0.9535372791091743</v>
          </cell>
          <cell r="BE390">
            <v>1.4115831517792297E-2</v>
          </cell>
          <cell r="BF390">
            <v>2.3526385862987167E-16</v>
          </cell>
          <cell r="BG390">
            <v>3.234688937303315E-2</v>
          </cell>
        </row>
        <row r="391">
          <cell r="BB391">
            <v>2005</v>
          </cell>
          <cell r="BC391" t="str">
            <v>324</v>
          </cell>
          <cell r="BD391">
            <v>0.2667041997107088</v>
          </cell>
          <cell r="BE391">
            <v>2.2428425357873212E-2</v>
          </cell>
          <cell r="BF391">
            <v>1.3250162102848021E-2</v>
          </cell>
          <cell r="BG391">
            <v>0.69761721282856992</v>
          </cell>
        </row>
        <row r="392">
          <cell r="BB392">
            <v>2005</v>
          </cell>
          <cell r="BC392" t="str">
            <v>325</v>
          </cell>
          <cell r="BD392">
            <v>0.51986478183107054</v>
          </cell>
          <cell r="BE392">
            <v>1.3357984649802607E-2</v>
          </cell>
          <cell r="BF392">
            <v>7.0985968981786204E-2</v>
          </cell>
          <cell r="BG392">
            <v>0.39579126453734076</v>
          </cell>
        </row>
        <row r="393">
          <cell r="BB393">
            <v>2005</v>
          </cell>
          <cell r="BC393" t="str">
            <v>326</v>
          </cell>
          <cell r="BD393">
            <v>0.83241251826570073</v>
          </cell>
          <cell r="BE393">
            <v>7.3550103527151994E-2</v>
          </cell>
          <cell r="BF393">
            <v>5.4915216167791436E-2</v>
          </cell>
          <cell r="BG393">
            <v>3.9122162039355805E-2</v>
          </cell>
        </row>
        <row r="394">
          <cell r="BB394">
            <v>2005</v>
          </cell>
          <cell r="BC394" t="str">
            <v>327</v>
          </cell>
          <cell r="BD394">
            <v>0.47487476195605094</v>
          </cell>
          <cell r="BE394">
            <v>3.5165479215984639E-2</v>
          </cell>
          <cell r="BF394">
            <v>0.34694919895776288</v>
          </cell>
          <cell r="BG394">
            <v>0.14301055987020161</v>
          </cell>
        </row>
        <row r="395">
          <cell r="BB395">
            <v>2005</v>
          </cell>
          <cell r="BC395" t="str">
            <v>331</v>
          </cell>
          <cell r="BD395">
            <v>0.44378154547796472</v>
          </cell>
          <cell r="BE395">
            <v>1.703408104265855E-2</v>
          </cell>
          <cell r="BF395">
            <v>0.31364195822877805</v>
          </cell>
          <cell r="BG395">
            <v>0.2255424152505987</v>
          </cell>
        </row>
        <row r="396">
          <cell r="BB396">
            <v>2005</v>
          </cell>
          <cell r="BC396" t="str">
            <v>332</v>
          </cell>
          <cell r="BD396">
            <v>0.94256081356276922</v>
          </cell>
          <cell r="BE396">
            <v>1.6442956175508318E-2</v>
          </cell>
          <cell r="BF396">
            <v>1.9490360081485831E-3</v>
          </cell>
          <cell r="BG396">
            <v>3.9047194253573884E-2</v>
          </cell>
        </row>
        <row r="397">
          <cell r="BB397">
            <v>2005</v>
          </cell>
          <cell r="BC397" t="str">
            <v>333</v>
          </cell>
          <cell r="BD397">
            <v>0.89667069173710534</v>
          </cell>
          <cell r="BE397">
            <v>3.3551837157150252E-2</v>
          </cell>
          <cell r="BF397">
            <v>1.0738312920476108E-2</v>
          </cell>
          <cell r="BG397">
            <v>5.903915818526824E-2</v>
          </cell>
        </row>
        <row r="398">
          <cell r="BB398">
            <v>2005</v>
          </cell>
          <cell r="BC398" t="str">
            <v>334</v>
          </cell>
          <cell r="BD398">
            <v>0.93394886363636365</v>
          </cell>
          <cell r="BE398">
            <v>3.0539772727272728E-2</v>
          </cell>
          <cell r="BF398">
            <v>2.2727272727272726E-3</v>
          </cell>
          <cell r="BG398">
            <v>3.3238636363636359E-2</v>
          </cell>
        </row>
        <row r="399">
          <cell r="BB399">
            <v>2005</v>
          </cell>
          <cell r="BC399" t="str">
            <v>335</v>
          </cell>
          <cell r="BD399">
            <v>0.94302633768574173</v>
          </cell>
          <cell r="BE399">
            <v>1.8715220982478072E-2</v>
          </cell>
          <cell r="BF399">
            <v>5.2216724775445761E-3</v>
          </cell>
          <cell r="BG399">
            <v>3.3036768854235579E-2</v>
          </cell>
        </row>
        <row r="400">
          <cell r="BB400">
            <v>2005</v>
          </cell>
          <cell r="BC400" t="str">
            <v>336</v>
          </cell>
          <cell r="BD400">
            <v>0.85658625230357943</v>
          </cell>
          <cell r="BE400">
            <v>3.6207968979013856E-2</v>
          </cell>
          <cell r="BF400">
            <v>2.1038256789976409E-2</v>
          </cell>
          <cell r="BG400">
            <v>8.6167521927430213E-2</v>
          </cell>
        </row>
        <row r="401">
          <cell r="BB401">
            <v>2005</v>
          </cell>
          <cell r="BC401" t="str">
            <v>337</v>
          </cell>
          <cell r="BD401">
            <v>0.60955839005305745</v>
          </cell>
          <cell r="BE401">
            <v>2.6173696339568037E-2</v>
          </cell>
          <cell r="BF401">
            <v>7.5935205530843028E-2</v>
          </cell>
          <cell r="BG401">
            <v>0.28833270807653144</v>
          </cell>
        </row>
        <row r="402">
          <cell r="BB402">
            <v>2005</v>
          </cell>
          <cell r="BC402" t="str">
            <v>339</v>
          </cell>
          <cell r="BD402">
            <v>0.79737559645535105</v>
          </cell>
          <cell r="BE402">
            <v>8.7465916837082477E-2</v>
          </cell>
          <cell r="BF402">
            <v>2.3006134969325849E-3</v>
          </cell>
          <cell r="BG402">
            <v>0.11285787321063394</v>
          </cell>
        </row>
        <row r="403">
          <cell r="BB403">
            <v>2006</v>
          </cell>
          <cell r="BC403" t="str">
            <v>311</v>
          </cell>
          <cell r="BD403">
            <v>0.67914438502673802</v>
          </cell>
          <cell r="BE403">
            <v>4.4919786096256686E-2</v>
          </cell>
          <cell r="BF403">
            <v>0.15828877005347594</v>
          </cell>
          <cell r="BG403">
            <v>0.11764705882352941</v>
          </cell>
        </row>
        <row r="404">
          <cell r="BB404">
            <v>2006</v>
          </cell>
          <cell r="BC404" t="str">
            <v>312</v>
          </cell>
          <cell r="BD404">
            <v>0.52564102564102566</v>
          </cell>
          <cell r="BE404">
            <v>5.128205128205128E-2</v>
          </cell>
          <cell r="BF404">
            <v>0.25641025641025639</v>
          </cell>
          <cell r="BG404">
            <v>0.16666666666666666</v>
          </cell>
        </row>
        <row r="405">
          <cell r="BB405">
            <v>2006</v>
          </cell>
          <cell r="BC405" t="str">
            <v>313</v>
          </cell>
          <cell r="BD405">
            <v>0.5829596412556054</v>
          </cell>
          <cell r="BE405">
            <v>2.2421524663677129E-2</v>
          </cell>
          <cell r="BF405">
            <v>0.28699551569506726</v>
          </cell>
          <cell r="BG405">
            <v>0.10762331838565023</v>
          </cell>
        </row>
        <row r="406">
          <cell r="BB406">
            <v>2006</v>
          </cell>
          <cell r="BC406" t="str">
            <v>314</v>
          </cell>
          <cell r="BD406">
            <v>0.88461538461538458</v>
          </cell>
          <cell r="BE406">
            <v>3.8461538461538464E-2</v>
          </cell>
          <cell r="BF406">
            <v>5.7692307692307696E-2</v>
          </cell>
          <cell r="BG406">
            <v>1.9230769230769232E-2</v>
          </cell>
        </row>
        <row r="407">
          <cell r="BB407">
            <v>2006</v>
          </cell>
          <cell r="BC407" t="str">
            <v>315</v>
          </cell>
          <cell r="BD407">
            <v>0.93150684931506722</v>
          </cell>
          <cell r="BE407">
            <v>4.1095890410958846E-2</v>
          </cell>
          <cell r="BF407">
            <v>1.3698630136986284E-15</v>
          </cell>
          <cell r="BG407">
            <v>2.739726027397257E-2</v>
          </cell>
        </row>
        <row r="408">
          <cell r="BB408">
            <v>2006</v>
          </cell>
          <cell r="BC408" t="str">
            <v>316</v>
          </cell>
          <cell r="BD408">
            <v>0.71428571428570919</v>
          </cell>
          <cell r="BE408">
            <v>0.14285714285714185</v>
          </cell>
          <cell r="BF408">
            <v>7.1428571428570917E-15</v>
          </cell>
          <cell r="BG408">
            <v>0.14285714285714185</v>
          </cell>
        </row>
        <row r="409">
          <cell r="BB409">
            <v>2006</v>
          </cell>
          <cell r="BC409" t="str">
            <v>321</v>
          </cell>
          <cell r="BD409">
            <v>0.24293785310734464</v>
          </cell>
          <cell r="BE409">
            <v>5.3672316384180789E-2</v>
          </cell>
          <cell r="BF409">
            <v>4.519774011299435E-2</v>
          </cell>
          <cell r="BG409">
            <v>0.65819209039548021</v>
          </cell>
        </row>
        <row r="410">
          <cell r="BB410">
            <v>2006</v>
          </cell>
          <cell r="BC410" t="str">
            <v>322</v>
          </cell>
          <cell r="BD410">
            <v>0.22507122507122507</v>
          </cell>
          <cell r="BE410">
            <v>4.9382716049382713E-2</v>
          </cell>
          <cell r="BF410">
            <v>0.10493827160493827</v>
          </cell>
          <cell r="BG410">
            <v>0.62060778727445398</v>
          </cell>
        </row>
        <row r="411">
          <cell r="BB411">
            <v>2006</v>
          </cell>
          <cell r="BC411" t="str">
            <v>323</v>
          </cell>
          <cell r="BD411">
            <v>0.95588235294117618</v>
          </cell>
          <cell r="BE411">
            <v>1.4705882352941171E-2</v>
          </cell>
          <cell r="BF411">
            <v>2.4509803921568622E-16</v>
          </cell>
          <cell r="BG411">
            <v>2.9411764705882342E-2</v>
          </cell>
        </row>
        <row r="412">
          <cell r="BB412">
            <v>2006</v>
          </cell>
          <cell r="BC412" t="str">
            <v>324</v>
          </cell>
          <cell r="BD412">
            <v>0.26042944785276073</v>
          </cell>
          <cell r="BE412">
            <v>2.5460122699386502E-2</v>
          </cell>
          <cell r="BF412">
            <v>1.6257668711656442E-2</v>
          </cell>
          <cell r="BG412">
            <v>0.69785276073619629</v>
          </cell>
        </row>
        <row r="413">
          <cell r="BB413">
            <v>2006</v>
          </cell>
          <cell r="BC413" t="str">
            <v>325</v>
          </cell>
          <cell r="BD413">
            <v>0.52073216286888313</v>
          </cell>
          <cell r="BE413">
            <v>1.1953679491968622E-2</v>
          </cell>
          <cell r="BF413">
            <v>6.2383264848711241E-2</v>
          </cell>
          <cell r="BG413">
            <v>0.40493089279043704</v>
          </cell>
        </row>
        <row r="414">
          <cell r="BB414">
            <v>2006</v>
          </cell>
          <cell r="BC414" t="str">
            <v>326</v>
          </cell>
          <cell r="BD414">
            <v>0.82844096542726675</v>
          </cell>
          <cell r="BE414">
            <v>7.8277886497064575E-2</v>
          </cell>
          <cell r="BF414">
            <v>5.8708414872798431E-2</v>
          </cell>
          <cell r="BG414">
            <v>3.4572733202870187E-2</v>
          </cell>
        </row>
        <row r="415">
          <cell r="BB415">
            <v>2006</v>
          </cell>
          <cell r="BC415" t="str">
            <v>327</v>
          </cell>
          <cell r="BD415">
            <v>0.4791231732776618</v>
          </cell>
          <cell r="BE415">
            <v>3.444676409185804E-2</v>
          </cell>
          <cell r="BF415">
            <v>0.3455114822546973</v>
          </cell>
          <cell r="BG415">
            <v>0.14091858037578289</v>
          </cell>
        </row>
        <row r="416">
          <cell r="BB416">
            <v>2006</v>
          </cell>
          <cell r="BC416" t="str">
            <v>331</v>
          </cell>
          <cell r="BD416">
            <v>0.45489891135303268</v>
          </cell>
          <cell r="BE416">
            <v>1.9440124416796267E-2</v>
          </cell>
          <cell r="BF416">
            <v>0.29548989113530327</v>
          </cell>
          <cell r="BG416">
            <v>0.23017107309486781</v>
          </cell>
        </row>
        <row r="417">
          <cell r="BB417">
            <v>2006</v>
          </cell>
          <cell r="BC417" t="str">
            <v>332</v>
          </cell>
          <cell r="BD417">
            <v>0.94824180165942318</v>
          </cell>
          <cell r="BE417">
            <v>9.8775187672856587E-3</v>
          </cell>
          <cell r="BF417">
            <v>3.9510075069142635E-4</v>
          </cell>
          <cell r="BG417">
            <v>4.1485578822599761E-2</v>
          </cell>
        </row>
        <row r="418">
          <cell r="BB418">
            <v>2006</v>
          </cell>
          <cell r="BC418" t="str">
            <v>333</v>
          </cell>
          <cell r="BD418">
            <v>0.90322580645161288</v>
          </cell>
          <cell r="BE418">
            <v>3.2258064516129031E-2</v>
          </cell>
          <cell r="BF418">
            <v>1.0752688172043012E-2</v>
          </cell>
          <cell r="BG418">
            <v>5.3763440860215055E-2</v>
          </cell>
        </row>
        <row r="419">
          <cell r="BB419">
            <v>2006</v>
          </cell>
          <cell r="BC419" t="str">
            <v>334</v>
          </cell>
          <cell r="BD419">
            <v>0.9375</v>
          </cell>
          <cell r="BE419">
            <v>3.125E-2</v>
          </cell>
          <cell r="BF419">
            <v>2.0833333333333333E-3</v>
          </cell>
          <cell r="BG419">
            <v>2.9166666666666664E-2</v>
          </cell>
        </row>
        <row r="420">
          <cell r="BB420">
            <v>2006</v>
          </cell>
          <cell r="BC420" t="str">
            <v>335</v>
          </cell>
          <cell r="BD420">
            <v>0.94688221709006914</v>
          </cell>
          <cell r="BE420">
            <v>1.6166281755196302E-2</v>
          </cell>
          <cell r="BF420">
            <v>4.6189376443418013E-3</v>
          </cell>
          <cell r="BG420">
            <v>3.2332563510392605E-2</v>
          </cell>
        </row>
        <row r="421">
          <cell r="BB421">
            <v>2006</v>
          </cell>
          <cell r="BC421" t="str">
            <v>336</v>
          </cell>
          <cell r="BD421">
            <v>0.87737843551797035</v>
          </cell>
          <cell r="BE421">
            <v>3.5236081747709654E-2</v>
          </cell>
          <cell r="BF421">
            <v>1.7618040873854827E-2</v>
          </cell>
          <cell r="BG421">
            <v>6.9767441860465115E-2</v>
          </cell>
        </row>
        <row r="422">
          <cell r="BB422">
            <v>2006</v>
          </cell>
          <cell r="BC422" t="str">
            <v>337</v>
          </cell>
          <cell r="BD422">
            <v>0.6028368794326241</v>
          </cell>
          <cell r="BE422">
            <v>2.4822695035460991E-2</v>
          </cell>
          <cell r="BF422">
            <v>8.8652482269503549E-2</v>
          </cell>
          <cell r="BG422">
            <v>0.28368794326241137</v>
          </cell>
        </row>
        <row r="423">
          <cell r="BB423">
            <v>2006</v>
          </cell>
          <cell r="BC423" t="str">
            <v>339</v>
          </cell>
          <cell r="BD423">
            <v>0.76687116564417179</v>
          </cell>
          <cell r="BE423">
            <v>0.10736196319018404</v>
          </cell>
          <cell r="BF423">
            <v>3.0674846625766872E-3</v>
          </cell>
          <cell r="BG423">
            <v>0.12269938650306748</v>
          </cell>
        </row>
        <row r="424">
          <cell r="BB424">
            <v>2007</v>
          </cell>
          <cell r="BC424" t="str">
            <v>311</v>
          </cell>
          <cell r="BD424">
            <v>0.66983500717360123</v>
          </cell>
          <cell r="BE424">
            <v>4.3113342898134864E-2</v>
          </cell>
          <cell r="BF424">
            <v>0.16971436024520672</v>
          </cell>
          <cell r="BG424">
            <v>0.11733728968305725</v>
          </cell>
        </row>
        <row r="425">
          <cell r="BB425">
            <v>2007</v>
          </cell>
          <cell r="BC425" t="str">
            <v>312</v>
          </cell>
          <cell r="BD425">
            <v>0.55802387267904519</v>
          </cell>
          <cell r="BE425">
            <v>4.7082228116710881E-2</v>
          </cell>
          <cell r="BF425">
            <v>0.23541114058355436</v>
          </cell>
          <cell r="BG425">
            <v>0.15948275862068967</v>
          </cell>
        </row>
        <row r="426">
          <cell r="BB426">
            <v>2007</v>
          </cell>
          <cell r="BC426" t="str">
            <v>313</v>
          </cell>
          <cell r="BD426">
            <v>0.5922197309417041</v>
          </cell>
          <cell r="BE426">
            <v>3.6816143497757844E-2</v>
          </cell>
          <cell r="BF426">
            <v>0.25524663677130044</v>
          </cell>
          <cell r="BG426">
            <v>0.11571748878923768</v>
          </cell>
        </row>
        <row r="427">
          <cell r="BB427">
            <v>2007</v>
          </cell>
          <cell r="BC427" t="str">
            <v>314</v>
          </cell>
          <cell r="BD427">
            <v>0.85096153846153844</v>
          </cell>
          <cell r="BE427">
            <v>4.5512820512820518E-2</v>
          </cell>
          <cell r="BF427">
            <v>7.8685897435897434E-2</v>
          </cell>
          <cell r="BG427">
            <v>2.4839743589743592E-2</v>
          </cell>
        </row>
        <row r="428">
          <cell r="BB428">
            <v>2007</v>
          </cell>
          <cell r="BC428" t="str">
            <v>315</v>
          </cell>
          <cell r="BD428">
            <v>0.89863013698630034</v>
          </cell>
          <cell r="BE428">
            <v>5.0821917808219139E-2</v>
          </cell>
          <cell r="BF428">
            <v>1.0273972602739712E-15</v>
          </cell>
          <cell r="BG428">
            <v>5.0547945205479422E-2</v>
          </cell>
        </row>
        <row r="429">
          <cell r="BB429">
            <v>2007</v>
          </cell>
          <cell r="BC429" t="str">
            <v>316</v>
          </cell>
          <cell r="BD429">
            <v>0.65336134453781136</v>
          </cell>
          <cell r="BE429">
            <v>0.12184873949579757</v>
          </cell>
          <cell r="BF429">
            <v>5.3571428571428188E-15</v>
          </cell>
          <cell r="BG429">
            <v>0.22478991596638581</v>
          </cell>
        </row>
        <row r="430">
          <cell r="BB430">
            <v>2007</v>
          </cell>
          <cell r="BC430" t="str">
            <v>321</v>
          </cell>
          <cell r="BD430">
            <v>0.20256754891052767</v>
          </cell>
          <cell r="BE430">
            <v>5.3670624446736453E-2</v>
          </cell>
          <cell r="BF430">
            <v>3.4497250940040441E-2</v>
          </cell>
          <cell r="BG430">
            <v>0.70926457570269552</v>
          </cell>
        </row>
        <row r="431">
          <cell r="BB431">
            <v>2007</v>
          </cell>
          <cell r="BC431" t="str">
            <v>322</v>
          </cell>
          <cell r="BD431">
            <v>0.22118487130565062</v>
          </cell>
          <cell r="BE431">
            <v>4.2419592306689929E-2</v>
          </cell>
          <cell r="BF431">
            <v>0.10591842827441209</v>
          </cell>
          <cell r="BG431">
            <v>0.63047710811324742</v>
          </cell>
        </row>
        <row r="432">
          <cell r="BB432">
            <v>2007</v>
          </cell>
          <cell r="BC432" t="str">
            <v>323</v>
          </cell>
          <cell r="BD432">
            <v>0.95302287581699319</v>
          </cell>
          <cell r="BE432">
            <v>1.6584967320261434E-2</v>
          </cell>
          <cell r="BF432">
            <v>1.8382352941176467E-16</v>
          </cell>
          <cell r="BG432">
            <v>3.0392156862745108E-2</v>
          </cell>
        </row>
        <row r="433">
          <cell r="BB433">
            <v>2007</v>
          </cell>
          <cell r="BC433" t="str">
            <v>324</v>
          </cell>
          <cell r="BD433">
            <v>0.26799466347031786</v>
          </cell>
          <cell r="BE433">
            <v>2.2340817167035128E-2</v>
          </cell>
          <cell r="BF433">
            <v>1.3064055840265446E-2</v>
          </cell>
          <cell r="BG433">
            <v>0.69660046352238147</v>
          </cell>
        </row>
        <row r="434">
          <cell r="BB434">
            <v>2007</v>
          </cell>
          <cell r="BC434" t="str">
            <v>325</v>
          </cell>
          <cell r="BD434">
            <v>0.55150184679980385</v>
          </cell>
          <cell r="BE434">
            <v>1.0318561675995593E-2</v>
          </cell>
          <cell r="BF434">
            <v>6.4831476063455129E-2</v>
          </cell>
          <cell r="BG434">
            <v>0.37334811546074553</v>
          </cell>
        </row>
        <row r="435">
          <cell r="BB435">
            <v>2007</v>
          </cell>
          <cell r="BC435" t="str">
            <v>326</v>
          </cell>
          <cell r="BD435">
            <v>0.8433134826911397</v>
          </cell>
          <cell r="BE435">
            <v>6.3665311424522572E-2</v>
          </cell>
          <cell r="BF435">
            <v>4.98502766718402E-2</v>
          </cell>
          <cell r="BG435">
            <v>4.3170929212497468E-2</v>
          </cell>
        </row>
        <row r="436">
          <cell r="BB436">
            <v>2007</v>
          </cell>
          <cell r="BC436" t="str">
            <v>327</v>
          </cell>
          <cell r="BD436">
            <v>0.47309237995824638</v>
          </cell>
          <cell r="BE436">
            <v>3.5835073068893532E-2</v>
          </cell>
          <cell r="BF436">
            <v>0.352883611691023</v>
          </cell>
          <cell r="BG436">
            <v>0.13818893528183718</v>
          </cell>
        </row>
        <row r="437">
          <cell r="BB437">
            <v>2007</v>
          </cell>
          <cell r="BC437" t="str">
            <v>331</v>
          </cell>
          <cell r="BD437">
            <v>0.44806112618993377</v>
          </cell>
          <cell r="BE437">
            <v>1.6570539172469811E-2</v>
          </cell>
          <cell r="BF437">
            <v>0.29924480688650934</v>
          </cell>
          <cell r="BG437">
            <v>0.23612352775108716</v>
          </cell>
        </row>
        <row r="438">
          <cell r="BB438">
            <v>2007</v>
          </cell>
          <cell r="BC438" t="str">
            <v>332</v>
          </cell>
          <cell r="BD438">
            <v>0.94537675354341799</v>
          </cell>
          <cell r="BE438">
            <v>1.2005840224889531E-2</v>
          </cell>
          <cell r="BF438">
            <v>7.2736004577719044E-4</v>
          </cell>
          <cell r="BG438">
            <v>4.1890046185915339E-2</v>
          </cell>
        </row>
        <row r="439">
          <cell r="BB439">
            <v>2007</v>
          </cell>
          <cell r="BC439" t="str">
            <v>333</v>
          </cell>
          <cell r="BD439">
            <v>0.90704419313107709</v>
          </cell>
          <cell r="BE439">
            <v>3.4542836873513331E-2</v>
          </cell>
          <cell r="BF439">
            <v>8.3879313942327761E-3</v>
          </cell>
          <cell r="BG439">
            <v>5.0025038601176811E-2</v>
          </cell>
        </row>
        <row r="440">
          <cell r="BB440">
            <v>2007</v>
          </cell>
          <cell r="BC440" t="str">
            <v>334</v>
          </cell>
          <cell r="BD440">
            <v>0.94450431034482762</v>
          </cell>
          <cell r="BE440">
            <v>2.8035201149425287E-2</v>
          </cell>
          <cell r="BF440">
            <v>1.5625000000000001E-3</v>
          </cell>
          <cell r="BG440">
            <v>2.5897988505747125E-2</v>
          </cell>
        </row>
        <row r="441">
          <cell r="BB441">
            <v>2007</v>
          </cell>
          <cell r="BC441" t="str">
            <v>335</v>
          </cell>
          <cell r="BD441">
            <v>0.94392789658378562</v>
          </cell>
          <cell r="BE441">
            <v>1.861821780990372E-2</v>
          </cell>
          <cell r="BF441">
            <v>5.4122551813082986E-3</v>
          </cell>
          <cell r="BG441">
            <v>3.204163042500225E-2</v>
          </cell>
        </row>
        <row r="442">
          <cell r="BB442">
            <v>2007</v>
          </cell>
          <cell r="BC442" t="str">
            <v>336</v>
          </cell>
          <cell r="BD442">
            <v>0.88006179866644985</v>
          </cell>
          <cell r="BE442">
            <v>3.5168320052040986E-2</v>
          </cell>
          <cell r="BF442">
            <v>1.8458285900146365E-2</v>
          </cell>
          <cell r="BG442">
            <v>6.6311595381362817E-2</v>
          </cell>
        </row>
        <row r="443">
          <cell r="BB443">
            <v>2007</v>
          </cell>
          <cell r="BC443" t="str">
            <v>337</v>
          </cell>
          <cell r="BD443">
            <v>0.62139849290780147</v>
          </cell>
          <cell r="BE443">
            <v>2.1221187943262412E-2</v>
          </cell>
          <cell r="BF443">
            <v>7.9510195035460987E-2</v>
          </cell>
          <cell r="BG443">
            <v>0.27787012411347523</v>
          </cell>
        </row>
        <row r="444">
          <cell r="BB444">
            <v>2007</v>
          </cell>
          <cell r="BC444" t="str">
            <v>339</v>
          </cell>
          <cell r="BD444">
            <v>0.80456513893901127</v>
          </cell>
          <cell r="BE444">
            <v>9.6697942980873336E-2</v>
          </cell>
          <cell r="BF444">
            <v>3.7712017322266336E-3</v>
          </cell>
          <cell r="BG444">
            <v>9.4965716347888779E-2</v>
          </cell>
        </row>
        <row r="445">
          <cell r="BB445">
            <v>2008</v>
          </cell>
          <cell r="BC445" t="str">
            <v>311</v>
          </cell>
          <cell r="BD445">
            <v>0.66052562932046444</v>
          </cell>
          <cell r="BE445">
            <v>4.1306899700013042E-2</v>
          </cell>
          <cell r="BF445">
            <v>0.18113995043693754</v>
          </cell>
          <cell r="BG445">
            <v>0.11702752054258511</v>
          </cell>
        </row>
        <row r="446">
          <cell r="BB446">
            <v>2008</v>
          </cell>
          <cell r="BC446" t="str">
            <v>312</v>
          </cell>
          <cell r="BD446">
            <v>0.5904067197170646</v>
          </cell>
          <cell r="BE446">
            <v>4.2882404951370467E-2</v>
          </cell>
          <cell r="BF446">
            <v>0.21441202475685234</v>
          </cell>
          <cell r="BG446">
            <v>0.15229885057471265</v>
          </cell>
        </row>
        <row r="447">
          <cell r="BB447">
            <v>2008</v>
          </cell>
          <cell r="BC447" t="str">
            <v>313</v>
          </cell>
          <cell r="BD447">
            <v>0.6014798206278027</v>
          </cell>
          <cell r="BE447">
            <v>5.1210762331838564E-2</v>
          </cell>
          <cell r="BF447">
            <v>0.22349775784753362</v>
          </cell>
          <cell r="BG447">
            <v>0.12381165919282512</v>
          </cell>
        </row>
        <row r="448">
          <cell r="BB448">
            <v>2008</v>
          </cell>
          <cell r="BC448" t="str">
            <v>314</v>
          </cell>
          <cell r="BD448">
            <v>0.81730769230769229</v>
          </cell>
          <cell r="BE448">
            <v>5.2564102564102565E-2</v>
          </cell>
          <cell r="BF448">
            <v>9.9679487179487186E-2</v>
          </cell>
          <cell r="BG448">
            <v>3.0448717948717948E-2</v>
          </cell>
        </row>
        <row r="449">
          <cell r="BB449">
            <v>2008</v>
          </cell>
          <cell r="BC449" t="str">
            <v>315</v>
          </cell>
          <cell r="BD449">
            <v>0.86575342465753358</v>
          </cell>
          <cell r="BE449">
            <v>6.0547945205479424E-2</v>
          </cell>
          <cell r="BF449">
            <v>6.8493150684931419E-16</v>
          </cell>
          <cell r="BG449">
            <v>7.3698630136986285E-2</v>
          </cell>
        </row>
        <row r="450">
          <cell r="BB450">
            <v>2008</v>
          </cell>
          <cell r="BC450" t="str">
            <v>316</v>
          </cell>
          <cell r="BD450">
            <v>0.59243697478991342</v>
          </cell>
          <cell r="BE450">
            <v>0.10084033613445328</v>
          </cell>
          <cell r="BF450">
            <v>3.5714285714285458E-15</v>
          </cell>
          <cell r="BG450">
            <v>0.30672268907562972</v>
          </cell>
        </row>
        <row r="451">
          <cell r="BB451">
            <v>2008</v>
          </cell>
          <cell r="BC451" t="str">
            <v>321</v>
          </cell>
          <cell r="BD451">
            <v>0.16219724471371066</v>
          </cell>
          <cell r="BE451">
            <v>5.3668932509292118E-2</v>
          </cell>
          <cell r="BF451">
            <v>2.3796761767086536E-2</v>
          </cell>
          <cell r="BG451">
            <v>0.76033706100991072</v>
          </cell>
        </row>
        <row r="452">
          <cell r="BB452">
            <v>2008</v>
          </cell>
          <cell r="BC452" t="str">
            <v>322</v>
          </cell>
          <cell r="BD452">
            <v>0.21729851754007612</v>
          </cell>
          <cell r="BE452">
            <v>3.5456468563997139E-2</v>
          </cell>
          <cell r="BF452">
            <v>0.10689858494388593</v>
          </cell>
          <cell r="BG452">
            <v>0.64034642895204086</v>
          </cell>
        </row>
        <row r="453">
          <cell r="BB453">
            <v>2008</v>
          </cell>
          <cell r="BC453" t="str">
            <v>323</v>
          </cell>
          <cell r="BD453">
            <v>0.9501633986928103</v>
          </cell>
          <cell r="BE453">
            <v>1.8464052287581696E-2</v>
          </cell>
          <cell r="BF453">
            <v>1.2254901960784311E-16</v>
          </cell>
          <cell r="BG453">
            <v>3.1372549019607877E-2</v>
          </cell>
        </row>
        <row r="454">
          <cell r="BB454">
            <v>2008</v>
          </cell>
          <cell r="BC454" t="str">
            <v>324</v>
          </cell>
          <cell r="BD454">
            <v>0.27555987908787499</v>
          </cell>
          <cell r="BE454">
            <v>1.922151163468375E-2</v>
          </cell>
          <cell r="BF454">
            <v>9.870442968874453E-3</v>
          </cell>
          <cell r="BG454">
            <v>0.69534816630856677</v>
          </cell>
        </row>
        <row r="455">
          <cell r="BB455">
            <v>2008</v>
          </cell>
          <cell r="BC455" t="str">
            <v>325</v>
          </cell>
          <cell r="BD455">
            <v>0.58227153073072446</v>
          </cell>
          <cell r="BE455">
            <v>8.6834438600225643E-3</v>
          </cell>
          <cell r="BF455">
            <v>6.7279687278198996E-2</v>
          </cell>
          <cell r="BG455">
            <v>0.34176533813105392</v>
          </cell>
        </row>
        <row r="456">
          <cell r="BB456">
            <v>2008</v>
          </cell>
          <cell r="BC456" t="str">
            <v>326</v>
          </cell>
          <cell r="BD456">
            <v>0.85818599995501277</v>
          </cell>
          <cell r="BE456">
            <v>4.9052736351980562E-2</v>
          </cell>
          <cell r="BF456">
            <v>4.0992138470881977E-2</v>
          </cell>
          <cell r="BG456">
            <v>5.1769125222124748E-2</v>
          </cell>
        </row>
        <row r="457">
          <cell r="BB457">
            <v>2008</v>
          </cell>
          <cell r="BC457" t="str">
            <v>327</v>
          </cell>
          <cell r="BD457">
            <v>0.46706158663883091</v>
          </cell>
          <cell r="BE457">
            <v>3.7223382045929024E-2</v>
          </cell>
          <cell r="BF457">
            <v>0.36025574112734865</v>
          </cell>
          <cell r="BG457">
            <v>0.13545929018789143</v>
          </cell>
        </row>
        <row r="458">
          <cell r="BB458">
            <v>2008</v>
          </cell>
          <cell r="BC458" t="str">
            <v>331</v>
          </cell>
          <cell r="BD458">
            <v>0.4412233410268348</v>
          </cell>
          <cell r="BE458">
            <v>1.3700953928143356E-2</v>
          </cell>
          <cell r="BF458">
            <v>0.30299972263771535</v>
          </cell>
          <cell r="BG458">
            <v>0.24207598240730654</v>
          </cell>
        </row>
        <row r="459">
          <cell r="BB459">
            <v>2008</v>
          </cell>
          <cell r="BC459" t="str">
            <v>332</v>
          </cell>
          <cell r="BD459">
            <v>0.9425117054274128</v>
          </cell>
          <cell r="BE459">
            <v>1.4134161682493405E-2</v>
          </cell>
          <cell r="BF459">
            <v>1.0596193408629545E-3</v>
          </cell>
          <cell r="BG459">
            <v>4.2294513549230917E-2</v>
          </cell>
        </row>
        <row r="460">
          <cell r="BB460">
            <v>2008</v>
          </cell>
          <cell r="BC460" t="str">
            <v>333</v>
          </cell>
          <cell r="BD460">
            <v>0.9108625798105412</v>
          </cell>
          <cell r="BE460">
            <v>3.6827609230897632E-2</v>
          </cell>
          <cell r="BF460">
            <v>6.0231746164225407E-3</v>
          </cell>
          <cell r="BG460">
            <v>4.6286636342138573E-2</v>
          </cell>
        </row>
        <row r="461">
          <cell r="BB461">
            <v>2008</v>
          </cell>
          <cell r="BC461" t="str">
            <v>334</v>
          </cell>
          <cell r="BD461">
            <v>0.95150862068965525</v>
          </cell>
          <cell r="BE461">
            <v>2.4820402298850575E-2</v>
          </cell>
          <cell r="BF461">
            <v>1.0416666666666667E-3</v>
          </cell>
          <cell r="BG461">
            <v>2.2629310344827583E-2</v>
          </cell>
        </row>
        <row r="462">
          <cell r="BB462">
            <v>2008</v>
          </cell>
          <cell r="BC462" t="str">
            <v>335</v>
          </cell>
          <cell r="BD462">
            <v>0.94097357607750209</v>
          </cell>
          <cell r="BE462">
            <v>2.1070153864611141E-2</v>
          </cell>
          <cell r="BF462">
            <v>6.2055727182747968E-3</v>
          </cell>
          <cell r="BG462">
            <v>3.1750697339611889E-2</v>
          </cell>
        </row>
        <row r="463">
          <cell r="BB463">
            <v>2008</v>
          </cell>
          <cell r="BC463" t="str">
            <v>336</v>
          </cell>
          <cell r="BD463">
            <v>0.88274516181492924</v>
          </cell>
          <cell r="BE463">
            <v>3.5100558356372311E-2</v>
          </cell>
          <cell r="BF463">
            <v>1.9298530926437903E-2</v>
          </cell>
          <cell r="BG463">
            <v>6.2855748902260533E-2</v>
          </cell>
        </row>
        <row r="464">
          <cell r="BB464">
            <v>2008</v>
          </cell>
          <cell r="BC464" t="str">
            <v>337</v>
          </cell>
          <cell r="BD464">
            <v>0.63996010638297873</v>
          </cell>
          <cell r="BE464">
            <v>1.7619680851063829E-2</v>
          </cell>
          <cell r="BF464">
            <v>7.0367907801418439E-2</v>
          </cell>
          <cell r="BG464">
            <v>0.27205230496453903</v>
          </cell>
        </row>
        <row r="465">
          <cell r="BB465">
            <v>2008</v>
          </cell>
          <cell r="BC465" t="str">
            <v>339</v>
          </cell>
          <cell r="BD465">
            <v>0.84225911223385075</v>
          </cell>
          <cell r="BE465">
            <v>8.6033922771562618E-2</v>
          </cell>
          <cell r="BF465">
            <v>4.4749188018765795E-3</v>
          </cell>
          <cell r="BG465">
            <v>6.7232046192710088E-2</v>
          </cell>
        </row>
        <row r="466">
          <cell r="BB466">
            <v>2009</v>
          </cell>
          <cell r="BC466" t="str">
            <v>311</v>
          </cell>
          <cell r="BD466">
            <v>0.65121625146732753</v>
          </cell>
          <cell r="BE466">
            <v>3.9500456501891226E-2</v>
          </cell>
          <cell r="BF466">
            <v>0.19256554062866832</v>
          </cell>
          <cell r="BG466">
            <v>0.11671775140211296</v>
          </cell>
        </row>
        <row r="467">
          <cell r="BB467">
            <v>2009</v>
          </cell>
          <cell r="BC467" t="str">
            <v>312</v>
          </cell>
          <cell r="BD467">
            <v>0.62278956675508401</v>
          </cell>
          <cell r="BE467">
            <v>3.8682581786030061E-2</v>
          </cell>
          <cell r="BF467">
            <v>0.19341290893015031</v>
          </cell>
          <cell r="BG467">
            <v>0.14511494252873564</v>
          </cell>
        </row>
        <row r="468">
          <cell r="BB468">
            <v>2009</v>
          </cell>
          <cell r="BC468" t="str">
            <v>313</v>
          </cell>
          <cell r="BD468">
            <v>0.61073991031390129</v>
          </cell>
          <cell r="BE468">
            <v>6.5605381165919283E-2</v>
          </cell>
          <cell r="BF468">
            <v>0.1917488789237668</v>
          </cell>
          <cell r="BG468">
            <v>0.13190582959641256</v>
          </cell>
        </row>
        <row r="469">
          <cell r="BB469">
            <v>2009</v>
          </cell>
          <cell r="BC469" t="str">
            <v>314</v>
          </cell>
          <cell r="BD469">
            <v>0.78365384615384615</v>
          </cell>
          <cell r="BE469">
            <v>5.9615384615384619E-2</v>
          </cell>
          <cell r="BF469">
            <v>0.12067307692307692</v>
          </cell>
          <cell r="BG469">
            <v>3.6057692307692304E-2</v>
          </cell>
        </row>
        <row r="470">
          <cell r="BB470">
            <v>2009</v>
          </cell>
          <cell r="BC470" t="str">
            <v>315</v>
          </cell>
          <cell r="BD470">
            <v>0.83287671232876692</v>
          </cell>
          <cell r="BE470">
            <v>7.0273972602739709E-2</v>
          </cell>
          <cell r="BF470">
            <v>3.4246575342465709E-16</v>
          </cell>
          <cell r="BG470">
            <v>9.6849315068493133E-2</v>
          </cell>
        </row>
        <row r="471">
          <cell r="BB471">
            <v>2009</v>
          </cell>
          <cell r="BC471" t="str">
            <v>316</v>
          </cell>
          <cell r="BD471">
            <v>0.53151260504201547</v>
          </cell>
          <cell r="BE471">
            <v>7.9831932773108988E-2</v>
          </cell>
          <cell r="BF471">
            <v>1.7857142857142729E-15</v>
          </cell>
          <cell r="BG471">
            <v>0.38865546218487368</v>
          </cell>
        </row>
        <row r="472">
          <cell r="BB472">
            <v>2009</v>
          </cell>
          <cell r="BC472" t="str">
            <v>321</v>
          </cell>
          <cell r="BD472">
            <v>0.12182694051689366</v>
          </cell>
          <cell r="BE472">
            <v>5.3667240571847782E-2</v>
          </cell>
          <cell r="BF472">
            <v>1.3096272594132631E-2</v>
          </cell>
          <cell r="BG472">
            <v>0.81140954631712592</v>
          </cell>
        </row>
        <row r="473">
          <cell r="BB473">
            <v>2009</v>
          </cell>
          <cell r="BC473" t="str">
            <v>322</v>
          </cell>
          <cell r="BD473">
            <v>0.21341216377450162</v>
          </cell>
          <cell r="BE473">
            <v>2.8493344821304351E-2</v>
          </cell>
          <cell r="BF473">
            <v>0.10787874161335978</v>
          </cell>
          <cell r="BG473">
            <v>0.6502157497908343</v>
          </cell>
        </row>
        <row r="474">
          <cell r="BB474">
            <v>2009</v>
          </cell>
          <cell r="BC474" t="str">
            <v>323</v>
          </cell>
          <cell r="BD474">
            <v>0.94730392156862731</v>
          </cell>
          <cell r="BE474">
            <v>2.0343137254901958E-2</v>
          </cell>
          <cell r="BF474">
            <v>6.1274509803921556E-17</v>
          </cell>
          <cell r="BG474">
            <v>3.235294117647064E-2</v>
          </cell>
        </row>
        <row r="475">
          <cell r="BB475">
            <v>2009</v>
          </cell>
          <cell r="BC475" t="str">
            <v>324</v>
          </cell>
          <cell r="BD475">
            <v>0.28312509470543212</v>
          </cell>
          <cell r="BE475">
            <v>1.6102206102332376E-2</v>
          </cell>
          <cell r="BF475">
            <v>6.6768300974834579E-3</v>
          </cell>
          <cell r="BG475">
            <v>0.69409586909475207</v>
          </cell>
        </row>
        <row r="476">
          <cell r="BB476">
            <v>2009</v>
          </cell>
          <cell r="BC476" t="str">
            <v>325</v>
          </cell>
          <cell r="BD476">
            <v>0.61304121466164518</v>
          </cell>
          <cell r="BE476">
            <v>7.0483260440495354E-3</v>
          </cell>
          <cell r="BF476">
            <v>6.9727898492942877E-2</v>
          </cell>
          <cell r="BG476">
            <v>0.31018256080136242</v>
          </cell>
        </row>
        <row r="477">
          <cell r="BB477">
            <v>2009</v>
          </cell>
          <cell r="BC477" t="str">
            <v>326</v>
          </cell>
          <cell r="BD477">
            <v>0.87305851721888561</v>
          </cell>
          <cell r="BE477">
            <v>3.4440161279438553E-2</v>
          </cell>
          <cell r="BF477">
            <v>3.2134000269923746E-2</v>
          </cell>
          <cell r="BG477">
            <v>6.0367321231752029E-2</v>
          </cell>
        </row>
        <row r="478">
          <cell r="BB478">
            <v>2009</v>
          </cell>
          <cell r="BC478" t="str">
            <v>327</v>
          </cell>
          <cell r="BD478">
            <v>0.46103079331941543</v>
          </cell>
          <cell r="BE478">
            <v>3.8611691022964509E-2</v>
          </cell>
          <cell r="BF478">
            <v>0.3676278705636743</v>
          </cell>
          <cell r="BG478">
            <v>0.13272964509394572</v>
          </cell>
        </row>
        <row r="479">
          <cell r="BB479">
            <v>2009</v>
          </cell>
          <cell r="BC479" t="str">
            <v>331</v>
          </cell>
          <cell r="BD479">
            <v>0.43438555586373584</v>
          </cell>
          <cell r="BE479">
            <v>1.0831368683816902E-2</v>
          </cell>
          <cell r="BF479">
            <v>0.30675463838892136</v>
          </cell>
          <cell r="BG479">
            <v>0.2480284370635259</v>
          </cell>
        </row>
        <row r="480">
          <cell r="BB480">
            <v>2009</v>
          </cell>
          <cell r="BC480" t="str">
            <v>332</v>
          </cell>
          <cell r="BD480">
            <v>0.93964665731140751</v>
          </cell>
          <cell r="BE480">
            <v>1.6262483140097275E-2</v>
          </cell>
          <cell r="BF480">
            <v>1.3918786359487186E-3</v>
          </cell>
          <cell r="BG480">
            <v>4.2698980912546494E-2</v>
          </cell>
        </row>
        <row r="481">
          <cell r="BB481">
            <v>2009</v>
          </cell>
          <cell r="BC481" t="str">
            <v>333</v>
          </cell>
          <cell r="BD481">
            <v>0.91468096649000552</v>
          </cell>
          <cell r="BE481">
            <v>3.9112381588281939E-2</v>
          </cell>
          <cell r="BF481">
            <v>3.6584178386123052E-3</v>
          </cell>
          <cell r="BG481">
            <v>4.2548234083100336E-2</v>
          </cell>
        </row>
        <row r="482">
          <cell r="BB482">
            <v>2009</v>
          </cell>
          <cell r="BC482" t="str">
            <v>334</v>
          </cell>
          <cell r="BD482">
            <v>0.95851293103448276</v>
          </cell>
          <cell r="BE482">
            <v>2.1605603448275862E-2</v>
          </cell>
          <cell r="BF482">
            <v>5.2083333333333333E-4</v>
          </cell>
          <cell r="BG482">
            <v>1.9360632183908044E-2</v>
          </cell>
        </row>
        <row r="483">
          <cell r="BB483">
            <v>2009</v>
          </cell>
          <cell r="BC483" t="str">
            <v>335</v>
          </cell>
          <cell r="BD483">
            <v>0.93801925557121857</v>
          </cell>
          <cell r="BE483">
            <v>2.3522089919318555E-2</v>
          </cell>
          <cell r="BF483">
            <v>6.9988902552412949E-3</v>
          </cell>
          <cell r="BG483">
            <v>3.1459764254221527E-2</v>
          </cell>
        </row>
        <row r="484">
          <cell r="BB484">
            <v>2009</v>
          </cell>
          <cell r="BC484" t="str">
            <v>336</v>
          </cell>
          <cell r="BD484">
            <v>0.88542852496340863</v>
          </cell>
          <cell r="BE484">
            <v>3.5032796660703636E-2</v>
          </cell>
          <cell r="BF484">
            <v>2.0138775952729442E-2</v>
          </cell>
          <cell r="BG484">
            <v>5.9399902423158235E-2</v>
          </cell>
        </row>
        <row r="485">
          <cell r="BB485">
            <v>2009</v>
          </cell>
          <cell r="BC485" t="str">
            <v>337</v>
          </cell>
          <cell r="BD485">
            <v>0.658521719858156</v>
          </cell>
          <cell r="BE485">
            <v>1.4018173758865247E-2</v>
          </cell>
          <cell r="BF485">
            <v>6.1225620567375891E-2</v>
          </cell>
          <cell r="BG485">
            <v>0.26623448581560283</v>
          </cell>
        </row>
        <row r="486">
          <cell r="BB486">
            <v>2009</v>
          </cell>
          <cell r="BC486" t="str">
            <v>339</v>
          </cell>
          <cell r="BD486">
            <v>0.87995308552869012</v>
          </cell>
          <cell r="BE486">
            <v>7.53699025622519E-2</v>
          </cell>
          <cell r="BF486">
            <v>5.1786358715265263E-3</v>
          </cell>
          <cell r="BG486">
            <v>3.9498376037531389E-2</v>
          </cell>
        </row>
        <row r="487">
          <cell r="BB487">
            <v>2010</v>
          </cell>
          <cell r="BC487" t="str">
            <v>311</v>
          </cell>
          <cell r="BD487">
            <v>0.64190687361419074</v>
          </cell>
          <cell r="BE487">
            <v>3.7694013303769404E-2</v>
          </cell>
          <cell r="BF487">
            <v>0.2039911308203991</v>
          </cell>
          <cell r="BG487">
            <v>0.1164079822616408</v>
          </cell>
        </row>
        <row r="488">
          <cell r="BB488">
            <v>2010</v>
          </cell>
          <cell r="BC488" t="str">
            <v>312</v>
          </cell>
          <cell r="BD488">
            <v>0.65517241379310343</v>
          </cell>
          <cell r="BE488">
            <v>3.4482758620689655E-2</v>
          </cell>
          <cell r="BF488">
            <v>0.17241379310344829</v>
          </cell>
          <cell r="BG488">
            <v>0.13793103448275862</v>
          </cell>
        </row>
        <row r="489">
          <cell r="BB489">
            <v>2010</v>
          </cell>
          <cell r="BC489" t="str">
            <v>313</v>
          </cell>
          <cell r="BD489">
            <v>0.62</v>
          </cell>
          <cell r="BE489">
            <v>0.08</v>
          </cell>
          <cell r="BF489">
            <v>0.16</v>
          </cell>
          <cell r="BG489">
            <v>0.14000000000000001</v>
          </cell>
        </row>
        <row r="490">
          <cell r="BB490">
            <v>2010</v>
          </cell>
          <cell r="BC490" t="str">
            <v>314</v>
          </cell>
          <cell r="BD490">
            <v>0.75</v>
          </cell>
          <cell r="BE490">
            <v>6.6666666666666666E-2</v>
          </cell>
          <cell r="BF490">
            <v>0.14166666666666666</v>
          </cell>
          <cell r="BG490">
            <v>4.1666666666666664E-2</v>
          </cell>
        </row>
        <row r="491">
          <cell r="BB491">
            <v>2010</v>
          </cell>
          <cell r="BC491" t="str">
            <v>315</v>
          </cell>
          <cell r="BD491">
            <v>0.8</v>
          </cell>
          <cell r="BE491">
            <v>0.08</v>
          </cell>
          <cell r="BF491">
            <v>0</v>
          </cell>
          <cell r="BG491">
            <v>0.12</v>
          </cell>
        </row>
        <row r="492">
          <cell r="BB492">
            <v>2010</v>
          </cell>
          <cell r="BC492" t="str">
            <v>316</v>
          </cell>
          <cell r="BD492">
            <v>0.47058823529411764</v>
          </cell>
          <cell r="BE492">
            <v>5.8823529411764705E-2</v>
          </cell>
          <cell r="BF492">
            <v>0</v>
          </cell>
          <cell r="BG492">
            <v>0.47058823529411764</v>
          </cell>
        </row>
        <row r="493">
          <cell r="BB493">
            <v>2010</v>
          </cell>
          <cell r="BC493" t="str">
            <v>321</v>
          </cell>
          <cell r="BD493">
            <v>8.1456636320076672E-2</v>
          </cell>
          <cell r="BE493">
            <v>5.3665548634403447E-2</v>
          </cell>
          <cell r="BF493">
            <v>2.3957834211787254E-3</v>
          </cell>
          <cell r="BG493">
            <v>0.86248203162434123</v>
          </cell>
        </row>
        <row r="494">
          <cell r="BB494">
            <v>2010</v>
          </cell>
          <cell r="BC494" t="str">
            <v>322</v>
          </cell>
          <cell r="BD494">
            <v>0.20952581000892717</v>
          </cell>
          <cell r="BE494">
            <v>2.1530221078611564E-2</v>
          </cell>
          <cell r="BF494">
            <v>0.1088588982828336</v>
          </cell>
          <cell r="BG494">
            <v>0.66008507062962773</v>
          </cell>
        </row>
        <row r="495">
          <cell r="BB495">
            <v>2010</v>
          </cell>
          <cell r="BC495" t="str">
            <v>323</v>
          </cell>
          <cell r="BD495">
            <v>0.94444444444444442</v>
          </cell>
          <cell r="BE495">
            <v>2.2222222222222223E-2</v>
          </cell>
          <cell r="BF495">
            <v>0</v>
          </cell>
          <cell r="BG495">
            <v>3.3333333333333409E-2</v>
          </cell>
        </row>
        <row r="496">
          <cell r="BB496">
            <v>2010</v>
          </cell>
          <cell r="BC496" t="str">
            <v>324</v>
          </cell>
          <cell r="BD496">
            <v>0.29069031032298925</v>
          </cell>
          <cell r="BE496">
            <v>1.2982900569981E-2</v>
          </cell>
          <cell r="BF496">
            <v>3.4832172260924636E-3</v>
          </cell>
          <cell r="BG496">
            <v>0.69284357188093726</v>
          </cell>
        </row>
        <row r="497">
          <cell r="BB497">
            <v>2010</v>
          </cell>
          <cell r="BC497" t="str">
            <v>325</v>
          </cell>
          <cell r="BD497">
            <v>0.64381089859256591</v>
          </cell>
          <cell r="BE497">
            <v>5.4132082280765065E-3</v>
          </cell>
          <cell r="BF497">
            <v>7.2176109707686759E-2</v>
          </cell>
          <cell r="BG497">
            <v>0.27859978347167086</v>
          </cell>
        </row>
        <row r="498">
          <cell r="BB498">
            <v>2010</v>
          </cell>
          <cell r="BC498" t="str">
            <v>326</v>
          </cell>
          <cell r="BD498">
            <v>0.88793103448275867</v>
          </cell>
          <cell r="BE498">
            <v>1.982758620689655E-2</v>
          </cell>
          <cell r="BF498">
            <v>2.3275862068965519E-2</v>
          </cell>
          <cell r="BG498">
            <v>6.8965517241379309E-2</v>
          </cell>
        </row>
        <row r="499">
          <cell r="BB499">
            <v>2010</v>
          </cell>
          <cell r="BC499" t="str">
            <v>327</v>
          </cell>
          <cell r="BD499">
            <v>0.45500000000000002</v>
          </cell>
          <cell r="BE499">
            <v>0.04</v>
          </cell>
          <cell r="BF499">
            <v>0.375</v>
          </cell>
          <cell r="BG499">
            <v>0.13</v>
          </cell>
        </row>
        <row r="500">
          <cell r="BB500">
            <v>2010</v>
          </cell>
          <cell r="BC500" t="str">
            <v>331</v>
          </cell>
          <cell r="BD500">
            <v>0.42754777070063693</v>
          </cell>
          <cell r="BE500">
            <v>7.9617834394904458E-3</v>
          </cell>
          <cell r="BF500">
            <v>0.31050955414012738</v>
          </cell>
          <cell r="BG500">
            <v>0.25398089171974525</v>
          </cell>
        </row>
        <row r="501">
          <cell r="BB501">
            <v>2010</v>
          </cell>
          <cell r="BC501" t="str">
            <v>332</v>
          </cell>
          <cell r="BD501">
            <v>0.93678160919540232</v>
          </cell>
          <cell r="BE501">
            <v>1.8390804597701149E-2</v>
          </cell>
          <cell r="BF501">
            <v>1.7241379310344827E-3</v>
          </cell>
          <cell r="BG501">
            <v>4.3103448275862072E-2</v>
          </cell>
        </row>
        <row r="502">
          <cell r="BB502">
            <v>2010</v>
          </cell>
          <cell r="BC502" t="str">
            <v>333</v>
          </cell>
          <cell r="BD502">
            <v>0.91849935316946962</v>
          </cell>
          <cell r="BE502">
            <v>4.1397153945666239E-2</v>
          </cell>
          <cell r="BF502">
            <v>1.29366106080207E-3</v>
          </cell>
          <cell r="BG502">
            <v>3.8809831824062099E-2</v>
          </cell>
        </row>
        <row r="503">
          <cell r="BB503">
            <v>2010</v>
          </cell>
          <cell r="BC503" t="str">
            <v>334</v>
          </cell>
          <cell r="BD503">
            <v>0.96551724137931039</v>
          </cell>
          <cell r="BE503">
            <v>1.8390804597701149E-2</v>
          </cell>
          <cell r="BF503">
            <v>0</v>
          </cell>
          <cell r="BG503">
            <v>1.6091954022988506E-2</v>
          </cell>
        </row>
        <row r="504">
          <cell r="BB504">
            <v>2010</v>
          </cell>
          <cell r="BC504" t="str">
            <v>335</v>
          </cell>
          <cell r="BD504">
            <v>0.93506493506493504</v>
          </cell>
          <cell r="BE504">
            <v>2.5974025974025976E-2</v>
          </cell>
          <cell r="BF504">
            <v>7.7922077922077922E-3</v>
          </cell>
          <cell r="BG504">
            <v>3.1168831168831169E-2</v>
          </cell>
        </row>
        <row r="505">
          <cell r="BB505">
            <v>2010</v>
          </cell>
          <cell r="BC505" t="str">
            <v>336</v>
          </cell>
          <cell r="BD505">
            <v>0.88811188811188813</v>
          </cell>
          <cell r="BE505">
            <v>3.4965034965034968E-2</v>
          </cell>
          <cell r="BF505">
            <v>2.097902097902098E-2</v>
          </cell>
          <cell r="BG505">
            <v>5.5944055944055944E-2</v>
          </cell>
        </row>
        <row r="506">
          <cell r="BB506">
            <v>2010</v>
          </cell>
          <cell r="BC506" t="str">
            <v>337</v>
          </cell>
          <cell r="BD506">
            <v>0.67708333333333337</v>
          </cell>
          <cell r="BE506">
            <v>1.0416666666666668E-2</v>
          </cell>
          <cell r="BF506">
            <v>5.2083333333333336E-2</v>
          </cell>
          <cell r="BG506">
            <v>0.26041666666666669</v>
          </cell>
        </row>
        <row r="507">
          <cell r="BB507">
            <v>2010</v>
          </cell>
          <cell r="BC507" t="str">
            <v>339</v>
          </cell>
          <cell r="BD507">
            <v>0.91764705882352959</v>
          </cell>
          <cell r="BE507">
            <v>6.4705882352941196E-2</v>
          </cell>
          <cell r="BF507">
            <v>5.8823529411764722E-3</v>
          </cell>
          <cell r="BG507">
            <v>1.1764705882352693E-2</v>
          </cell>
        </row>
      </sheetData>
      <sheetData sheetId="12"/>
      <sheetData sheetId="13">
        <row r="238">
          <cell r="E238">
            <v>2104606.794783161</v>
          </cell>
        </row>
        <row r="239">
          <cell r="E239">
            <v>223000</v>
          </cell>
        </row>
        <row r="240">
          <cell r="E240">
            <v>453000</v>
          </cell>
        </row>
        <row r="241">
          <cell r="E241">
            <v>98791.221835976452</v>
          </cell>
        </row>
        <row r="242">
          <cell r="E242">
            <v>105760.69342346587</v>
          </cell>
        </row>
        <row r="243">
          <cell r="E243">
            <v>18607.65212287366</v>
          </cell>
        </row>
        <row r="244">
          <cell r="E244">
            <v>445105.90935093362</v>
          </cell>
        </row>
        <row r="245">
          <cell r="E245">
            <v>3137000</v>
          </cell>
        </row>
        <row r="246">
          <cell r="E246">
            <v>181875.76177422714</v>
          </cell>
        </row>
        <row r="247">
          <cell r="E247">
            <v>2688845.8637681813</v>
          </cell>
        </row>
        <row r="248">
          <cell r="E248">
            <v>6321821.943032166</v>
          </cell>
        </row>
        <row r="249">
          <cell r="E249">
            <v>529000</v>
          </cell>
        </row>
        <row r="250">
          <cell r="E250">
            <v>1980000</v>
          </cell>
        </row>
        <row r="251">
          <cell r="E251">
            <v>5876286.5463615553</v>
          </cell>
        </row>
        <row r="252">
          <cell r="E252">
            <v>920818.06828749832</v>
          </cell>
        </row>
        <row r="253">
          <cell r="E253">
            <v>453500.80570777337</v>
          </cell>
        </row>
        <row r="254">
          <cell r="E254">
            <v>249500.90040638982</v>
          </cell>
        </row>
        <row r="255">
          <cell r="E255">
            <v>357472.98871349962</v>
          </cell>
        </row>
        <row r="256">
          <cell r="E256">
            <v>940210.39995852334</v>
          </cell>
        </row>
        <row r="257">
          <cell r="E257">
            <v>144680.77071877097</v>
          </cell>
        </row>
        <row r="258">
          <cell r="E258">
            <v>195300.90040638982</v>
          </cell>
        </row>
        <row r="322">
          <cell r="E322">
            <v>3244000</v>
          </cell>
          <cell r="F322">
            <v>3182584</v>
          </cell>
        </row>
        <row r="323">
          <cell r="E323">
            <v>301000</v>
          </cell>
          <cell r="F323">
            <v>279392</v>
          </cell>
        </row>
        <row r="324">
          <cell r="E324">
            <v>506151.92083818396</v>
          </cell>
          <cell r="F324">
            <v>453783</v>
          </cell>
        </row>
        <row r="325">
          <cell r="E325">
            <v>161199.09474745017</v>
          </cell>
          <cell r="F325">
            <v>166210</v>
          </cell>
        </row>
        <row r="326">
          <cell r="E326">
            <v>97991.735537190092</v>
          </cell>
          <cell r="F326">
            <v>113367</v>
          </cell>
        </row>
        <row r="327">
          <cell r="E327">
            <v>23396.69421487605</v>
          </cell>
          <cell r="F327">
            <v>19417</v>
          </cell>
        </row>
        <row r="328">
          <cell r="E328">
            <v>944761.65447500558</v>
          </cell>
          <cell r="F328">
            <v>479834</v>
          </cell>
        </row>
        <row r="329">
          <cell r="E329">
            <v>4180000</v>
          </cell>
          <cell r="F329">
            <v>3582557</v>
          </cell>
        </row>
        <row r="330">
          <cell r="E330">
            <v>243789.44122363391</v>
          </cell>
          <cell r="F330">
            <v>266262</v>
          </cell>
        </row>
        <row r="331">
          <cell r="E331">
            <v>3581500.3859391604</v>
          </cell>
          <cell r="F331">
            <v>4809474</v>
          </cell>
        </row>
        <row r="332">
          <cell r="E332">
            <v>7933548.3044180684</v>
          </cell>
          <cell r="F332">
            <v>7683936</v>
          </cell>
        </row>
        <row r="333">
          <cell r="E333">
            <v>772130.38416763674</v>
          </cell>
          <cell r="F333">
            <v>750842</v>
          </cell>
        </row>
        <row r="334">
          <cell r="E334">
            <v>2822000</v>
          </cell>
          <cell r="F334">
            <v>2679539</v>
          </cell>
        </row>
        <row r="335">
          <cell r="E335">
            <v>5482612.7748406827</v>
          </cell>
          <cell r="F335">
            <v>3416913</v>
          </cell>
        </row>
        <row r="336">
          <cell r="E336">
            <v>1191743.7810945273</v>
          </cell>
          <cell r="F336">
            <v>1258626</v>
          </cell>
        </row>
        <row r="337">
          <cell r="E337">
            <v>522343.28358208953</v>
          </cell>
          <cell r="F337">
            <v>491908</v>
          </cell>
        </row>
        <row r="338">
          <cell r="E338">
            <v>378215.01746216533</v>
          </cell>
          <cell r="F338">
            <v>418271</v>
          </cell>
        </row>
        <row r="339">
          <cell r="E339">
            <v>417842.97520661156</v>
          </cell>
          <cell r="F339">
            <v>254248</v>
          </cell>
        </row>
        <row r="340">
          <cell r="E340">
            <v>1088666.6666666667</v>
          </cell>
          <cell r="F340">
            <v>1082589</v>
          </cell>
        </row>
        <row r="341">
          <cell r="E341">
            <v>176605.49525101765</v>
          </cell>
          <cell r="F341">
            <v>173970</v>
          </cell>
        </row>
        <row r="342">
          <cell r="E342">
            <v>184060.22573084992</v>
          </cell>
          <cell r="F342">
            <v>193489</v>
          </cell>
        </row>
        <row r="406">
          <cell r="E406">
            <v>5671000</v>
          </cell>
          <cell r="F406">
            <v>5257913</v>
          </cell>
        </row>
        <row r="407">
          <cell r="E407">
            <v>542204.81927710841</v>
          </cell>
          <cell r="F407">
            <v>493199</v>
          </cell>
        </row>
        <row r="408">
          <cell r="E408">
            <v>787000</v>
          </cell>
          <cell r="F408">
            <v>583592</v>
          </cell>
        </row>
        <row r="409">
          <cell r="E409">
            <v>470469.8795180723</v>
          </cell>
          <cell r="F409">
            <v>233782</v>
          </cell>
        </row>
        <row r="410">
          <cell r="E410">
            <v>71046.987951807241</v>
          </cell>
          <cell r="F410">
            <v>125755</v>
          </cell>
        </row>
        <row r="411">
          <cell r="E411">
            <v>17500.000000000018</v>
          </cell>
          <cell r="F411">
            <v>25519</v>
          </cell>
        </row>
        <row r="412">
          <cell r="E412">
            <v>1175000</v>
          </cell>
          <cell r="F412">
            <v>813339</v>
          </cell>
        </row>
        <row r="413">
          <cell r="E413">
            <v>6344000</v>
          </cell>
          <cell r="F413">
            <v>5366741</v>
          </cell>
        </row>
        <row r="414">
          <cell r="E414">
            <v>341000</v>
          </cell>
          <cell r="F414">
            <v>415487</v>
          </cell>
        </row>
        <row r="415">
          <cell r="E415">
            <v>8466000</v>
          </cell>
          <cell r="F415">
            <v>9312834</v>
          </cell>
        </row>
        <row r="416">
          <cell r="E416">
            <v>39618000</v>
          </cell>
          <cell r="F416">
            <v>13704786</v>
          </cell>
        </row>
        <row r="417">
          <cell r="E417">
            <v>1374900</v>
          </cell>
          <cell r="F417">
            <v>1165542</v>
          </cell>
        </row>
        <row r="418">
          <cell r="E418">
            <v>5509000</v>
          </cell>
          <cell r="F418">
            <v>4675841</v>
          </cell>
        </row>
        <row r="419">
          <cell r="E419">
            <v>8113726</v>
          </cell>
          <cell r="F419">
            <v>6087140</v>
          </cell>
        </row>
        <row r="420">
          <cell r="E420">
            <v>2335300</v>
          </cell>
          <cell r="F420">
            <v>1958092</v>
          </cell>
        </row>
        <row r="421">
          <cell r="E421">
            <v>1134734.9397590361</v>
          </cell>
          <cell r="F421">
            <v>772135</v>
          </cell>
        </row>
        <row r="422">
          <cell r="E422">
            <v>450300</v>
          </cell>
          <cell r="F422">
            <v>446966</v>
          </cell>
        </row>
        <row r="423">
          <cell r="E423">
            <v>515000</v>
          </cell>
          <cell r="F423">
            <v>408427</v>
          </cell>
        </row>
        <row r="424">
          <cell r="E424">
            <v>2040000</v>
          </cell>
          <cell r="F424">
            <v>1715158</v>
          </cell>
        </row>
        <row r="425">
          <cell r="E425">
            <v>198007</v>
          </cell>
          <cell r="F425">
            <v>249983</v>
          </cell>
        </row>
        <row r="426">
          <cell r="E426">
            <v>309300</v>
          </cell>
          <cell r="F426">
            <v>266316</v>
          </cell>
        </row>
        <row r="490">
          <cell r="E490">
            <v>4783</v>
          </cell>
          <cell r="F490">
            <v>5041070</v>
          </cell>
        </row>
        <row r="491">
          <cell r="E491">
            <v>378</v>
          </cell>
          <cell r="F491">
            <v>449736</v>
          </cell>
        </row>
        <row r="492">
          <cell r="E492">
            <v>351</v>
          </cell>
          <cell r="F492">
            <v>357515</v>
          </cell>
        </row>
        <row r="493">
          <cell r="E493">
            <v>81</v>
          </cell>
          <cell r="F493">
            <v>111281</v>
          </cell>
        </row>
        <row r="494">
          <cell r="E494">
            <v>25</v>
          </cell>
          <cell r="F494">
            <v>31400</v>
          </cell>
        </row>
        <row r="495">
          <cell r="E495">
            <v>9.1999999999999993</v>
          </cell>
          <cell r="F495">
            <v>18333</v>
          </cell>
        </row>
        <row r="496">
          <cell r="E496">
            <v>767</v>
          </cell>
          <cell r="F496">
            <v>592484</v>
          </cell>
        </row>
        <row r="497">
          <cell r="E497">
            <v>4522</v>
          </cell>
          <cell r="F497">
            <v>4376895</v>
          </cell>
        </row>
        <row r="498">
          <cell r="E498">
            <v>269</v>
          </cell>
          <cell r="F498">
            <v>287454</v>
          </cell>
        </row>
        <row r="499">
          <cell r="E499">
            <v>7695</v>
          </cell>
          <cell r="F499">
            <v>6947601</v>
          </cell>
        </row>
        <row r="500">
          <cell r="E500">
            <v>40246</v>
          </cell>
          <cell r="F500">
            <v>11065796</v>
          </cell>
        </row>
        <row r="501">
          <cell r="E501">
            <v>802</v>
          </cell>
          <cell r="F501">
            <v>802747</v>
          </cell>
        </row>
        <row r="502">
          <cell r="E502">
            <v>2999</v>
          </cell>
          <cell r="F502">
            <v>3058537</v>
          </cell>
        </row>
        <row r="503">
          <cell r="E503">
            <v>8620</v>
          </cell>
          <cell r="F503">
            <v>4148493</v>
          </cell>
        </row>
        <row r="504">
          <cell r="E504">
            <v>1310</v>
          </cell>
          <cell r="F504">
            <v>1476838</v>
          </cell>
        </row>
        <row r="505">
          <cell r="E505">
            <v>643</v>
          </cell>
          <cell r="F505">
            <v>668327</v>
          </cell>
        </row>
        <row r="506">
          <cell r="E506">
            <v>311</v>
          </cell>
          <cell r="F506">
            <v>358903</v>
          </cell>
        </row>
        <row r="507">
          <cell r="E507">
            <v>460.2</v>
          </cell>
          <cell r="F507">
            <v>320510</v>
          </cell>
        </row>
        <row r="508">
          <cell r="E508">
            <v>1097</v>
          </cell>
          <cell r="F508">
            <v>1145645</v>
          </cell>
        </row>
        <row r="509">
          <cell r="E509">
            <v>141</v>
          </cell>
          <cell r="F509">
            <v>169442</v>
          </cell>
        </row>
        <row r="510">
          <cell r="E510">
            <v>160.30000000000001</v>
          </cell>
          <cell r="F510">
            <v>229199</v>
          </cell>
        </row>
      </sheetData>
      <sheetData sheetId="14"/>
      <sheetData sheetId="15"/>
      <sheetData sheetId="16"/>
      <sheetData sheetId="17"/>
      <sheetData sheetId="18">
        <row r="6">
          <cell r="CG6">
            <v>211.45160303999998</v>
          </cell>
          <cell r="CK6">
            <v>229.66458949199998</v>
          </cell>
          <cell r="CO6">
            <v>267.91995055199999</v>
          </cell>
          <cell r="CS6">
            <v>289.315514124</v>
          </cell>
        </row>
        <row r="7">
          <cell r="CG7">
            <v>25.959495715999999</v>
          </cell>
          <cell r="CK7">
            <v>28.11203098</v>
          </cell>
          <cell r="CO7">
            <v>33.712532136</v>
          </cell>
          <cell r="CS7">
            <v>31.953509655999998</v>
          </cell>
        </row>
        <row r="8">
          <cell r="CG8">
            <v>98.572632231999989</v>
          </cell>
          <cell r="CK8">
            <v>80.500967407999994</v>
          </cell>
          <cell r="CO8">
            <v>63.211298864</v>
          </cell>
          <cell r="CS8">
            <v>41.700938552000004</v>
          </cell>
        </row>
        <row r="9">
          <cell r="CG9">
            <v>16.936758559999998</v>
          </cell>
          <cell r="CK9">
            <v>16.513728564000001</v>
          </cell>
          <cell r="CO9">
            <v>16.025669260000001</v>
          </cell>
          <cell r="CS9">
            <v>10.514054116000001</v>
          </cell>
        </row>
        <row r="10">
          <cell r="CG10">
            <v>22.905516875999997</v>
          </cell>
          <cell r="CK10">
            <v>11.203496483999999</v>
          </cell>
          <cell r="CO10">
            <v>10.717938175999999</v>
          </cell>
          <cell r="CS10">
            <v>3.572872388</v>
          </cell>
        </row>
        <row r="11">
          <cell r="CG11">
            <v>2.9945179159999999</v>
          </cell>
          <cell r="CK11">
            <v>1.948296356</v>
          </cell>
          <cell r="CO11">
            <v>2.347019264</v>
          </cell>
          <cell r="CS11">
            <v>1.1854584560000001</v>
          </cell>
        </row>
        <row r="12">
          <cell r="CG12">
            <v>76.021762047999999</v>
          </cell>
          <cell r="CK12">
            <v>74.759141212000003</v>
          </cell>
          <cell r="CO12">
            <v>96.462862975999997</v>
          </cell>
          <cell r="CS12">
            <v>67.583578967999998</v>
          </cell>
        </row>
        <row r="13">
          <cell r="CG13">
            <v>247.72932454400001</v>
          </cell>
          <cell r="CK13">
            <v>243.73968318000001</v>
          </cell>
          <cell r="CO13">
            <v>245.509183912</v>
          </cell>
          <cell r="CS13">
            <v>229.32690385199999</v>
          </cell>
        </row>
        <row r="14">
          <cell r="CG14">
            <v>50.323086435999997</v>
          </cell>
          <cell r="CK14">
            <v>50.270889659999995</v>
          </cell>
          <cell r="CO14">
            <v>60.357440648000001</v>
          </cell>
          <cell r="CS14">
            <v>46.128059732000004</v>
          </cell>
        </row>
        <row r="15">
          <cell r="CG15">
            <v>115.36295116400001</v>
          </cell>
          <cell r="CK15">
            <v>133.38386248799998</v>
          </cell>
          <cell r="CO15">
            <v>168.53377468799999</v>
          </cell>
          <cell r="CS15">
            <v>164.91379281599998</v>
          </cell>
        </row>
        <row r="16">
          <cell r="CG16">
            <v>520.46306800000002</v>
          </cell>
          <cell r="CK16">
            <v>505.95882659999995</v>
          </cell>
          <cell r="CO16">
            <v>532.21748647599998</v>
          </cell>
          <cell r="CS16">
            <v>509.31938387599996</v>
          </cell>
        </row>
        <row r="17">
          <cell r="CG17">
            <v>171.04344057999998</v>
          </cell>
          <cell r="CK17">
            <v>184.49908566799999</v>
          </cell>
          <cell r="CO17">
            <v>220.01886207999999</v>
          </cell>
          <cell r="CS17">
            <v>171.66115588400001</v>
          </cell>
        </row>
        <row r="18">
          <cell r="CG18">
            <v>131.55392499999999</v>
          </cell>
          <cell r="CK18">
            <v>139.16903131999999</v>
          </cell>
          <cell r="CO18">
            <v>157.69310346</v>
          </cell>
          <cell r="CS18">
            <v>120.60719175200001</v>
          </cell>
        </row>
        <row r="19">
          <cell r="CG19">
            <v>444.10567774799995</v>
          </cell>
          <cell r="CK19">
            <v>450.38293204399997</v>
          </cell>
          <cell r="CO19">
            <v>443.67349676800001</v>
          </cell>
          <cell r="CS19">
            <v>403.28624645599996</v>
          </cell>
        </row>
        <row r="20">
          <cell r="CG20">
            <v>145.711790396</v>
          </cell>
          <cell r="CK20">
            <v>139.449968576</v>
          </cell>
          <cell r="CO20">
            <v>179.19403641600002</v>
          </cell>
          <cell r="CS20">
            <v>135.48137584</v>
          </cell>
        </row>
        <row r="21">
          <cell r="CG21">
            <v>92.773699392000012</v>
          </cell>
          <cell r="CK21">
            <v>82.569779015999998</v>
          </cell>
          <cell r="CO21">
            <v>106.736016244</v>
          </cell>
          <cell r="CS21">
            <v>80.164175712000002</v>
          </cell>
        </row>
        <row r="22">
          <cell r="CG22">
            <v>127.959284052</v>
          </cell>
          <cell r="CK22">
            <v>111.118071728</v>
          </cell>
          <cell r="CO22">
            <v>117.602925752</v>
          </cell>
          <cell r="CS22">
            <v>94.309365528000001</v>
          </cell>
        </row>
        <row r="23">
          <cell r="CG23">
            <v>55.019660080000001</v>
          </cell>
          <cell r="CK23">
            <v>47.035614199999998</v>
          </cell>
          <cell r="CO23">
            <v>51.663726063999995</v>
          </cell>
          <cell r="CS23">
            <v>39.913531644000003</v>
          </cell>
        </row>
        <row r="24">
          <cell r="CG24">
            <v>175.71835826</v>
          </cell>
          <cell r="CK24">
            <v>181.823920716</v>
          </cell>
          <cell r="CO24">
            <v>189.979061336</v>
          </cell>
          <cell r="CS24">
            <v>176.70813510400001</v>
          </cell>
        </row>
        <row r="25">
          <cell r="CG25">
            <v>28.813957855999998</v>
          </cell>
          <cell r="CK25">
            <v>27.030744296000002</v>
          </cell>
          <cell r="CO25">
            <v>32.803670871999998</v>
          </cell>
          <cell r="CS25">
            <v>19.100546599999998</v>
          </cell>
        </row>
        <row r="26">
          <cell r="CG26">
            <v>35.481852031999999</v>
          </cell>
          <cell r="CK26">
            <v>35.271246332000004</v>
          </cell>
          <cell r="CO26">
            <v>43.850928463999999</v>
          </cell>
          <cell r="CS26">
            <v>35.953311956</v>
          </cell>
        </row>
      </sheetData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4.2"/>
    </sheetNames>
    <sheetDataSet>
      <sheetData sheetId="0" refreshError="1">
        <row r="125">
          <cell r="T125">
            <v>1124</v>
          </cell>
          <cell r="U125">
            <v>251</v>
          </cell>
          <cell r="V125">
            <v>26</v>
          </cell>
          <cell r="W125">
            <v>16</v>
          </cell>
          <cell r="X125">
            <v>635</v>
          </cell>
          <cell r="Y125">
            <v>3</v>
          </cell>
          <cell r="Z125">
            <v>147</v>
          </cell>
          <cell r="AA125">
            <v>1</v>
          </cell>
          <cell r="AB125">
            <v>45</v>
          </cell>
          <cell r="AC125">
            <v>873</v>
          </cell>
          <cell r="AD125">
            <v>873</v>
          </cell>
        </row>
        <row r="126">
          <cell r="T126">
            <v>101</v>
          </cell>
          <cell r="U126">
            <v>30</v>
          </cell>
          <cell r="V126">
            <v>3</v>
          </cell>
          <cell r="W126">
            <v>1</v>
          </cell>
          <cell r="X126">
            <v>41</v>
          </cell>
          <cell r="Y126">
            <v>1</v>
          </cell>
          <cell r="Z126">
            <v>20</v>
          </cell>
          <cell r="AA126">
            <v>0</v>
          </cell>
          <cell r="AB126">
            <v>5</v>
          </cell>
          <cell r="AC126">
            <v>71</v>
          </cell>
          <cell r="AD126">
            <v>71</v>
          </cell>
        </row>
        <row r="127">
          <cell r="T127">
            <v>178</v>
          </cell>
          <cell r="U127">
            <v>66</v>
          </cell>
          <cell r="V127">
            <v>2</v>
          </cell>
          <cell r="W127">
            <v>0.5</v>
          </cell>
          <cell r="X127">
            <v>65</v>
          </cell>
          <cell r="Y127">
            <v>0.1</v>
          </cell>
          <cell r="Z127">
            <v>32</v>
          </cell>
          <cell r="AA127">
            <v>0</v>
          </cell>
          <cell r="AB127">
            <v>12</v>
          </cell>
          <cell r="AC127">
            <v>111.6</v>
          </cell>
          <cell r="AD127">
            <v>112</v>
          </cell>
        </row>
        <row r="128">
          <cell r="T128">
            <v>72</v>
          </cell>
          <cell r="U128">
            <v>20</v>
          </cell>
          <cell r="V128">
            <v>1.5</v>
          </cell>
          <cell r="W128">
            <v>0.1</v>
          </cell>
          <cell r="X128">
            <v>46</v>
          </cell>
          <cell r="Y128">
            <v>1</v>
          </cell>
          <cell r="Z128">
            <v>3</v>
          </cell>
          <cell r="AA128">
            <v>0</v>
          </cell>
          <cell r="AB128">
            <v>0.4</v>
          </cell>
          <cell r="AC128">
            <v>52</v>
          </cell>
          <cell r="AD128">
            <v>52</v>
          </cell>
        </row>
        <row r="129">
          <cell r="T129">
            <v>14</v>
          </cell>
          <cell r="U129">
            <v>7</v>
          </cell>
          <cell r="V129">
            <v>0.05</v>
          </cell>
          <cell r="W129">
            <v>0.1</v>
          </cell>
          <cell r="X129">
            <v>7</v>
          </cell>
          <cell r="Y129">
            <v>0.05</v>
          </cell>
          <cell r="Z129">
            <v>0</v>
          </cell>
          <cell r="AA129">
            <v>0</v>
          </cell>
          <cell r="AB129">
            <v>0.1</v>
          </cell>
          <cell r="AC129">
            <v>7.3</v>
          </cell>
          <cell r="AD129">
            <v>7</v>
          </cell>
        </row>
        <row r="130">
          <cell r="T130">
            <v>3</v>
          </cell>
          <cell r="U130">
            <v>1</v>
          </cell>
          <cell r="V130">
            <v>0.1</v>
          </cell>
          <cell r="W130">
            <v>0.5</v>
          </cell>
          <cell r="X130">
            <v>1</v>
          </cell>
          <cell r="Y130">
            <v>0.05</v>
          </cell>
          <cell r="Z130">
            <v>0</v>
          </cell>
          <cell r="AA130">
            <v>0</v>
          </cell>
          <cell r="AB130">
            <v>0.1</v>
          </cell>
          <cell r="AC130">
            <v>1.7500000000000002</v>
          </cell>
          <cell r="AD130">
            <v>2</v>
          </cell>
        </row>
        <row r="131">
          <cell r="T131">
            <v>296</v>
          </cell>
          <cell r="U131">
            <v>94</v>
          </cell>
          <cell r="V131">
            <v>4</v>
          </cell>
          <cell r="W131">
            <v>15</v>
          </cell>
          <cell r="X131">
            <v>86</v>
          </cell>
          <cell r="Y131">
            <v>4</v>
          </cell>
          <cell r="Z131">
            <v>15</v>
          </cell>
          <cell r="AA131">
            <v>0.5</v>
          </cell>
          <cell r="AB131">
            <v>77</v>
          </cell>
          <cell r="AC131">
            <v>201.5</v>
          </cell>
          <cell r="AD131">
            <v>202</v>
          </cell>
        </row>
        <row r="132">
          <cell r="T132">
            <v>1350</v>
          </cell>
          <cell r="U132">
            <v>262</v>
          </cell>
          <cell r="V132">
            <v>91</v>
          </cell>
          <cell r="W132">
            <v>13</v>
          </cell>
          <cell r="X132">
            <v>474</v>
          </cell>
          <cell r="Y132">
            <v>5</v>
          </cell>
          <cell r="Z132">
            <v>221</v>
          </cell>
          <cell r="AA132">
            <v>0</v>
          </cell>
          <cell r="AB132">
            <v>284</v>
          </cell>
          <cell r="AC132">
            <v>1088</v>
          </cell>
          <cell r="AD132">
            <v>1088</v>
          </cell>
        </row>
        <row r="133">
          <cell r="T133">
            <v>85</v>
          </cell>
          <cell r="U133">
            <v>45</v>
          </cell>
          <cell r="V133">
            <v>0.05</v>
          </cell>
          <cell r="W133">
            <v>0.1</v>
          </cell>
          <cell r="X133">
            <v>39</v>
          </cell>
          <cell r="Y133">
            <v>1</v>
          </cell>
          <cell r="Z133">
            <v>0</v>
          </cell>
          <cell r="AA133">
            <v>0</v>
          </cell>
          <cell r="AB133">
            <v>0.2</v>
          </cell>
          <cell r="AC133">
            <v>40.35</v>
          </cell>
          <cell r="AD133">
            <v>40</v>
          </cell>
        </row>
        <row r="134">
          <cell r="T134">
            <v>1434</v>
          </cell>
          <cell r="U134">
            <v>150</v>
          </cell>
          <cell r="V134">
            <v>40</v>
          </cell>
          <cell r="W134">
            <v>19</v>
          </cell>
          <cell r="X134">
            <v>849</v>
          </cell>
          <cell r="Y134">
            <v>5</v>
          </cell>
          <cell r="Z134">
            <v>53</v>
          </cell>
          <cell r="AA134">
            <v>0.1</v>
          </cell>
          <cell r="AB134">
            <v>318</v>
          </cell>
          <cell r="AC134">
            <v>1284.0999999999999</v>
          </cell>
          <cell r="AD134">
            <v>1284</v>
          </cell>
        </row>
        <row r="135">
          <cell r="T135">
            <v>2772</v>
          </cell>
          <cell r="U135">
            <v>540</v>
          </cell>
          <cell r="V135">
            <v>23</v>
          </cell>
          <cell r="W135">
            <v>8</v>
          </cell>
          <cell r="X135">
            <v>1388</v>
          </cell>
          <cell r="Y135">
            <v>7</v>
          </cell>
          <cell r="Z135">
            <v>167</v>
          </cell>
          <cell r="AA135">
            <v>0.1</v>
          </cell>
          <cell r="AB135">
            <v>639</v>
          </cell>
          <cell r="AC135">
            <v>2232.1</v>
          </cell>
          <cell r="AD135">
            <v>2232</v>
          </cell>
        </row>
        <row r="136">
          <cell r="T136">
            <v>336</v>
          </cell>
          <cell r="U136">
            <v>182</v>
          </cell>
          <cell r="V136">
            <v>9</v>
          </cell>
          <cell r="W136">
            <v>3</v>
          </cell>
          <cell r="X136">
            <v>127</v>
          </cell>
          <cell r="Y136">
            <v>5</v>
          </cell>
          <cell r="Z136">
            <v>6</v>
          </cell>
          <cell r="AA136">
            <v>0</v>
          </cell>
          <cell r="AB136">
            <v>4</v>
          </cell>
          <cell r="AC136">
            <v>154</v>
          </cell>
          <cell r="AD136">
            <v>154</v>
          </cell>
        </row>
        <row r="137">
          <cell r="T137">
            <v>1105</v>
          </cell>
          <cell r="U137">
            <v>150</v>
          </cell>
          <cell r="V137">
            <v>3</v>
          </cell>
          <cell r="W137">
            <v>30</v>
          </cell>
          <cell r="X137">
            <v>459</v>
          </cell>
          <cell r="Y137">
            <v>5</v>
          </cell>
          <cell r="Z137">
            <v>320</v>
          </cell>
          <cell r="AA137">
            <v>11</v>
          </cell>
          <cell r="AB137">
            <v>126</v>
          </cell>
          <cell r="AC137">
            <v>954</v>
          </cell>
          <cell r="AD137">
            <v>955</v>
          </cell>
        </row>
        <row r="138">
          <cell r="T138">
            <v>1353</v>
          </cell>
          <cell r="U138">
            <v>465</v>
          </cell>
          <cell r="V138">
            <v>19</v>
          </cell>
          <cell r="W138">
            <v>6</v>
          </cell>
          <cell r="X138">
            <v>585</v>
          </cell>
          <cell r="Y138">
            <v>4</v>
          </cell>
          <cell r="Z138">
            <v>21</v>
          </cell>
          <cell r="AA138">
            <v>201</v>
          </cell>
          <cell r="AB138">
            <v>52</v>
          </cell>
          <cell r="AC138">
            <v>888</v>
          </cell>
          <cell r="AD138">
            <v>888</v>
          </cell>
        </row>
        <row r="139">
          <cell r="T139">
            <v>396</v>
          </cell>
          <cell r="U139">
            <v>143</v>
          </cell>
          <cell r="V139">
            <v>0.5</v>
          </cell>
          <cell r="W139">
            <v>2</v>
          </cell>
          <cell r="X139">
            <v>240</v>
          </cell>
          <cell r="Y139">
            <v>4</v>
          </cell>
          <cell r="Z139">
            <v>0</v>
          </cell>
          <cell r="AA139">
            <v>3</v>
          </cell>
          <cell r="AB139">
            <v>3</v>
          </cell>
          <cell r="AC139">
            <v>252.5</v>
          </cell>
          <cell r="AD139">
            <v>253</v>
          </cell>
        </row>
        <row r="140">
          <cell r="T140">
            <v>204</v>
          </cell>
          <cell r="U140">
            <v>111</v>
          </cell>
          <cell r="V140">
            <v>1</v>
          </cell>
          <cell r="W140">
            <v>2</v>
          </cell>
          <cell r="X140">
            <v>84</v>
          </cell>
          <cell r="Y140">
            <v>3</v>
          </cell>
          <cell r="Z140">
            <v>1</v>
          </cell>
          <cell r="AA140">
            <v>0</v>
          </cell>
          <cell r="AB140">
            <v>2</v>
          </cell>
          <cell r="AC140">
            <v>93</v>
          </cell>
          <cell r="AD140">
            <v>93</v>
          </cell>
        </row>
        <row r="141">
          <cell r="T141">
            <v>141</v>
          </cell>
          <cell r="U141">
            <v>94</v>
          </cell>
          <cell r="V141">
            <v>0.1</v>
          </cell>
          <cell r="W141">
            <v>1</v>
          </cell>
          <cell r="X141">
            <v>45</v>
          </cell>
          <cell r="Y141">
            <v>0.1</v>
          </cell>
          <cell r="Z141">
            <v>0</v>
          </cell>
          <cell r="AA141">
            <v>0</v>
          </cell>
          <cell r="AB141">
            <v>1</v>
          </cell>
          <cell r="AC141">
            <v>47.2</v>
          </cell>
          <cell r="AD141">
            <v>47</v>
          </cell>
        </row>
        <row r="142">
          <cell r="T142">
            <v>87</v>
          </cell>
          <cell r="U142">
            <v>44</v>
          </cell>
          <cell r="V142">
            <v>0</v>
          </cell>
          <cell r="W142">
            <v>1</v>
          </cell>
          <cell r="X142">
            <v>41</v>
          </cell>
          <cell r="Y142">
            <v>1</v>
          </cell>
          <cell r="Z142">
            <v>0</v>
          </cell>
          <cell r="AA142">
            <v>0</v>
          </cell>
          <cell r="AB142">
            <v>0.3</v>
          </cell>
          <cell r="AC142">
            <v>43.3</v>
          </cell>
          <cell r="AD142">
            <v>43</v>
          </cell>
        </row>
        <row r="143">
          <cell r="T143">
            <v>476</v>
          </cell>
          <cell r="U143">
            <v>195</v>
          </cell>
          <cell r="V143">
            <v>7</v>
          </cell>
          <cell r="W143">
            <v>3</v>
          </cell>
          <cell r="X143">
            <v>249</v>
          </cell>
          <cell r="Y143">
            <v>4</v>
          </cell>
          <cell r="Z143">
            <v>5</v>
          </cell>
          <cell r="AB143">
            <v>13</v>
          </cell>
          <cell r="AC143">
            <v>281</v>
          </cell>
          <cell r="AD143">
            <v>281</v>
          </cell>
        </row>
        <row r="144">
          <cell r="T144">
            <v>54</v>
          </cell>
          <cell r="U144">
            <v>32</v>
          </cell>
          <cell r="V144">
            <v>0.2</v>
          </cell>
          <cell r="W144">
            <v>0.1</v>
          </cell>
          <cell r="X144">
            <v>17</v>
          </cell>
          <cell r="Y144">
            <v>1</v>
          </cell>
          <cell r="Z144">
            <v>3</v>
          </cell>
          <cell r="AA144">
            <v>0</v>
          </cell>
          <cell r="AB144">
            <v>1</v>
          </cell>
          <cell r="AC144">
            <v>22.3</v>
          </cell>
          <cell r="AD144">
            <v>22</v>
          </cell>
        </row>
        <row r="145">
          <cell r="T145">
            <v>66</v>
          </cell>
          <cell r="U145">
            <v>33</v>
          </cell>
          <cell r="V145">
            <v>2.5</v>
          </cell>
          <cell r="W145">
            <v>1</v>
          </cell>
          <cell r="X145">
            <v>25</v>
          </cell>
          <cell r="Y145">
            <v>1</v>
          </cell>
          <cell r="Z145">
            <v>0</v>
          </cell>
          <cell r="AA145">
            <v>0</v>
          </cell>
          <cell r="AB145">
            <v>3</v>
          </cell>
          <cell r="AC145">
            <v>32.5</v>
          </cell>
          <cell r="AD145">
            <v>33</v>
          </cell>
        </row>
        <row r="146">
          <cell r="T146">
            <v>11647</v>
          </cell>
          <cell r="U146">
            <v>2914</v>
          </cell>
          <cell r="V146">
            <v>233</v>
          </cell>
          <cell r="W146">
            <v>121</v>
          </cell>
          <cell r="X146">
            <v>5506</v>
          </cell>
          <cell r="Y146">
            <v>54</v>
          </cell>
          <cell r="Z146">
            <v>1016</v>
          </cell>
          <cell r="AA146">
            <v>216</v>
          </cell>
          <cell r="AB146">
            <v>1586</v>
          </cell>
          <cell r="AC146">
            <v>8732</v>
          </cell>
          <cell r="AD146">
            <v>8733</v>
          </cell>
        </row>
        <row r="147">
          <cell r="T147">
            <v>11647</v>
          </cell>
          <cell r="U147">
            <v>2915</v>
          </cell>
          <cell r="V147">
            <v>232.99999999999997</v>
          </cell>
          <cell r="W147">
            <v>122.4</v>
          </cell>
          <cell r="X147">
            <v>5503</v>
          </cell>
          <cell r="Y147">
            <v>55.300000000000004</v>
          </cell>
          <cell r="Z147">
            <v>1014</v>
          </cell>
          <cell r="AA147">
            <v>216.7</v>
          </cell>
          <cell r="AB147">
            <v>1586.1</v>
          </cell>
          <cell r="AC147">
            <v>8730.5</v>
          </cell>
          <cell r="AD147">
            <v>8732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2"/>
    </sheetNames>
    <sheetDataSet>
      <sheetData sheetId="0" refreshError="1">
        <row r="127">
          <cell r="AS127">
            <v>18.78</v>
          </cell>
          <cell r="AT127">
            <v>17.170000000000002</v>
          </cell>
          <cell r="AU127">
            <v>8</v>
          </cell>
          <cell r="AV127">
            <v>7.54</v>
          </cell>
          <cell r="AW127">
            <v>17.13</v>
          </cell>
          <cell r="AX127">
            <v>1.93</v>
          </cell>
          <cell r="AY127">
            <v>10.37</v>
          </cell>
        </row>
        <row r="128">
          <cell r="AS128">
            <v>21.98</v>
          </cell>
          <cell r="AT128">
            <v>19.59</v>
          </cell>
          <cell r="AU128">
            <v>8.4499999999999993</v>
          </cell>
          <cell r="AV128">
            <v>9.24</v>
          </cell>
          <cell r="AW128">
            <v>18.39</v>
          </cell>
          <cell r="AX128">
            <v>3.19</v>
          </cell>
          <cell r="AY128">
            <v>0</v>
          </cell>
        </row>
        <row r="129">
          <cell r="AS129">
            <v>15.29</v>
          </cell>
          <cell r="AT129">
            <v>18.440000000000001</v>
          </cell>
          <cell r="AU129">
            <v>8.49</v>
          </cell>
          <cell r="AV129">
            <v>8.7799999999999994</v>
          </cell>
          <cell r="AW129">
            <v>20.010000000000002</v>
          </cell>
          <cell r="AX129">
            <v>3.63</v>
          </cell>
          <cell r="AY129">
            <v>0</v>
          </cell>
        </row>
        <row r="130">
          <cell r="AS130">
            <v>17.010000000000002</v>
          </cell>
          <cell r="AT130">
            <v>15.42</v>
          </cell>
          <cell r="AU130">
            <v>8.5</v>
          </cell>
          <cell r="AV130">
            <v>8.9</v>
          </cell>
          <cell r="AW130">
            <v>19</v>
          </cell>
          <cell r="AX130">
            <v>3.5</v>
          </cell>
          <cell r="AY130">
            <v>0</v>
          </cell>
        </row>
        <row r="131">
          <cell r="AS131">
            <v>25.16</v>
          </cell>
          <cell r="AT131">
            <v>14.46</v>
          </cell>
          <cell r="AU131">
            <v>8.5</v>
          </cell>
          <cell r="AV131">
            <v>9.08</v>
          </cell>
          <cell r="AW131">
            <v>17.739999999999998</v>
          </cell>
          <cell r="AX131">
            <v>0</v>
          </cell>
          <cell r="AY131">
            <v>0</v>
          </cell>
        </row>
        <row r="132">
          <cell r="AS132">
            <v>25.32</v>
          </cell>
          <cell r="AT132">
            <v>13.64</v>
          </cell>
          <cell r="AU132">
            <v>8.57</v>
          </cell>
          <cell r="AV132">
            <v>10.25</v>
          </cell>
          <cell r="AW132">
            <v>14.99</v>
          </cell>
          <cell r="AX132">
            <v>0</v>
          </cell>
          <cell r="AY132">
            <v>0</v>
          </cell>
        </row>
        <row r="133">
          <cell r="AS133">
            <v>18.37</v>
          </cell>
          <cell r="AT133">
            <v>16.75</v>
          </cell>
          <cell r="AU133">
            <v>8.33</v>
          </cell>
          <cell r="AV133">
            <v>8.31</v>
          </cell>
          <cell r="AW133">
            <v>13.22</v>
          </cell>
          <cell r="AX133">
            <v>2.2000000000000002</v>
          </cell>
          <cell r="AY133">
            <v>0</v>
          </cell>
        </row>
        <row r="134">
          <cell r="AS134">
            <v>15.17</v>
          </cell>
          <cell r="AT134">
            <v>10.93</v>
          </cell>
          <cell r="AU134">
            <v>7.82</v>
          </cell>
          <cell r="AV134">
            <v>8.42</v>
          </cell>
          <cell r="AW134">
            <v>17.559999999999999</v>
          </cell>
          <cell r="AX134">
            <v>2.87</v>
          </cell>
          <cell r="AY134">
            <v>0</v>
          </cell>
        </row>
        <row r="135">
          <cell r="AS135">
            <v>23.31</v>
          </cell>
          <cell r="AT135">
            <v>15</v>
          </cell>
          <cell r="AU135">
            <v>8.5</v>
          </cell>
          <cell r="AV135">
            <v>7.61</v>
          </cell>
          <cell r="AW135">
            <v>19.010000000000002</v>
          </cell>
          <cell r="AX135">
            <v>0</v>
          </cell>
          <cell r="AY135">
            <v>0</v>
          </cell>
        </row>
        <row r="136">
          <cell r="AS136">
            <v>18.079999999999998</v>
          </cell>
          <cell r="AT136">
            <v>13.03</v>
          </cell>
          <cell r="AU136">
            <v>5</v>
          </cell>
          <cell r="AV136">
            <v>6.69</v>
          </cell>
          <cell r="AW136">
            <v>20.13</v>
          </cell>
          <cell r="AX136">
            <v>3.73</v>
          </cell>
          <cell r="AY136">
            <v>0</v>
          </cell>
        </row>
        <row r="137">
          <cell r="AS137">
            <v>15.59</v>
          </cell>
          <cell r="AT137">
            <v>13.34</v>
          </cell>
          <cell r="AU137">
            <v>7.57</v>
          </cell>
          <cell r="AV137">
            <v>7.47</v>
          </cell>
          <cell r="AW137">
            <v>13.06</v>
          </cell>
          <cell r="AX137">
            <v>2.7</v>
          </cell>
          <cell r="AY137">
            <v>8.77</v>
          </cell>
        </row>
        <row r="138">
          <cell r="AS138">
            <v>19.38</v>
          </cell>
          <cell r="AT138">
            <v>13.94</v>
          </cell>
          <cell r="AU138">
            <v>8.67</v>
          </cell>
          <cell r="AV138">
            <v>9.02</v>
          </cell>
          <cell r="AW138">
            <v>17.63</v>
          </cell>
          <cell r="AX138">
            <v>3</v>
          </cell>
          <cell r="AY138">
            <v>0</v>
          </cell>
        </row>
        <row r="139">
          <cell r="AS139">
            <v>18.350000000000001</v>
          </cell>
          <cell r="AT139">
            <v>18.329999999999998</v>
          </cell>
          <cell r="AU139">
            <v>8.4</v>
          </cell>
          <cell r="AV139">
            <v>8.26</v>
          </cell>
          <cell r="AW139">
            <v>15.13</v>
          </cell>
          <cell r="AX139">
            <v>2.57</v>
          </cell>
          <cell r="AY139">
            <v>3.05</v>
          </cell>
        </row>
        <row r="140">
          <cell r="AS140">
            <v>12.67</v>
          </cell>
          <cell r="AT140">
            <v>15.44</v>
          </cell>
          <cell r="AU140">
            <v>6.04</v>
          </cell>
          <cell r="AV140">
            <v>8.39</v>
          </cell>
          <cell r="AW140">
            <v>14.6</v>
          </cell>
          <cell r="AX140">
            <v>3.56</v>
          </cell>
          <cell r="AY140">
            <v>7.72</v>
          </cell>
        </row>
        <row r="141">
          <cell r="AS141">
            <v>21.48</v>
          </cell>
          <cell r="AT141">
            <v>20.399999999999999</v>
          </cell>
          <cell r="AU141">
            <v>8</v>
          </cell>
          <cell r="AV141">
            <v>8.8699999999999992</v>
          </cell>
          <cell r="AW141">
            <v>16.66</v>
          </cell>
          <cell r="AX141">
            <v>0</v>
          </cell>
          <cell r="AY141">
            <v>7.5</v>
          </cell>
        </row>
        <row r="142">
          <cell r="AS142">
            <v>20.98</v>
          </cell>
          <cell r="AT142">
            <v>18.73</v>
          </cell>
          <cell r="AU142">
            <v>8</v>
          </cell>
          <cell r="AV142">
            <v>12.09</v>
          </cell>
          <cell r="AW142">
            <v>16.73</v>
          </cell>
          <cell r="AX142">
            <v>2.67</v>
          </cell>
          <cell r="AY142">
            <v>0</v>
          </cell>
        </row>
        <row r="143">
          <cell r="AS143">
            <v>22.17</v>
          </cell>
          <cell r="AT143">
            <v>14.38</v>
          </cell>
          <cell r="AU143">
            <v>9.19</v>
          </cell>
          <cell r="AV143">
            <v>9.7799999999999994</v>
          </cell>
          <cell r="AW143">
            <v>18.059999999999999</v>
          </cell>
          <cell r="AX143">
            <v>0</v>
          </cell>
          <cell r="AY143">
            <v>0</v>
          </cell>
        </row>
        <row r="144">
          <cell r="AS144">
            <v>19.09</v>
          </cell>
          <cell r="AT144">
            <v>12.52</v>
          </cell>
          <cell r="AV144">
            <v>9.4600000000000009</v>
          </cell>
          <cell r="AW144">
            <v>20.58</v>
          </cell>
          <cell r="AX144">
            <v>3.5</v>
          </cell>
          <cell r="AY144">
            <v>0</v>
          </cell>
        </row>
        <row r="145">
          <cell r="AS145">
            <v>18.09</v>
          </cell>
          <cell r="AT145">
            <v>16.579999999999998</v>
          </cell>
          <cell r="AU145">
            <v>7.56</v>
          </cell>
          <cell r="AV145">
            <v>7.04</v>
          </cell>
          <cell r="AW145">
            <v>13.57</v>
          </cell>
          <cell r="AX145">
            <v>3.09</v>
          </cell>
          <cell r="AY145">
            <v>7.5</v>
          </cell>
        </row>
        <row r="146">
          <cell r="AS146">
            <v>20.57</v>
          </cell>
          <cell r="AT146">
            <v>16.940000000000001</v>
          </cell>
          <cell r="AU146">
            <v>8</v>
          </cell>
          <cell r="AV146">
            <v>10.33</v>
          </cell>
          <cell r="AW146">
            <v>17.87</v>
          </cell>
          <cell r="AX146">
            <v>1.87</v>
          </cell>
          <cell r="AY146">
            <v>0</v>
          </cell>
        </row>
        <row r="147">
          <cell r="AS147">
            <v>25.55</v>
          </cell>
          <cell r="AT147">
            <v>17.32</v>
          </cell>
          <cell r="AU147">
            <v>8</v>
          </cell>
          <cell r="AV147">
            <v>9.7799999999999994</v>
          </cell>
          <cell r="AW147">
            <v>18.760000000000002</v>
          </cell>
          <cell r="AX147">
            <v>0</v>
          </cell>
          <cell r="AY147">
            <v>0</v>
          </cell>
        </row>
        <row r="148">
          <cell r="AS148">
            <v>17.28</v>
          </cell>
          <cell r="AT148">
            <v>15.65</v>
          </cell>
          <cell r="AU148">
            <v>7.74</v>
          </cell>
          <cell r="AV148">
            <v>7.84</v>
          </cell>
          <cell r="AW148">
            <v>13.14</v>
          </cell>
          <cell r="AX148">
            <v>2.97</v>
          </cell>
          <cell r="AY148">
            <v>7.55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6"/>
    </sheetNames>
    <sheetDataSet>
      <sheetData sheetId="0">
        <row r="99">
          <cell r="O99">
            <v>3.081967213114754</v>
          </cell>
        </row>
        <row r="100">
          <cell r="O100">
            <v>0</v>
          </cell>
        </row>
        <row r="101">
          <cell r="O101">
            <v>4.916666666666667</v>
          </cell>
        </row>
        <row r="102">
          <cell r="O102">
            <v>5</v>
          </cell>
        </row>
        <row r="103">
          <cell r="O103">
            <v>5</v>
          </cell>
        </row>
        <row r="104">
          <cell r="O104">
            <v>5</v>
          </cell>
        </row>
        <row r="105">
          <cell r="O105">
            <v>2.574074074074074</v>
          </cell>
        </row>
        <row r="106">
          <cell r="O106">
            <v>5</v>
          </cell>
        </row>
        <row r="107">
          <cell r="O107">
            <v>5</v>
          </cell>
        </row>
        <row r="108">
          <cell r="O108">
            <v>5.6351791530944624</v>
          </cell>
        </row>
        <row r="109">
          <cell r="O109">
            <v>7.8918128654970756</v>
          </cell>
        </row>
        <row r="110">
          <cell r="O110">
            <v>8</v>
          </cell>
        </row>
        <row r="111">
          <cell r="O111">
            <v>1.5347222222222223</v>
          </cell>
        </row>
        <row r="112">
          <cell r="O112">
            <v>2.992481203007519</v>
          </cell>
        </row>
        <row r="115">
          <cell r="O115">
            <v>6.5</v>
          </cell>
        </row>
        <row r="116">
          <cell r="O116">
            <v>6</v>
          </cell>
        </row>
        <row r="117">
          <cell r="O117">
            <v>7.4</v>
          </cell>
        </row>
        <row r="118">
          <cell r="O118">
            <v>3.5</v>
          </cell>
        </row>
        <row r="119">
          <cell r="O119">
            <v>4</v>
          </cell>
        </row>
        <row r="120">
          <cell r="O120">
            <v>3.9037780401416766</v>
          </cell>
        </row>
        <row r="121">
          <cell r="O121">
            <v>6.0528756957328387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6"/>
      <sheetName val="RSE 7.6"/>
    </sheetNames>
    <sheetDataSet>
      <sheetData sheetId="0">
        <row r="99">
          <cell r="C99">
            <v>13570</v>
          </cell>
          <cell r="D99">
            <v>735520</v>
          </cell>
        </row>
        <row r="100">
          <cell r="C100"/>
          <cell r="D100"/>
        </row>
        <row r="101">
          <cell r="C101"/>
          <cell r="D101"/>
        </row>
        <row r="102">
          <cell r="C102"/>
          <cell r="D102"/>
        </row>
        <row r="103">
          <cell r="C103"/>
          <cell r="D103"/>
        </row>
        <row r="104">
          <cell r="C104">
            <v>1108</v>
          </cell>
          <cell r="D104">
            <v>75652</v>
          </cell>
        </row>
        <row r="105">
          <cell r="C105">
            <v>85</v>
          </cell>
          <cell r="D105">
            <v>8337</v>
          </cell>
        </row>
        <row r="106">
          <cell r="C106">
            <v>95</v>
          </cell>
          <cell r="D106">
            <v>13349</v>
          </cell>
        </row>
        <row r="107">
          <cell r="C107">
            <v>20</v>
          </cell>
          <cell r="D107">
            <v>2454</v>
          </cell>
        </row>
        <row r="108">
          <cell r="C108">
            <v>6</v>
          </cell>
          <cell r="D108">
            <v>1069</v>
          </cell>
        </row>
        <row r="109">
          <cell r="C109">
            <v>2</v>
          </cell>
          <cell r="D109">
            <v>243</v>
          </cell>
        </row>
        <row r="110">
          <cell r="C110">
            <v>223</v>
          </cell>
          <cell r="D110">
            <v>16179</v>
          </cell>
        </row>
        <row r="111">
          <cell r="C111">
            <v>1195</v>
          </cell>
          <cell r="D111">
            <v>66617</v>
          </cell>
        </row>
        <row r="112">
          <cell r="C112">
            <v>84</v>
          </cell>
          <cell r="D112">
            <v>13703</v>
          </cell>
        </row>
        <row r="113">
          <cell r="C113">
            <v>1766</v>
          </cell>
          <cell r="D113">
            <v>48788</v>
          </cell>
        </row>
        <row r="114">
          <cell r="C114">
            <v>5133</v>
          </cell>
          <cell r="D114">
            <v>141054</v>
          </cell>
        </row>
        <row r="115">
          <cell r="C115">
            <v>272</v>
          </cell>
          <cell r="D115">
            <v>45764</v>
          </cell>
        </row>
        <row r="116">
          <cell r="C116">
            <v>714</v>
          </cell>
          <cell r="D116">
            <v>32508</v>
          </cell>
        </row>
        <row r="117">
          <cell r="C117">
            <v>1820</v>
          </cell>
          <cell r="D117">
            <v>120608</v>
          </cell>
        </row>
        <row r="118">
          <cell r="C118">
            <v>300</v>
          </cell>
          <cell r="D118">
            <v>37410</v>
          </cell>
        </row>
        <row r="119">
          <cell r="C119">
            <v>148</v>
          </cell>
          <cell r="D119">
            <v>20385</v>
          </cell>
        </row>
        <row r="120">
          <cell r="C120">
            <v>145</v>
          </cell>
          <cell r="D120">
            <v>29491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4.2"/>
      <sheetName val="RSE 4.2"/>
    </sheetNames>
    <sheetDataSet>
      <sheetData sheetId="0" refreshError="1">
        <row r="128">
          <cell r="C128">
            <v>1113</v>
          </cell>
          <cell r="D128">
            <v>258</v>
          </cell>
          <cell r="E128">
            <v>12</v>
          </cell>
          <cell r="F128">
            <v>22</v>
          </cell>
          <cell r="G128">
            <v>579</v>
          </cell>
          <cell r="H128">
            <v>5</v>
          </cell>
          <cell r="I128">
            <v>182</v>
          </cell>
          <cell r="J128">
            <v>2</v>
          </cell>
          <cell r="K128">
            <v>54</v>
          </cell>
          <cell r="L128">
            <v>856</v>
          </cell>
          <cell r="M128">
            <v>855</v>
          </cell>
        </row>
        <row r="129">
          <cell r="C129">
            <v>85</v>
          </cell>
          <cell r="D129">
            <v>29</v>
          </cell>
          <cell r="E129">
            <v>1</v>
          </cell>
          <cell r="F129">
            <v>1</v>
          </cell>
          <cell r="G129">
            <v>38</v>
          </cell>
          <cell r="H129">
            <v>1</v>
          </cell>
          <cell r="I129">
            <v>10</v>
          </cell>
          <cell r="J129">
            <v>0</v>
          </cell>
          <cell r="K129">
            <v>5</v>
          </cell>
          <cell r="L129">
            <v>56</v>
          </cell>
          <cell r="M129">
            <v>56</v>
          </cell>
        </row>
        <row r="130">
          <cell r="C130">
            <v>95</v>
          </cell>
          <cell r="D130">
            <v>46</v>
          </cell>
          <cell r="E130">
            <v>2</v>
          </cell>
          <cell r="F130">
            <v>1</v>
          </cell>
          <cell r="G130">
            <v>31</v>
          </cell>
          <cell r="H130">
            <v>1</v>
          </cell>
          <cell r="I130">
            <v>8</v>
          </cell>
          <cell r="J130">
            <v>0</v>
          </cell>
          <cell r="K130">
            <v>6</v>
          </cell>
          <cell r="L130">
            <v>49</v>
          </cell>
          <cell r="M130">
            <v>49</v>
          </cell>
        </row>
        <row r="131">
          <cell r="C131">
            <v>20</v>
          </cell>
          <cell r="D131">
            <v>8</v>
          </cell>
          <cell r="E131">
            <v>0.1</v>
          </cell>
          <cell r="F131">
            <v>0.1</v>
          </cell>
          <cell r="G131">
            <v>9</v>
          </cell>
          <cell r="H131">
            <v>0.1</v>
          </cell>
          <cell r="I131">
            <v>2</v>
          </cell>
          <cell r="J131">
            <v>0</v>
          </cell>
          <cell r="K131">
            <v>0.3</v>
          </cell>
          <cell r="L131">
            <v>11.6</v>
          </cell>
          <cell r="M131">
            <v>12</v>
          </cell>
        </row>
        <row r="132">
          <cell r="C132">
            <v>6</v>
          </cell>
          <cell r="D132">
            <v>4</v>
          </cell>
          <cell r="E132">
            <v>0</v>
          </cell>
          <cell r="F132">
            <v>0.1</v>
          </cell>
          <cell r="G132">
            <v>2</v>
          </cell>
          <cell r="H132">
            <v>0.1</v>
          </cell>
          <cell r="I132">
            <v>0</v>
          </cell>
          <cell r="J132">
            <v>0</v>
          </cell>
          <cell r="K132">
            <v>1E-3</v>
          </cell>
          <cell r="L132">
            <v>2.2010000000000001</v>
          </cell>
          <cell r="M132">
            <v>2</v>
          </cell>
        </row>
        <row r="133">
          <cell r="C133">
            <v>2</v>
          </cell>
          <cell r="D133">
            <v>1</v>
          </cell>
          <cell r="E133">
            <v>0.1</v>
          </cell>
          <cell r="F133">
            <v>0.1</v>
          </cell>
          <cell r="G133">
            <v>1</v>
          </cell>
          <cell r="H133">
            <v>0.1</v>
          </cell>
          <cell r="I133">
            <v>0</v>
          </cell>
          <cell r="J133">
            <v>0</v>
          </cell>
          <cell r="K133">
            <v>1E-3</v>
          </cell>
          <cell r="L133">
            <v>1.3009999999999999</v>
          </cell>
          <cell r="M133">
            <v>1</v>
          </cell>
        </row>
        <row r="134">
          <cell r="C134">
            <v>266</v>
          </cell>
          <cell r="D134">
            <v>55</v>
          </cell>
          <cell r="E134">
            <v>0.5</v>
          </cell>
          <cell r="F134">
            <v>22</v>
          </cell>
          <cell r="G134">
            <v>34</v>
          </cell>
          <cell r="H134">
            <v>3</v>
          </cell>
          <cell r="I134">
            <v>1</v>
          </cell>
          <cell r="J134">
            <v>0</v>
          </cell>
          <cell r="K134">
            <v>150</v>
          </cell>
          <cell r="L134">
            <v>210.5</v>
          </cell>
          <cell r="M134">
            <v>211</v>
          </cell>
        </row>
        <row r="135">
          <cell r="C135">
            <v>1182</v>
          </cell>
          <cell r="D135">
            <v>228</v>
          </cell>
          <cell r="E135">
            <v>35</v>
          </cell>
          <cell r="F135">
            <v>6</v>
          </cell>
          <cell r="G135">
            <v>398</v>
          </cell>
          <cell r="H135">
            <v>4</v>
          </cell>
          <cell r="I135">
            <v>207</v>
          </cell>
          <cell r="J135">
            <v>0.05</v>
          </cell>
          <cell r="K135">
            <v>304</v>
          </cell>
          <cell r="L135">
            <v>954.05</v>
          </cell>
          <cell r="M135">
            <v>954</v>
          </cell>
        </row>
        <row r="136">
          <cell r="C136">
            <v>83</v>
          </cell>
          <cell r="D136">
            <v>47</v>
          </cell>
          <cell r="E136">
            <v>0.05</v>
          </cell>
          <cell r="F136">
            <v>0.1</v>
          </cell>
          <cell r="G136">
            <v>34</v>
          </cell>
          <cell r="H136">
            <v>1</v>
          </cell>
          <cell r="I136">
            <v>0</v>
          </cell>
          <cell r="J136">
            <v>0</v>
          </cell>
          <cell r="K136">
            <v>0.3</v>
          </cell>
          <cell r="L136">
            <v>35.449999999999996</v>
          </cell>
          <cell r="M136">
            <v>36</v>
          </cell>
        </row>
        <row r="137">
          <cell r="C137">
            <v>1517</v>
          </cell>
          <cell r="D137">
            <v>179</v>
          </cell>
          <cell r="E137">
            <v>12</v>
          </cell>
          <cell r="F137">
            <v>17</v>
          </cell>
          <cell r="G137">
            <v>918</v>
          </cell>
          <cell r="H137">
            <v>5</v>
          </cell>
          <cell r="I137">
            <v>11</v>
          </cell>
          <cell r="J137">
            <v>0</v>
          </cell>
          <cell r="K137">
            <v>374</v>
          </cell>
          <cell r="L137">
            <v>1337</v>
          </cell>
          <cell r="M137">
            <v>1338</v>
          </cell>
        </row>
        <row r="138">
          <cell r="C138">
            <v>2913</v>
          </cell>
          <cell r="D138">
            <v>499</v>
          </cell>
          <cell r="E138">
            <v>6</v>
          </cell>
          <cell r="F138">
            <v>8</v>
          </cell>
          <cell r="G138">
            <v>1774</v>
          </cell>
          <cell r="H138">
            <v>7</v>
          </cell>
          <cell r="I138">
            <v>200</v>
          </cell>
          <cell r="J138">
            <v>0</v>
          </cell>
          <cell r="K138">
            <v>420</v>
          </cell>
          <cell r="L138">
            <v>2415</v>
          </cell>
          <cell r="M138">
            <v>2414</v>
          </cell>
        </row>
        <row r="139">
          <cell r="C139">
            <v>271</v>
          </cell>
          <cell r="D139">
            <v>156</v>
          </cell>
          <cell r="E139">
            <v>0.1</v>
          </cell>
          <cell r="F139">
            <v>2</v>
          </cell>
          <cell r="G139">
            <v>103</v>
          </cell>
          <cell r="H139">
            <v>2</v>
          </cell>
          <cell r="I139">
            <v>4</v>
          </cell>
          <cell r="J139">
            <v>0</v>
          </cell>
          <cell r="K139">
            <v>3.7</v>
          </cell>
          <cell r="L139">
            <v>114.8</v>
          </cell>
          <cell r="M139">
            <v>115</v>
          </cell>
        </row>
        <row r="140">
          <cell r="C140">
            <v>709</v>
          </cell>
          <cell r="D140">
            <v>111</v>
          </cell>
          <cell r="E140">
            <v>1</v>
          </cell>
          <cell r="F140">
            <v>23</v>
          </cell>
          <cell r="G140">
            <v>273</v>
          </cell>
          <cell r="H140">
            <v>2</v>
          </cell>
          <cell r="I140">
            <v>217</v>
          </cell>
          <cell r="J140">
            <v>8</v>
          </cell>
          <cell r="K140">
            <v>74</v>
          </cell>
          <cell r="L140">
            <v>598</v>
          </cell>
          <cell r="M140">
            <v>598</v>
          </cell>
        </row>
        <row r="141">
          <cell r="C141">
            <v>1328</v>
          </cell>
          <cell r="D141">
            <v>412</v>
          </cell>
          <cell r="E141">
            <v>1</v>
          </cell>
          <cell r="F141">
            <v>9</v>
          </cell>
          <cell r="G141">
            <v>537</v>
          </cell>
          <cell r="H141">
            <v>3</v>
          </cell>
          <cell r="I141">
            <v>23</v>
          </cell>
          <cell r="J141">
            <v>291</v>
          </cell>
          <cell r="K141">
            <v>53</v>
          </cell>
          <cell r="L141">
            <v>917</v>
          </cell>
          <cell r="M141">
            <v>916</v>
          </cell>
        </row>
        <row r="142">
          <cell r="C142">
            <v>300</v>
          </cell>
          <cell r="D142">
            <v>128</v>
          </cell>
          <cell r="E142">
            <v>0.1</v>
          </cell>
          <cell r="F142">
            <v>3</v>
          </cell>
          <cell r="G142">
            <v>162</v>
          </cell>
          <cell r="H142">
            <v>5</v>
          </cell>
          <cell r="I142">
            <v>0.1</v>
          </cell>
          <cell r="J142">
            <v>0</v>
          </cell>
          <cell r="K142">
            <v>2</v>
          </cell>
          <cell r="L142">
            <v>172.2</v>
          </cell>
          <cell r="M142">
            <v>172</v>
          </cell>
        </row>
        <row r="143">
          <cell r="C143">
            <v>148</v>
          </cell>
          <cell r="D143">
            <v>70</v>
          </cell>
          <cell r="E143">
            <v>0.1</v>
          </cell>
          <cell r="F143">
            <v>3</v>
          </cell>
          <cell r="G143">
            <v>71</v>
          </cell>
          <cell r="H143">
            <v>2</v>
          </cell>
          <cell r="I143">
            <v>0</v>
          </cell>
          <cell r="J143">
            <v>0</v>
          </cell>
          <cell r="K143">
            <v>1</v>
          </cell>
          <cell r="L143">
            <v>77.099999999999994</v>
          </cell>
          <cell r="M143">
            <v>78</v>
          </cell>
        </row>
        <row r="144">
          <cell r="C144">
            <v>144</v>
          </cell>
          <cell r="D144">
            <v>101</v>
          </cell>
          <cell r="E144">
            <v>0.1</v>
          </cell>
          <cell r="F144">
            <v>0.1</v>
          </cell>
          <cell r="G144">
            <v>42</v>
          </cell>
          <cell r="H144">
            <v>0.1</v>
          </cell>
          <cell r="I144">
            <v>0</v>
          </cell>
          <cell r="J144">
            <v>0</v>
          </cell>
          <cell r="K144">
            <v>0.2</v>
          </cell>
          <cell r="L144">
            <v>42.500000000000007</v>
          </cell>
          <cell r="M144">
            <v>43</v>
          </cell>
        </row>
        <row r="145">
          <cell r="C145">
            <v>74</v>
          </cell>
          <cell r="D145">
            <v>36</v>
          </cell>
          <cell r="E145">
            <v>0.05</v>
          </cell>
          <cell r="F145">
            <v>1</v>
          </cell>
          <cell r="G145">
            <v>36</v>
          </cell>
          <cell r="H145">
            <v>1</v>
          </cell>
          <cell r="I145">
            <v>0</v>
          </cell>
          <cell r="J145">
            <v>0.05</v>
          </cell>
          <cell r="K145">
            <v>0.2</v>
          </cell>
          <cell r="L145">
            <v>38.299999999999997</v>
          </cell>
          <cell r="M145">
            <v>38</v>
          </cell>
        </row>
        <row r="146">
          <cell r="C146">
            <v>276</v>
          </cell>
          <cell r="D146">
            <v>133</v>
          </cell>
          <cell r="E146">
            <v>2</v>
          </cell>
          <cell r="F146">
            <v>3</v>
          </cell>
          <cell r="G146">
            <v>127</v>
          </cell>
          <cell r="H146">
            <v>3</v>
          </cell>
          <cell r="I146">
            <v>3</v>
          </cell>
          <cell r="J146">
            <v>0</v>
          </cell>
          <cell r="K146">
            <v>5</v>
          </cell>
          <cell r="L146">
            <v>143</v>
          </cell>
          <cell r="M146">
            <v>143</v>
          </cell>
        </row>
        <row r="147">
          <cell r="C147">
            <v>33</v>
          </cell>
          <cell r="D147">
            <v>17</v>
          </cell>
          <cell r="E147">
            <v>0</v>
          </cell>
          <cell r="F147">
            <v>0.1</v>
          </cell>
          <cell r="G147">
            <v>13</v>
          </cell>
          <cell r="H147">
            <v>1</v>
          </cell>
          <cell r="I147">
            <v>0.2</v>
          </cell>
          <cell r="J147">
            <v>0</v>
          </cell>
          <cell r="K147">
            <v>2</v>
          </cell>
          <cell r="L147">
            <v>16.299999999999997</v>
          </cell>
          <cell r="M147">
            <v>16</v>
          </cell>
        </row>
        <row r="148">
          <cell r="C148">
            <v>43</v>
          </cell>
          <cell r="D148">
            <v>26</v>
          </cell>
          <cell r="E148">
            <v>0.1</v>
          </cell>
          <cell r="F148">
            <v>1</v>
          </cell>
          <cell r="G148">
            <v>16</v>
          </cell>
          <cell r="H148">
            <v>0.1</v>
          </cell>
          <cell r="I148">
            <v>0.1</v>
          </cell>
          <cell r="J148">
            <v>0</v>
          </cell>
          <cell r="K148">
            <v>0.1</v>
          </cell>
          <cell r="L148">
            <v>17.400000000000006</v>
          </cell>
          <cell r="M148">
            <v>17</v>
          </cell>
        </row>
        <row r="149">
          <cell r="C149">
            <v>10608</v>
          </cell>
          <cell r="D149">
            <v>2543</v>
          </cell>
          <cell r="E149">
            <v>73</v>
          </cell>
          <cell r="F149">
            <v>122</v>
          </cell>
          <cell r="G149">
            <v>5200</v>
          </cell>
          <cell r="H149">
            <v>46</v>
          </cell>
          <cell r="I149">
            <v>868</v>
          </cell>
          <cell r="J149">
            <v>301</v>
          </cell>
          <cell r="K149">
            <v>1455</v>
          </cell>
          <cell r="L149">
            <v>0</v>
          </cell>
          <cell r="M149">
            <v>0</v>
          </cell>
        </row>
        <row r="150">
          <cell r="C150">
            <v>0</v>
          </cell>
          <cell r="D150">
            <v>2544</v>
          </cell>
          <cell r="E150">
            <v>73.299999999999969</v>
          </cell>
          <cell r="F150">
            <v>122.6</v>
          </cell>
          <cell r="G150">
            <v>5198</v>
          </cell>
          <cell r="H150">
            <v>46.5</v>
          </cell>
          <cell r="I150">
            <v>868.40000000000009</v>
          </cell>
          <cell r="J150">
            <v>301.10000000000002</v>
          </cell>
          <cell r="K150">
            <v>1454.8019999999999</v>
          </cell>
          <cell r="L150">
            <v>8064.7020000000002</v>
          </cell>
          <cell r="M150">
            <v>8064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6"/>
      <sheetName val="RSE 7.6"/>
    </sheetNames>
    <sheetDataSet>
      <sheetData sheetId="0">
        <row r="104">
          <cell r="C104">
            <v>1108</v>
          </cell>
          <cell r="BF104">
            <v>5</v>
          </cell>
          <cell r="BG104">
            <v>10111</v>
          </cell>
          <cell r="BH104">
            <v>5328</v>
          </cell>
        </row>
        <row r="105">
          <cell r="C105">
            <v>85</v>
          </cell>
          <cell r="BF105">
            <v>7</v>
          </cell>
          <cell r="BG105">
            <v>1106</v>
          </cell>
          <cell r="BH105">
            <v>728</v>
          </cell>
        </row>
        <row r="106">
          <cell r="C106">
            <v>95</v>
          </cell>
          <cell r="BF106">
            <v>5.4285714285714288</v>
          </cell>
          <cell r="BG106">
            <v>1212</v>
          </cell>
          <cell r="BH106">
            <v>861</v>
          </cell>
        </row>
        <row r="107">
          <cell r="C107">
            <v>20</v>
          </cell>
          <cell r="BF107">
            <v>5</v>
          </cell>
          <cell r="BG107">
            <v>266</v>
          </cell>
          <cell r="BH107">
            <v>185</v>
          </cell>
        </row>
        <row r="108">
          <cell r="C108">
            <v>6</v>
          </cell>
          <cell r="BF108">
            <v>5</v>
          </cell>
          <cell r="BG108">
            <v>120</v>
          </cell>
          <cell r="BH108">
            <v>95</v>
          </cell>
        </row>
        <row r="109">
          <cell r="C109">
            <v>2</v>
          </cell>
          <cell r="BF109">
            <v>5</v>
          </cell>
          <cell r="BG109">
            <v>34</v>
          </cell>
          <cell r="BH109">
            <v>25</v>
          </cell>
        </row>
        <row r="110">
          <cell r="C110">
            <v>223</v>
          </cell>
          <cell r="BF110">
            <v>2.0877192982456139</v>
          </cell>
          <cell r="BG110">
            <v>1990</v>
          </cell>
          <cell r="BH110">
            <v>1229</v>
          </cell>
        </row>
        <row r="111">
          <cell r="C111">
            <v>1195</v>
          </cell>
          <cell r="BF111">
            <v>3.1075949367088609</v>
          </cell>
          <cell r="BG111">
            <v>8275</v>
          </cell>
          <cell r="BH111">
            <v>3752</v>
          </cell>
        </row>
        <row r="112">
          <cell r="C112">
            <v>84</v>
          </cell>
          <cell r="BF112">
            <v>5</v>
          </cell>
          <cell r="BG112">
            <v>1517</v>
          </cell>
          <cell r="BH112">
            <v>1241</v>
          </cell>
        </row>
        <row r="113">
          <cell r="C113">
            <v>1766</v>
          </cell>
          <cell r="BF113">
            <v>4.2644230769230766</v>
          </cell>
          <cell r="BG113">
            <v>10463</v>
          </cell>
          <cell r="BH113">
            <v>2769</v>
          </cell>
        </row>
        <row r="114">
          <cell r="C114">
            <v>5133</v>
          </cell>
          <cell r="BF114">
            <v>6.5774999999999997</v>
          </cell>
          <cell r="BG114">
            <v>48096</v>
          </cell>
          <cell r="BH114">
            <v>7849</v>
          </cell>
        </row>
        <row r="115">
          <cell r="C115">
            <v>272</v>
          </cell>
          <cell r="BF115">
            <v>5</v>
          </cell>
          <cell r="BG115">
            <v>4371</v>
          </cell>
          <cell r="BH115">
            <v>3541</v>
          </cell>
        </row>
        <row r="116">
          <cell r="C116">
            <v>714</v>
          </cell>
          <cell r="BF116">
            <v>2.2564102564102564</v>
          </cell>
          <cell r="BG116">
            <v>5291</v>
          </cell>
          <cell r="BH116">
            <v>2292</v>
          </cell>
        </row>
        <row r="117">
          <cell r="C117">
            <v>1820</v>
          </cell>
          <cell r="BF117">
            <v>3.7254901960784315</v>
          </cell>
          <cell r="BG117">
            <v>14498</v>
          </cell>
          <cell r="BH117">
            <v>5878</v>
          </cell>
        </row>
        <row r="118">
          <cell r="C118">
            <v>300</v>
          </cell>
          <cell r="BF118">
            <v>5.333333333333333</v>
          </cell>
          <cell r="BG118">
            <v>4457</v>
          </cell>
          <cell r="BH118">
            <v>3139</v>
          </cell>
        </row>
        <row r="119">
          <cell r="C119">
            <v>148</v>
          </cell>
          <cell r="BF119">
            <v>13.5</v>
          </cell>
          <cell r="BG119">
            <v>2379</v>
          </cell>
          <cell r="BH119">
            <v>1735</v>
          </cell>
        </row>
        <row r="120">
          <cell r="C120">
            <v>145</v>
          </cell>
          <cell r="BF120">
            <v>14</v>
          </cell>
          <cell r="BG120">
            <v>2655</v>
          </cell>
          <cell r="BH120">
            <v>2343</v>
          </cell>
        </row>
        <row r="121">
          <cell r="C121">
            <v>97</v>
          </cell>
          <cell r="BF121">
            <v>7.56</v>
          </cell>
          <cell r="BG121">
            <v>1291</v>
          </cell>
          <cell r="BH121">
            <v>830</v>
          </cell>
        </row>
        <row r="122">
          <cell r="C122">
            <v>278</v>
          </cell>
          <cell r="BF122">
            <v>11.666666666666666</v>
          </cell>
          <cell r="BG122">
            <v>3981</v>
          </cell>
          <cell r="BH122">
            <v>2884</v>
          </cell>
        </row>
        <row r="123">
          <cell r="C123">
            <v>34</v>
          </cell>
          <cell r="BF123">
            <v>2</v>
          </cell>
          <cell r="BG123">
            <v>607</v>
          </cell>
          <cell r="BH123">
            <v>465</v>
          </cell>
        </row>
        <row r="124">
          <cell r="C124">
            <v>43</v>
          </cell>
          <cell r="BF124">
            <v>5</v>
          </cell>
          <cell r="BG124">
            <v>892</v>
          </cell>
          <cell r="BH124">
            <v>730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y"/>
      <sheetName val="General_inputs"/>
      <sheetName val="Industrial_Total_II"/>
      <sheetName val="Total_Industrial"/>
      <sheetName val="Manufacturing"/>
      <sheetName val="NonManufacturing"/>
      <sheetName val="NonManufacturing_pre2012"/>
      <sheetName val="Report_chart"/>
      <sheetName val="Report_tables"/>
      <sheetName val="Charts (www)"/>
      <sheetName val="Manufacturing_Energy_Data"/>
      <sheetName val="AER08_Table2.1d"/>
      <sheetName val="AER09_Table2.1d"/>
      <sheetName val="AER10_Table2.1d"/>
      <sheetName val="AER11_Table2.1d_MER0913"/>
      <sheetName val="GDP_Data"/>
      <sheetName val="Conversion_factors"/>
      <sheetName val="BEA_Output_Data"/>
      <sheetName val="Mfg Gross Output"/>
      <sheetName val="Mfg Value Added"/>
      <sheetName val="Gross Output over VA"/>
      <sheetName val="NAICS Sector VA over Manufac VA"/>
      <sheetName val="Mfg Shipments (6)"/>
      <sheetName val="Electric Energy (6)"/>
      <sheetName val="Fuel Energy (6)"/>
      <sheetName val="Pulp&amp;Paper"/>
    </sheetNames>
    <sheetDataSet>
      <sheetData sheetId="0" refreshError="1"/>
      <sheetData sheetId="1" refreshError="1">
        <row r="6">
          <cell r="F6">
            <v>1985</v>
          </cell>
          <cell r="L6" t="str">
            <v>1985 = 1</v>
          </cell>
          <cell r="O6">
            <v>37</v>
          </cell>
        </row>
        <row r="7">
          <cell r="F7">
            <v>1996</v>
          </cell>
          <cell r="L7" t="str">
            <v>1996 = 1</v>
          </cell>
          <cell r="O7">
            <v>48</v>
          </cell>
        </row>
        <row r="20">
          <cell r="F20">
            <v>1985</v>
          </cell>
        </row>
        <row r="21">
          <cell r="F21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Few Notes"/>
      <sheetName val="ASM_DB"/>
      <sheetName val="ELECTRICITY"/>
      <sheetName val="PURCHASED FUEL"/>
      <sheetName val="Distillate"/>
      <sheetName val="Resid"/>
      <sheetName val="Prices"/>
      <sheetName val="AER_11_Table3.4"/>
      <sheetName val="3DNAICS"/>
      <sheetName val="Original_MECS (110910)"/>
      <sheetName val="Pivot_table-(not used)"/>
      <sheetName val="Quantity_shares"/>
      <sheetName val="Quantity_shares_revised"/>
      <sheetName val="Expenditure_ratios (NOT USED)"/>
      <sheetName val="Expenditure_ratios_revised"/>
      <sheetName val="Expend_ratios_revised_1985-97"/>
      <sheetName val="Final_quant._elec_w_ASM_87"/>
      <sheetName val="Final_quantities_w_ASM_85"/>
      <sheetName val="Final_quantities-NOT USED"/>
      <sheetName val="BTU charts"/>
      <sheetName val="Chart6"/>
      <sheetName val="Asmt4"/>
      <sheetName val="Lookups"/>
      <sheetName val="3Digit"/>
      <sheetName val="313&amp;314"/>
      <sheetName val="334fix"/>
      <sheetName val="336fix"/>
      <sheetName val="339fix"/>
      <sheetName val="AERTable6.8"/>
      <sheetName val="Chart9"/>
      <sheetName val="Chart10"/>
      <sheetName val="Chart11"/>
      <sheetName val="Chart12"/>
      <sheetName val="Chart13"/>
      <sheetName val="Chart14"/>
      <sheetName val="Chart15"/>
      <sheetName val="Chart16"/>
      <sheetName val="Chart17"/>
      <sheetName val="Chart18"/>
      <sheetName val="Chart19"/>
      <sheetName val="Chart20"/>
      <sheetName val="Chart21"/>
      <sheetName val="Chart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86">
          <cell r="AX486">
            <v>4783</v>
          </cell>
        </row>
        <row r="487">
          <cell r="AX487">
            <v>380</v>
          </cell>
        </row>
        <row r="488">
          <cell r="AX488">
            <v>351</v>
          </cell>
        </row>
        <row r="489">
          <cell r="AX489">
            <v>81</v>
          </cell>
        </row>
        <row r="490">
          <cell r="AX490">
            <v>25</v>
          </cell>
        </row>
        <row r="491">
          <cell r="AX491">
            <v>9</v>
          </cell>
        </row>
        <row r="492">
          <cell r="AX492">
            <v>767</v>
          </cell>
        </row>
        <row r="493">
          <cell r="AX493">
            <v>4523</v>
          </cell>
        </row>
        <row r="494">
          <cell r="AX494">
            <v>276</v>
          </cell>
        </row>
        <row r="495">
          <cell r="AX495">
            <v>7694</v>
          </cell>
        </row>
        <row r="496">
          <cell r="AX496">
            <v>40247</v>
          </cell>
        </row>
        <row r="497">
          <cell r="AX497">
            <v>830</v>
          </cell>
        </row>
        <row r="498">
          <cell r="AX498">
            <v>2999</v>
          </cell>
        </row>
        <row r="499">
          <cell r="AX499">
            <v>8620</v>
          </cell>
        </row>
        <row r="500">
          <cell r="AX500">
            <v>1318</v>
          </cell>
        </row>
        <row r="501">
          <cell r="AX501">
            <v>644</v>
          </cell>
        </row>
        <row r="502">
          <cell r="AX502">
            <v>312</v>
          </cell>
        </row>
        <row r="503">
          <cell r="AX503">
            <v>461</v>
          </cell>
        </row>
        <row r="504">
          <cell r="AX504">
            <v>1097</v>
          </cell>
        </row>
        <row r="505">
          <cell r="AX505">
            <v>142</v>
          </cell>
        </row>
        <row r="506">
          <cell r="AX506">
            <v>162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4.2"/>
      <sheetName val="RSE 4.2"/>
    </sheetNames>
    <sheetDataSet>
      <sheetData sheetId="0">
        <row r="126">
          <cell r="C126">
            <v>1025</v>
          </cell>
          <cell r="D126">
            <v>247</v>
          </cell>
          <cell r="E126">
            <v>4</v>
          </cell>
          <cell r="F126">
            <v>20</v>
          </cell>
          <cell r="G126">
            <v>570</v>
          </cell>
          <cell r="H126">
            <v>6</v>
          </cell>
          <cell r="I126">
            <v>110</v>
          </cell>
          <cell r="J126">
            <v>1</v>
          </cell>
          <cell r="K126">
            <v>68</v>
          </cell>
        </row>
        <row r="127">
          <cell r="C127">
            <v>95</v>
          </cell>
          <cell r="D127">
            <v>33</v>
          </cell>
          <cell r="E127">
            <v>0.5</v>
          </cell>
          <cell r="F127">
            <v>1</v>
          </cell>
          <cell r="G127">
            <v>48</v>
          </cell>
          <cell r="H127">
            <v>1</v>
          </cell>
          <cell r="I127">
            <v>7</v>
          </cell>
          <cell r="J127">
            <v>0</v>
          </cell>
          <cell r="K127">
            <v>4</v>
          </cell>
        </row>
        <row r="128">
          <cell r="C128">
            <v>98</v>
          </cell>
          <cell r="D128">
            <v>44</v>
          </cell>
          <cell r="E128">
            <v>0.1</v>
          </cell>
          <cell r="F128">
            <v>0.3</v>
          </cell>
          <cell r="G128">
            <v>36</v>
          </cell>
          <cell r="H128">
            <v>1</v>
          </cell>
          <cell r="I128">
            <v>6</v>
          </cell>
          <cell r="J128">
            <v>0</v>
          </cell>
          <cell r="K128">
            <v>12</v>
          </cell>
        </row>
        <row r="129">
          <cell r="C129">
            <v>27</v>
          </cell>
          <cell r="D129">
            <v>9</v>
          </cell>
          <cell r="E129">
            <v>0.1</v>
          </cell>
          <cell r="F129">
            <v>3</v>
          </cell>
          <cell r="G129">
            <v>16</v>
          </cell>
          <cell r="H129">
            <v>0.4</v>
          </cell>
          <cell r="I129">
            <v>1</v>
          </cell>
          <cell r="J129">
            <v>0</v>
          </cell>
          <cell r="K129">
            <v>0.2</v>
          </cell>
        </row>
        <row r="130">
          <cell r="C130">
            <v>5</v>
          </cell>
          <cell r="D130">
            <v>3</v>
          </cell>
          <cell r="E130">
            <v>0</v>
          </cell>
          <cell r="F130">
            <v>0.1</v>
          </cell>
          <cell r="G130">
            <v>2</v>
          </cell>
          <cell r="H130">
            <v>0.1</v>
          </cell>
          <cell r="I130">
            <v>0</v>
          </cell>
          <cell r="J130">
            <v>0</v>
          </cell>
          <cell r="K130">
            <v>0.1</v>
          </cell>
        </row>
        <row r="131">
          <cell r="C131">
            <v>3</v>
          </cell>
          <cell r="D131">
            <v>1</v>
          </cell>
          <cell r="E131">
            <v>0.1</v>
          </cell>
          <cell r="F131">
            <v>0.2</v>
          </cell>
          <cell r="G131">
            <v>1</v>
          </cell>
          <cell r="H131">
            <v>0.2</v>
          </cell>
          <cell r="I131">
            <v>0</v>
          </cell>
          <cell r="J131">
            <v>0</v>
          </cell>
          <cell r="K131">
            <v>0.2</v>
          </cell>
        </row>
        <row r="132">
          <cell r="C132">
            <v>182</v>
          </cell>
          <cell r="D132">
            <v>75</v>
          </cell>
          <cell r="E132">
            <v>0.1</v>
          </cell>
          <cell r="F132">
            <v>10</v>
          </cell>
          <cell r="G132">
            <v>49</v>
          </cell>
          <cell r="H132">
            <v>3</v>
          </cell>
          <cell r="I132">
            <v>1</v>
          </cell>
          <cell r="J132">
            <v>0</v>
          </cell>
          <cell r="K132">
            <v>44</v>
          </cell>
        </row>
        <row r="133">
          <cell r="C133">
            <v>1111</v>
          </cell>
          <cell r="D133">
            <v>211</v>
          </cell>
          <cell r="E133">
            <v>17</v>
          </cell>
          <cell r="F133">
            <v>5</v>
          </cell>
          <cell r="G133">
            <v>436</v>
          </cell>
          <cell r="H133">
            <v>3</v>
          </cell>
          <cell r="I133">
            <v>146</v>
          </cell>
          <cell r="J133">
            <v>0</v>
          </cell>
          <cell r="K133">
            <v>293</v>
          </cell>
        </row>
        <row r="134">
          <cell r="C134">
            <v>89</v>
          </cell>
          <cell r="D134">
            <v>48</v>
          </cell>
          <cell r="E134">
            <v>0.1</v>
          </cell>
          <cell r="F134">
            <v>0.3</v>
          </cell>
          <cell r="G134">
            <v>39</v>
          </cell>
          <cell r="H134">
            <v>1</v>
          </cell>
          <cell r="I134">
            <v>0</v>
          </cell>
          <cell r="J134">
            <v>0</v>
          </cell>
          <cell r="K134">
            <v>0.2</v>
          </cell>
        </row>
        <row r="135">
          <cell r="C135">
            <v>1690</v>
          </cell>
          <cell r="D135">
            <v>183</v>
          </cell>
          <cell r="E135">
            <v>4</v>
          </cell>
          <cell r="F135">
            <v>8</v>
          </cell>
          <cell r="G135">
            <v>1071</v>
          </cell>
          <cell r="H135">
            <v>8</v>
          </cell>
          <cell r="I135">
            <v>8</v>
          </cell>
          <cell r="J135">
            <v>0</v>
          </cell>
          <cell r="K135">
            <v>408</v>
          </cell>
        </row>
        <row r="136">
          <cell r="C136">
            <v>3152</v>
          </cell>
          <cell r="D136">
            <v>499</v>
          </cell>
          <cell r="E136">
            <v>1</v>
          </cell>
          <cell r="F136">
            <v>10</v>
          </cell>
          <cell r="G136">
            <v>1989</v>
          </cell>
          <cell r="H136">
            <v>4</v>
          </cell>
          <cell r="I136">
            <v>237</v>
          </cell>
          <cell r="J136">
            <v>0</v>
          </cell>
          <cell r="K136">
            <v>413</v>
          </cell>
        </row>
        <row r="137">
          <cell r="C137">
            <v>293</v>
          </cell>
          <cell r="D137">
            <v>190</v>
          </cell>
          <cell r="E137">
            <v>0</v>
          </cell>
          <cell r="F137">
            <v>0.1</v>
          </cell>
          <cell r="G137">
            <v>90</v>
          </cell>
          <cell r="H137">
            <v>4</v>
          </cell>
          <cell r="I137">
            <v>0.1</v>
          </cell>
          <cell r="J137">
            <v>0</v>
          </cell>
          <cell r="K137">
            <v>0.1</v>
          </cell>
        </row>
        <row r="138">
          <cell r="C138">
            <v>827</v>
          </cell>
          <cell r="D138">
            <v>129</v>
          </cell>
          <cell r="E138">
            <v>0.2</v>
          </cell>
          <cell r="F138">
            <v>19</v>
          </cell>
          <cell r="G138">
            <v>333</v>
          </cell>
          <cell r="H138">
            <v>3</v>
          </cell>
          <cell r="I138">
            <v>235</v>
          </cell>
          <cell r="J138">
            <v>14</v>
          </cell>
          <cell r="K138">
            <v>94</v>
          </cell>
        </row>
        <row r="139">
          <cell r="C139">
            <v>1370</v>
          </cell>
          <cell r="D139">
            <v>448</v>
          </cell>
          <cell r="E139">
            <v>1.5</v>
          </cell>
          <cell r="F139">
            <v>6</v>
          </cell>
          <cell r="G139">
            <v>643</v>
          </cell>
          <cell r="H139">
            <v>3</v>
          </cell>
          <cell r="I139">
            <v>18</v>
          </cell>
          <cell r="J139">
            <v>221</v>
          </cell>
          <cell r="K139">
            <v>29</v>
          </cell>
        </row>
        <row r="140">
          <cell r="C140">
            <v>344</v>
          </cell>
          <cell r="D140">
            <v>143</v>
          </cell>
          <cell r="E140">
            <v>0</v>
          </cell>
          <cell r="F140">
            <v>2</v>
          </cell>
          <cell r="G140">
            <v>191</v>
          </cell>
          <cell r="H140">
            <v>7</v>
          </cell>
          <cell r="I140">
            <v>0</v>
          </cell>
          <cell r="J140">
            <v>0</v>
          </cell>
          <cell r="K140">
            <v>1</v>
          </cell>
        </row>
        <row r="141">
          <cell r="C141">
            <v>163</v>
          </cell>
          <cell r="D141">
            <v>80</v>
          </cell>
          <cell r="E141">
            <v>0.1</v>
          </cell>
          <cell r="F141">
            <v>5</v>
          </cell>
          <cell r="G141">
            <v>72</v>
          </cell>
          <cell r="H141">
            <v>3</v>
          </cell>
          <cell r="I141">
            <v>2</v>
          </cell>
          <cell r="J141">
            <v>0</v>
          </cell>
          <cell r="K141">
            <v>1</v>
          </cell>
        </row>
        <row r="142">
          <cell r="C142">
            <v>162</v>
          </cell>
          <cell r="D142">
            <v>112</v>
          </cell>
          <cell r="E142">
            <v>0.2</v>
          </cell>
          <cell r="F142">
            <v>1</v>
          </cell>
          <cell r="G142">
            <v>47</v>
          </cell>
          <cell r="I142">
            <v>0</v>
          </cell>
          <cell r="J142">
            <v>0</v>
          </cell>
          <cell r="K142">
            <v>2</v>
          </cell>
        </row>
        <row r="143">
          <cell r="C143">
            <v>71</v>
          </cell>
          <cell r="D143">
            <v>40</v>
          </cell>
          <cell r="E143">
            <v>0</v>
          </cell>
          <cell r="F143">
            <v>0.3</v>
          </cell>
          <cell r="G143">
            <v>27</v>
          </cell>
          <cell r="H143">
            <v>1</v>
          </cell>
          <cell r="I143">
            <v>0</v>
          </cell>
          <cell r="J143">
            <v>0.3</v>
          </cell>
          <cell r="K143">
            <v>2</v>
          </cell>
        </row>
        <row r="144">
          <cell r="C144">
            <v>317</v>
          </cell>
          <cell r="D144">
            <v>154</v>
          </cell>
          <cell r="E144">
            <v>1</v>
          </cell>
          <cell r="F144">
            <v>4</v>
          </cell>
          <cell r="G144">
            <v>145</v>
          </cell>
          <cell r="H144">
            <v>4</v>
          </cell>
          <cell r="I144">
            <v>1</v>
          </cell>
          <cell r="J144">
            <v>0.2</v>
          </cell>
          <cell r="K144">
            <v>8</v>
          </cell>
        </row>
        <row r="145">
          <cell r="C145">
            <v>34</v>
          </cell>
          <cell r="D145">
            <v>17</v>
          </cell>
          <cell r="E145">
            <v>0</v>
          </cell>
          <cell r="F145">
            <v>0.3</v>
          </cell>
          <cell r="G145">
            <v>15</v>
          </cell>
          <cell r="H145">
            <v>1</v>
          </cell>
          <cell r="I145">
            <v>0.2</v>
          </cell>
          <cell r="J145">
            <v>0</v>
          </cell>
          <cell r="K145">
            <v>0.5</v>
          </cell>
        </row>
        <row r="146">
          <cell r="C146">
            <v>57</v>
          </cell>
          <cell r="D146">
            <v>29</v>
          </cell>
          <cell r="E146">
            <v>0.1</v>
          </cell>
          <cell r="F146">
            <v>0.3</v>
          </cell>
          <cell r="G146">
            <v>26</v>
          </cell>
          <cell r="H146">
            <v>1</v>
          </cell>
          <cell r="I146">
            <v>0</v>
          </cell>
          <cell r="J146">
            <v>0</v>
          </cell>
          <cell r="K146">
            <v>0.3</v>
          </cell>
        </row>
        <row r="147">
          <cell r="D147">
            <v>2695</v>
          </cell>
          <cell r="E147">
            <v>30.1</v>
          </cell>
          <cell r="F147">
            <v>95.899999999999991</v>
          </cell>
          <cell r="G147">
            <v>5846</v>
          </cell>
          <cell r="H147">
            <v>54.7</v>
          </cell>
          <cell r="I147">
            <v>772.30000000000007</v>
          </cell>
          <cell r="J147">
            <v>236.5</v>
          </cell>
          <cell r="K147">
            <v>1380.6</v>
          </cell>
        </row>
        <row r="148">
          <cell r="D148">
            <v>2696</v>
          </cell>
          <cell r="E148">
            <v>28</v>
          </cell>
          <cell r="F148">
            <v>95</v>
          </cell>
          <cell r="G148">
            <v>5844</v>
          </cell>
          <cell r="H148">
            <v>55</v>
          </cell>
          <cell r="I148">
            <v>776</v>
          </cell>
          <cell r="J148">
            <v>237</v>
          </cell>
          <cell r="K148">
            <v>1382</v>
          </cell>
        </row>
      </sheetData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2"/>
      <sheetName val="RSE 7.2"/>
    </sheetNames>
    <sheetDataSet>
      <sheetData sheetId="0">
        <row r="105">
          <cell r="AU105">
            <v>23.06</v>
          </cell>
          <cell r="AV105">
            <v>22.71</v>
          </cell>
          <cell r="AW105">
            <v>16.98</v>
          </cell>
          <cell r="AX105">
            <v>5.48</v>
          </cell>
          <cell r="AY105">
            <v>19.309999999999999</v>
          </cell>
          <cell r="AZ105">
            <v>2.56</v>
          </cell>
          <cell r="BA105">
            <v>18.91</v>
          </cell>
        </row>
        <row r="106">
          <cell r="AU106">
            <v>27.91</v>
          </cell>
          <cell r="AV106">
            <v>19.989999999999998</v>
          </cell>
          <cell r="AW106">
            <v>10.87</v>
          </cell>
          <cell r="AX106">
            <v>5.35</v>
          </cell>
          <cell r="AY106">
            <v>21.12</v>
          </cell>
          <cell r="AZ106">
            <v>4.47</v>
          </cell>
          <cell r="BA106">
            <v>0</v>
          </cell>
        </row>
        <row r="107">
          <cell r="AU107">
            <v>19.239999999999998</v>
          </cell>
          <cell r="AV107">
            <v>24.22</v>
          </cell>
          <cell r="AW107">
            <v>14.13</v>
          </cell>
          <cell r="AX107">
            <v>6.55</v>
          </cell>
          <cell r="AY107">
            <v>18.579999999999998</v>
          </cell>
          <cell r="AZ107">
            <v>4.53</v>
          </cell>
          <cell r="BA107">
            <v>0</v>
          </cell>
        </row>
        <row r="108">
          <cell r="AU108">
            <v>22.47</v>
          </cell>
          <cell r="AV108">
            <v>23.75</v>
          </cell>
          <cell r="AW108">
            <v>15.16</v>
          </cell>
          <cell r="AX108">
            <v>6.76</v>
          </cell>
          <cell r="AY108">
            <v>18.16</v>
          </cell>
          <cell r="AZ108">
            <v>5.61</v>
          </cell>
          <cell r="BA108">
            <v>0</v>
          </cell>
        </row>
        <row r="109">
          <cell r="AU109">
            <v>28</v>
          </cell>
          <cell r="AW109">
            <v>0</v>
          </cell>
          <cell r="AX109">
            <v>7.28</v>
          </cell>
          <cell r="AY109">
            <v>21.17</v>
          </cell>
          <cell r="BA109">
            <v>0</v>
          </cell>
        </row>
        <row r="110">
          <cell r="AU110">
            <v>26.36</v>
          </cell>
          <cell r="AV110">
            <v>23.28</v>
          </cell>
          <cell r="AW110">
            <v>20.03</v>
          </cell>
          <cell r="AX110">
            <v>6.79</v>
          </cell>
          <cell r="AY110">
            <v>19.13</v>
          </cell>
          <cell r="BA110">
            <v>0</v>
          </cell>
        </row>
        <row r="111">
          <cell r="AU111">
            <v>24.35</v>
          </cell>
          <cell r="AV111">
            <v>21.81</v>
          </cell>
          <cell r="AW111">
            <v>18.12</v>
          </cell>
          <cell r="AX111">
            <v>6.23</v>
          </cell>
          <cell r="AY111">
            <v>21</v>
          </cell>
          <cell r="AZ111">
            <v>4.5999999999999996</v>
          </cell>
          <cell r="BA111">
            <v>0</v>
          </cell>
        </row>
        <row r="112">
          <cell r="AU112">
            <v>17.97</v>
          </cell>
          <cell r="AV112">
            <v>20.440000000000001</v>
          </cell>
          <cell r="AW112">
            <v>14.9</v>
          </cell>
          <cell r="AX112">
            <v>5.36</v>
          </cell>
          <cell r="AY112">
            <v>19.97</v>
          </cell>
          <cell r="AZ112">
            <v>3.99</v>
          </cell>
          <cell r="BA112">
            <v>0</v>
          </cell>
        </row>
        <row r="113">
          <cell r="AU113">
            <v>25.7</v>
          </cell>
          <cell r="AX113">
            <v>6.77</v>
          </cell>
          <cell r="AY113">
            <v>19.920000000000002</v>
          </cell>
          <cell r="BA113">
            <v>0</v>
          </cell>
        </row>
        <row r="114">
          <cell r="AU114">
            <v>17.489999999999998</v>
          </cell>
          <cell r="AV114">
            <v>16.34</v>
          </cell>
          <cell r="AW114">
            <v>13.2</v>
          </cell>
          <cell r="AX114">
            <v>5.0999999999999996</v>
          </cell>
          <cell r="AY114">
            <v>18.489999999999998</v>
          </cell>
          <cell r="AZ114">
            <v>4.4800000000000004</v>
          </cell>
        </row>
        <row r="115">
          <cell r="AU115">
            <v>18.05</v>
          </cell>
          <cell r="AV115">
            <v>21.41</v>
          </cell>
          <cell r="AW115">
            <v>13.9</v>
          </cell>
          <cell r="AX115">
            <v>4.82</v>
          </cell>
          <cell r="AY115">
            <v>12.04</v>
          </cell>
          <cell r="AZ115">
            <v>2.76</v>
          </cell>
          <cell r="BA115">
            <v>6.4</v>
          </cell>
        </row>
        <row r="116">
          <cell r="AU116">
            <v>21.48</v>
          </cell>
          <cell r="AW116">
            <v>0</v>
          </cell>
          <cell r="AX116">
            <v>6.79</v>
          </cell>
          <cell r="AY116">
            <v>22.05</v>
          </cell>
          <cell r="AZ116">
            <v>7.09</v>
          </cell>
          <cell r="BA116">
            <v>0</v>
          </cell>
        </row>
        <row r="117">
          <cell r="AU117">
            <v>20.59</v>
          </cell>
          <cell r="AV117">
            <v>18.899999999999999</v>
          </cell>
          <cell r="AW117">
            <v>11.01</v>
          </cell>
          <cell r="AX117">
            <v>5.36</v>
          </cell>
          <cell r="AY117">
            <v>22.63</v>
          </cell>
          <cell r="AZ117">
            <v>3.48</v>
          </cell>
          <cell r="BA117">
            <v>2.73</v>
          </cell>
        </row>
        <row r="118">
          <cell r="AU118">
            <v>16.149999999999999</v>
          </cell>
          <cell r="AV118">
            <v>22.24</v>
          </cell>
          <cell r="AW118">
            <v>15.64</v>
          </cell>
          <cell r="AX118">
            <v>5.1100000000000003</v>
          </cell>
          <cell r="AY118">
            <v>18.48</v>
          </cell>
          <cell r="AZ118">
            <v>4.82</v>
          </cell>
          <cell r="BA118">
            <v>9.91</v>
          </cell>
        </row>
        <row r="119">
          <cell r="AU119">
            <v>25.17</v>
          </cell>
          <cell r="AW119">
            <v>0</v>
          </cell>
          <cell r="AX119">
            <v>6.3</v>
          </cell>
          <cell r="AY119">
            <v>20.14</v>
          </cell>
          <cell r="AZ119">
            <v>9.44</v>
          </cell>
          <cell r="BA119">
            <v>0</v>
          </cell>
        </row>
        <row r="120">
          <cell r="AU120">
            <v>25.81</v>
          </cell>
          <cell r="AV120">
            <v>35.5</v>
          </cell>
          <cell r="AW120">
            <v>22.65</v>
          </cell>
          <cell r="AX120">
            <v>6.98</v>
          </cell>
          <cell r="AY120">
            <v>22.19</v>
          </cell>
          <cell r="AZ120">
            <v>3.5</v>
          </cell>
          <cell r="BA120">
            <v>0</v>
          </cell>
        </row>
        <row r="121">
          <cell r="AU121">
            <v>31.53</v>
          </cell>
          <cell r="AV121">
            <v>24.52</v>
          </cell>
          <cell r="AW121">
            <v>23.1</v>
          </cell>
          <cell r="AX121">
            <v>6.65</v>
          </cell>
          <cell r="AY121">
            <v>23.38</v>
          </cell>
          <cell r="BA121">
            <v>0</v>
          </cell>
        </row>
        <row r="122">
          <cell r="AU122">
            <v>23.74</v>
          </cell>
          <cell r="AW122">
            <v>0</v>
          </cell>
          <cell r="AX122">
            <v>6.18</v>
          </cell>
          <cell r="AY122">
            <v>14.34</v>
          </cell>
          <cell r="BA122">
            <v>20.16</v>
          </cell>
        </row>
        <row r="123">
          <cell r="AU123">
            <v>22</v>
          </cell>
          <cell r="AV123">
            <v>17.96</v>
          </cell>
          <cell r="AW123">
            <v>15.5</v>
          </cell>
          <cell r="AX123">
            <v>6.45</v>
          </cell>
          <cell r="AY123">
            <v>24.24</v>
          </cell>
          <cell r="AZ123">
            <v>5.44</v>
          </cell>
          <cell r="BA123">
            <v>19.96</v>
          </cell>
        </row>
        <row r="124">
          <cell r="AU124">
            <v>29.92</v>
          </cell>
          <cell r="AW124">
            <v>0</v>
          </cell>
          <cell r="AX124">
            <v>7.74</v>
          </cell>
          <cell r="AY124">
            <v>22.97</v>
          </cell>
          <cell r="AZ124">
            <v>3.8</v>
          </cell>
          <cell r="BA124">
            <v>0</v>
          </cell>
        </row>
        <row r="125">
          <cell r="AU125">
            <v>29.66</v>
          </cell>
          <cell r="AV125">
            <v>30.56</v>
          </cell>
          <cell r="AW125">
            <v>18.71</v>
          </cell>
          <cell r="AX125">
            <v>7.44</v>
          </cell>
          <cell r="AY125">
            <v>24.95</v>
          </cell>
          <cell r="BA125">
            <v>0</v>
          </cell>
        </row>
        <row r="126">
          <cell r="AU126">
            <v>20.7</v>
          </cell>
          <cell r="AV126">
            <v>21.43</v>
          </cell>
          <cell r="AW126">
            <v>14.34</v>
          </cell>
          <cell r="AX126">
            <v>5.24</v>
          </cell>
          <cell r="AY126">
            <v>12.2</v>
          </cell>
          <cell r="AZ126">
            <v>3.88</v>
          </cell>
          <cell r="BA126">
            <v>8.86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6"/>
      <sheetName val="RSE 7.6"/>
    </sheetNames>
    <sheetDataSet>
      <sheetData sheetId="0">
        <row r="100">
          <cell r="N100">
            <v>10066</v>
          </cell>
          <cell r="O100">
            <v>6.6046511627906979</v>
          </cell>
          <cell r="P100">
            <v>6.6046511627906979</v>
          </cell>
        </row>
        <row r="101">
          <cell r="N101">
            <v>1299</v>
          </cell>
          <cell r="O101">
            <v>6.5</v>
          </cell>
          <cell r="P101">
            <v>6.5</v>
          </cell>
        </row>
        <row r="102">
          <cell r="N102">
            <v>1230</v>
          </cell>
          <cell r="O102">
            <v>1.6666666666666667</v>
          </cell>
          <cell r="P102">
            <v>1.6666666666666667</v>
          </cell>
        </row>
        <row r="103">
          <cell r="N103">
            <v>341</v>
          </cell>
          <cell r="O103">
            <v>6.666666666666667</v>
          </cell>
          <cell r="P103">
            <v>6.666666666666667</v>
          </cell>
        </row>
        <row r="104">
          <cell r="N104">
            <v>94</v>
          </cell>
          <cell r="O104">
            <v>1</v>
          </cell>
          <cell r="P104">
            <v>1</v>
          </cell>
        </row>
        <row r="105">
          <cell r="N105">
            <v>40</v>
          </cell>
          <cell r="O105">
            <v>1</v>
          </cell>
          <cell r="P105">
            <v>1</v>
          </cell>
        </row>
        <row r="106">
          <cell r="N106">
            <v>2723</v>
          </cell>
          <cell r="O106">
            <v>5.0196078431372548</v>
          </cell>
          <cell r="P106">
            <v>5.0196078431372548</v>
          </cell>
        </row>
        <row r="107">
          <cell r="N107">
            <v>8097</v>
          </cell>
          <cell r="O107">
            <v>3.3161512027491411</v>
          </cell>
          <cell r="P107">
            <v>3.3161512027491411</v>
          </cell>
        </row>
        <row r="108">
          <cell r="N108">
            <v>1537</v>
          </cell>
          <cell r="O108">
            <v>3.3333333333333335</v>
          </cell>
          <cell r="P108">
            <v>3.3333333333333335</v>
          </cell>
        </row>
        <row r="109">
          <cell r="N109">
            <v>20358</v>
          </cell>
          <cell r="O109">
            <v>11.466139954853274</v>
          </cell>
          <cell r="P109">
            <v>11.466139954853274</v>
          </cell>
        </row>
        <row r="110">
          <cell r="N110">
            <v>58225</v>
          </cell>
          <cell r="O110">
            <v>5.7403100775193803</v>
          </cell>
          <cell r="P110">
            <v>5.7403100775193803</v>
          </cell>
        </row>
        <row r="111">
          <cell r="N111">
            <v>4936</v>
          </cell>
          <cell r="O111">
            <v>22</v>
          </cell>
          <cell r="P111">
            <v>22</v>
          </cell>
        </row>
        <row r="112">
          <cell r="N112">
            <v>6060</v>
          </cell>
          <cell r="O112">
            <v>1.9368421052631579</v>
          </cell>
          <cell r="P112">
            <v>1.9368421052631579</v>
          </cell>
        </row>
        <row r="113">
          <cell r="N113">
            <v>15067</v>
          </cell>
          <cell r="O113">
            <v>2.6788321167883211</v>
          </cell>
          <cell r="P113">
            <v>2.6788321167883211</v>
          </cell>
        </row>
        <row r="114">
          <cell r="N114">
            <v>5051</v>
          </cell>
          <cell r="O114">
            <v>37</v>
          </cell>
          <cell r="P114">
            <v>37</v>
          </cell>
        </row>
        <row r="115">
          <cell r="N115">
            <v>2831</v>
          </cell>
          <cell r="O115">
            <v>39</v>
          </cell>
          <cell r="P115">
            <v>39</v>
          </cell>
        </row>
        <row r="116">
          <cell r="N116">
            <v>3883</v>
          </cell>
          <cell r="O116">
            <v>20</v>
          </cell>
          <cell r="P116">
            <v>20</v>
          </cell>
        </row>
        <row r="117">
          <cell r="N117">
            <v>1182</v>
          </cell>
          <cell r="O117">
            <v>6.8</v>
          </cell>
          <cell r="P117">
            <v>6.8</v>
          </cell>
        </row>
        <row r="118">
          <cell r="N118">
            <v>4683</v>
          </cell>
          <cell r="O118">
            <v>10</v>
          </cell>
          <cell r="P118">
            <v>10</v>
          </cell>
        </row>
        <row r="119">
          <cell r="N119">
            <v>664</v>
          </cell>
          <cell r="O119">
            <v>20</v>
          </cell>
          <cell r="P119">
            <v>20</v>
          </cell>
        </row>
        <row r="120">
          <cell r="N120">
            <v>1086</v>
          </cell>
          <cell r="O120">
            <v>13</v>
          </cell>
          <cell r="P120">
            <v>13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3.2"/>
      <sheetName val="RSE 3.2"/>
    </sheetNames>
    <sheetDataSet>
      <sheetData sheetId="0">
        <row r="100">
          <cell r="C100">
            <v>1114</v>
          </cell>
          <cell r="D100">
            <v>247</v>
          </cell>
        </row>
        <row r="101">
          <cell r="C101">
            <v>95</v>
          </cell>
          <cell r="D101">
            <v>33</v>
          </cell>
        </row>
        <row r="102">
          <cell r="C102">
            <v>97</v>
          </cell>
          <cell r="D102">
            <v>43</v>
          </cell>
        </row>
        <row r="103">
          <cell r="C103">
            <v>27</v>
          </cell>
          <cell r="D103">
            <v>9</v>
          </cell>
        </row>
        <row r="104">
          <cell r="C104">
            <v>5</v>
          </cell>
          <cell r="D104">
            <v>3</v>
          </cell>
        </row>
        <row r="105">
          <cell r="C105">
            <v>3</v>
          </cell>
          <cell r="D105">
            <v>1</v>
          </cell>
        </row>
        <row r="106">
          <cell r="C106">
            <v>384</v>
          </cell>
          <cell r="D106">
            <v>73</v>
          </cell>
        </row>
        <row r="107">
          <cell r="C107">
            <v>2090</v>
          </cell>
          <cell r="D107">
            <v>191</v>
          </cell>
        </row>
        <row r="108">
          <cell r="C108">
            <v>89</v>
          </cell>
          <cell r="D108">
            <v>49</v>
          </cell>
        </row>
        <row r="109">
          <cell r="C109">
            <v>3513</v>
          </cell>
          <cell r="D109">
            <v>167</v>
          </cell>
        </row>
        <row r="110">
          <cell r="C110">
            <v>3527</v>
          </cell>
          <cell r="D110">
            <v>458</v>
          </cell>
        </row>
        <row r="111">
          <cell r="C111">
            <v>294</v>
          </cell>
          <cell r="D111">
            <v>190</v>
          </cell>
        </row>
        <row r="112">
          <cell r="C112">
            <v>827</v>
          </cell>
          <cell r="D112">
            <v>128</v>
          </cell>
        </row>
        <row r="113">
          <cell r="C113">
            <v>1684</v>
          </cell>
          <cell r="D113">
            <v>433</v>
          </cell>
        </row>
        <row r="114">
          <cell r="C114">
            <v>344</v>
          </cell>
          <cell r="D114">
            <v>143</v>
          </cell>
        </row>
        <row r="115">
          <cell r="C115">
            <v>164</v>
          </cell>
          <cell r="D115">
            <v>80</v>
          </cell>
        </row>
        <row r="116">
          <cell r="C116">
            <v>162</v>
          </cell>
          <cell r="D116">
            <v>112</v>
          </cell>
        </row>
        <row r="117">
          <cell r="C117">
            <v>71</v>
          </cell>
          <cell r="D117">
            <v>40</v>
          </cell>
        </row>
        <row r="118">
          <cell r="C118">
            <v>318</v>
          </cell>
          <cell r="D118">
            <v>154</v>
          </cell>
        </row>
        <row r="119">
          <cell r="C119">
            <v>37</v>
          </cell>
          <cell r="D119">
            <v>17</v>
          </cell>
        </row>
        <row r="120">
          <cell r="C120">
            <v>57</v>
          </cell>
          <cell r="D120">
            <v>29</v>
          </cell>
        </row>
        <row r="121">
          <cell r="D121">
            <v>2600</v>
          </cell>
        </row>
        <row r="122">
          <cell r="C122">
            <v>14903</v>
          </cell>
          <cell r="D122">
            <v>2600</v>
          </cell>
        </row>
      </sheetData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dual_Prices"/>
      <sheetName val="Predicted Residual Prices"/>
      <sheetName val="Resid-311"/>
      <sheetName val="Resid-312"/>
      <sheetName val="Resid-313"/>
      <sheetName val="Resid-314"/>
      <sheetName val="Resid-315"/>
      <sheetName val="Resid-316"/>
      <sheetName val="Resid-321"/>
      <sheetName val="Resid-322"/>
      <sheetName val="Resid-323"/>
      <sheetName val="Resid-324"/>
      <sheetName val="Resid-325"/>
      <sheetName val="Resid-326"/>
      <sheetName val="Resid-327"/>
      <sheetName val="Resid-331"/>
      <sheetName val="Resid-332"/>
      <sheetName val="Resid-333"/>
      <sheetName val="Resid-334"/>
      <sheetName val="Resid-335"/>
      <sheetName val="Resid-336"/>
      <sheetName val="Resid-337"/>
      <sheetName val="Resid-339"/>
    </sheetNames>
    <sheetDataSet>
      <sheetData sheetId="0"/>
      <sheetData sheetId="1">
        <row r="282">
          <cell r="AS282">
            <v>2.7</v>
          </cell>
        </row>
        <row r="283">
          <cell r="AS283">
            <v>2.68</v>
          </cell>
        </row>
        <row r="284">
          <cell r="AS284">
            <v>2.82</v>
          </cell>
        </row>
        <row r="285">
          <cell r="AS285">
            <v>2.8</v>
          </cell>
        </row>
        <row r="286">
          <cell r="AS286">
            <v>2.77</v>
          </cell>
        </row>
        <row r="287">
          <cell r="AS287">
            <v>2.6</v>
          </cell>
        </row>
        <row r="288">
          <cell r="AS288">
            <v>2.6</v>
          </cell>
        </row>
        <row r="289">
          <cell r="AS289">
            <v>2.37</v>
          </cell>
        </row>
        <row r="290">
          <cell r="AS290">
            <v>2.6</v>
          </cell>
        </row>
        <row r="291">
          <cell r="AS291">
            <v>2.2999999999999998</v>
          </cell>
        </row>
        <row r="292">
          <cell r="AS292">
            <v>2.67</v>
          </cell>
        </row>
        <row r="293">
          <cell r="AS293">
            <v>2.5499999999999998</v>
          </cell>
        </row>
        <row r="294">
          <cell r="AS294">
            <v>2.92</v>
          </cell>
        </row>
        <row r="295">
          <cell r="AS295">
            <v>2.2200000000000002</v>
          </cell>
        </row>
        <row r="296">
          <cell r="AS296">
            <v>2.85</v>
          </cell>
        </row>
        <row r="297">
          <cell r="AS297">
            <v>2.36</v>
          </cell>
        </row>
        <row r="298">
          <cell r="AS298">
            <v>2.5</v>
          </cell>
        </row>
        <row r="299">
          <cell r="AS299">
            <v>2.93</v>
          </cell>
        </row>
        <row r="300">
          <cell r="AS300">
            <v>2.79</v>
          </cell>
        </row>
        <row r="301">
          <cell r="AS301">
            <v>2.6</v>
          </cell>
        </row>
        <row r="302">
          <cell r="AS302">
            <v>2.6</v>
          </cell>
        </row>
        <row r="303">
          <cell r="AS303">
            <v>2.7223139392176079</v>
          </cell>
        </row>
        <row r="304">
          <cell r="AS304">
            <v>3.1853856144811714</v>
          </cell>
        </row>
        <row r="305">
          <cell r="AS305">
            <v>3.2944321535839758</v>
          </cell>
        </row>
        <row r="306">
          <cell r="AS306">
            <v>3.3875880844613668</v>
          </cell>
        </row>
        <row r="307">
          <cell r="AS307">
            <v>3.3712614524670461</v>
          </cell>
        </row>
        <row r="308">
          <cell r="AS308">
            <v>2.959083546258189</v>
          </cell>
        </row>
        <row r="309">
          <cell r="AS309">
            <v>2.4864384952823952</v>
          </cell>
        </row>
        <row r="310">
          <cell r="AS310">
            <v>2.7365959758158422</v>
          </cell>
        </row>
        <row r="311">
          <cell r="AS311">
            <v>2.7312029807760432</v>
          </cell>
        </row>
        <row r="312">
          <cell r="AS312">
            <v>2.0980595166742817</v>
          </cell>
        </row>
        <row r="313">
          <cell r="AS313">
            <v>2.8975466143016404</v>
          </cell>
        </row>
        <row r="314">
          <cell r="AS314">
            <v>2.9077933916297525</v>
          </cell>
        </row>
        <row r="315">
          <cell r="AS315">
            <v>3.2158836741842074</v>
          </cell>
        </row>
        <row r="316">
          <cell r="AS316">
            <v>2.3441900144850236</v>
          </cell>
        </row>
        <row r="317">
          <cell r="AS317">
            <v>2.9014769819032762</v>
          </cell>
        </row>
        <row r="318">
          <cell r="AS318">
            <v>2.5319882437507686</v>
          </cell>
        </row>
        <row r="319">
          <cell r="AS319">
            <v>2.5423856121373061</v>
          </cell>
        </row>
        <row r="320">
          <cell r="AS320">
            <v>1.9577842520751649</v>
          </cell>
        </row>
        <row r="321">
          <cell r="AS321">
            <v>2.7457003042584116</v>
          </cell>
        </row>
        <row r="322">
          <cell r="AS322">
            <v>2.297997302948791</v>
          </cell>
        </row>
        <row r="323">
          <cell r="AS323">
            <v>2.9924783903656049</v>
          </cell>
        </row>
        <row r="324">
          <cell r="AS324">
            <v>3.9600157746816373</v>
          </cell>
        </row>
        <row r="325">
          <cell r="AS325">
            <v>4.6260118377154829</v>
          </cell>
        </row>
        <row r="326">
          <cell r="AS326">
            <v>5.0637126220418534</v>
          </cell>
        </row>
        <row r="327">
          <cell r="AS327">
            <v>5.2358226939347361</v>
          </cell>
        </row>
        <row r="328">
          <cell r="AS328">
            <v>5.4402146953673407</v>
          </cell>
        </row>
        <row r="329">
          <cell r="AS329">
            <v>4.7128152593294912</v>
          </cell>
        </row>
        <row r="330">
          <cell r="AS330">
            <v>3.6560036413319796</v>
          </cell>
        </row>
        <row r="331">
          <cell r="AS331">
            <v>4.1628723713014901</v>
          </cell>
        </row>
        <row r="332">
          <cell r="AS332">
            <v>4.1558486732601576</v>
          </cell>
        </row>
        <row r="333">
          <cell r="AS333">
            <v>3.0947699828772919</v>
          </cell>
        </row>
        <row r="334">
          <cell r="AS334">
            <v>4.1389968653069431</v>
          </cell>
        </row>
        <row r="335">
          <cell r="AS335">
            <v>4.2815805333035408</v>
          </cell>
        </row>
        <row r="336">
          <cell r="AS336">
            <v>4.4637121133156779</v>
          </cell>
        </row>
        <row r="337">
          <cell r="AS337">
            <v>3.5740478354470708</v>
          </cell>
        </row>
        <row r="338">
          <cell r="AS338">
            <v>4.0905012292275593</v>
          </cell>
        </row>
        <row r="339">
          <cell r="AS339">
            <v>3.753837348204403</v>
          </cell>
        </row>
        <row r="340">
          <cell r="AS340">
            <v>4.1650687028504771</v>
          </cell>
        </row>
        <row r="341">
          <cell r="AS341">
            <v>2.7759555456327147</v>
          </cell>
        </row>
        <row r="342">
          <cell r="AS342">
            <v>3.8237887655484846</v>
          </cell>
        </row>
        <row r="343">
          <cell r="AS343">
            <v>3.1741510393830414</v>
          </cell>
        </row>
        <row r="344">
          <cell r="AS344">
            <v>4.8096166422238191</v>
          </cell>
        </row>
        <row r="345">
          <cell r="AS345">
            <v>4.3205800364418412</v>
          </cell>
        </row>
        <row r="346">
          <cell r="AS346">
            <v>4.307699301368201</v>
          </cell>
        </row>
        <row r="347">
          <cell r="AS347">
            <v>4.6773787014277444</v>
          </cell>
        </row>
        <row r="348">
          <cell r="AS348">
            <v>4.7131165912295696</v>
          </cell>
        </row>
        <row r="349">
          <cell r="AS349">
            <v>4.7488301672693245</v>
          </cell>
        </row>
        <row r="350">
          <cell r="AS350">
            <v>3.843584823807324</v>
          </cell>
        </row>
        <row r="351">
          <cell r="AS351">
            <v>4.1305381588899799</v>
          </cell>
        </row>
        <row r="352">
          <cell r="AS352">
            <v>3.5961718307108996</v>
          </cell>
        </row>
        <row r="353">
          <cell r="AS353">
            <v>4.8850410935415525</v>
          </cell>
        </row>
        <row r="354">
          <cell r="AS354">
            <v>3.4469941392851755</v>
          </cell>
        </row>
        <row r="355">
          <cell r="AS355">
            <v>3.6282719295419441</v>
          </cell>
        </row>
        <row r="356">
          <cell r="AS356">
            <v>3.7445537414082732</v>
          </cell>
        </row>
        <row r="357">
          <cell r="AS357">
            <v>3.9211857192894515</v>
          </cell>
        </row>
        <row r="358">
          <cell r="AS358">
            <v>4.1497367768248283</v>
          </cell>
        </row>
        <row r="359">
          <cell r="AS359">
            <v>4.2783508877516088</v>
          </cell>
        </row>
        <row r="360">
          <cell r="AS360">
            <v>4.0516861884831883</v>
          </cell>
        </row>
        <row r="361">
          <cell r="AS361">
            <v>4.9461075811857249</v>
          </cell>
        </row>
        <row r="362">
          <cell r="AS362">
            <v>5.1679348030739733</v>
          </cell>
        </row>
        <row r="363">
          <cell r="AS363">
            <v>4.2983955857943821</v>
          </cell>
        </row>
        <row r="364">
          <cell r="AS364">
            <v>4.1871857351361434</v>
          </cell>
        </row>
        <row r="365">
          <cell r="AS365">
            <v>3.9473487325592371</v>
          </cell>
        </row>
        <row r="366">
          <cell r="AS366">
            <v>4.29</v>
          </cell>
        </row>
        <row r="367">
          <cell r="AS367">
            <v>4.59</v>
          </cell>
        </row>
        <row r="368">
          <cell r="AS368">
            <v>4.8899999999999997</v>
          </cell>
        </row>
        <row r="369">
          <cell r="AS369">
            <v>5</v>
          </cell>
        </row>
        <row r="370">
          <cell r="AS370">
            <v>5</v>
          </cell>
        </row>
        <row r="371">
          <cell r="AS371">
            <v>3.87</v>
          </cell>
        </row>
        <row r="372">
          <cell r="AS372">
            <v>4</v>
          </cell>
        </row>
        <row r="373">
          <cell r="AS373">
            <v>3.71</v>
          </cell>
        </row>
        <row r="374">
          <cell r="AS374">
            <v>5</v>
          </cell>
        </row>
        <row r="375">
          <cell r="AS375">
            <v>3.23</v>
          </cell>
        </row>
        <row r="376">
          <cell r="AS376">
            <v>3.64</v>
          </cell>
        </row>
        <row r="377">
          <cell r="AS377">
            <v>3.86</v>
          </cell>
        </row>
        <row r="378">
          <cell r="AS378">
            <v>3.99</v>
          </cell>
        </row>
        <row r="379">
          <cell r="AS379">
            <v>4.25</v>
          </cell>
        </row>
        <row r="380">
          <cell r="AS380">
            <v>4.25</v>
          </cell>
        </row>
        <row r="381">
          <cell r="AS381">
            <v>4.1500000000000004</v>
          </cell>
        </row>
        <row r="382">
          <cell r="AS382">
            <v>4.97</v>
          </cell>
        </row>
        <row r="383">
          <cell r="AS383">
            <v>4.5999999999999996</v>
          </cell>
        </row>
        <row r="384">
          <cell r="AS384">
            <v>4.24</v>
          </cell>
        </row>
        <row r="385">
          <cell r="AS385">
            <v>4</v>
          </cell>
        </row>
        <row r="386">
          <cell r="AS386">
            <v>4</v>
          </cell>
        </row>
        <row r="387">
          <cell r="AS387">
            <v>4.825580808235582</v>
          </cell>
        </row>
        <row r="388">
          <cell r="AS388">
            <v>5.3941214549163181</v>
          </cell>
        </row>
        <row r="389">
          <cell r="AS389">
            <v>5.5309630573083615</v>
          </cell>
        </row>
        <row r="390">
          <cell r="AS390">
            <v>5.6581456665690366</v>
          </cell>
        </row>
        <row r="391">
          <cell r="AS391">
            <v>5.6225300819208872</v>
          </cell>
        </row>
        <row r="392">
          <cell r="AS392">
            <v>5.1625949254335239</v>
          </cell>
        </row>
        <row r="393">
          <cell r="AS393">
            <v>4.6387540175589246</v>
          </cell>
        </row>
        <row r="394">
          <cell r="AS394">
            <v>4.5552155241393688</v>
          </cell>
        </row>
        <row r="395">
          <cell r="AS395">
            <v>5.4270159349132463</v>
          </cell>
        </row>
        <row r="396">
          <cell r="AS396">
            <v>3.2573471147259023</v>
          </cell>
        </row>
        <row r="397">
          <cell r="AS397">
            <v>4.4280085657170734</v>
          </cell>
        </row>
        <row r="398">
          <cell r="AS398">
            <v>4.8877304329052702</v>
          </cell>
        </row>
        <row r="399">
          <cell r="AS399">
            <v>4.9287480335526501</v>
          </cell>
        </row>
        <row r="400">
          <cell r="AS400">
            <v>4.3222980924556351</v>
          </cell>
        </row>
        <row r="401">
          <cell r="AS401">
            <v>4.8440738086867903</v>
          </cell>
        </row>
        <row r="402">
          <cell r="AS402">
            <v>4.7955463812983137</v>
          </cell>
        </row>
        <row r="403">
          <cell r="AS403">
            <v>5.4766196148652035</v>
          </cell>
        </row>
        <row r="404">
          <cell r="AS404">
            <v>4.7506617098591386</v>
          </cell>
        </row>
        <row r="405">
          <cell r="AS405">
            <v>4.681260745502847</v>
          </cell>
        </row>
        <row r="406">
          <cell r="AS406">
            <v>4.4919525850899413</v>
          </cell>
        </row>
        <row r="407">
          <cell r="AS407">
            <v>4.7549323632753548</v>
          </cell>
        </row>
        <row r="408">
          <cell r="AS408">
            <v>5.1942383977647806</v>
          </cell>
        </row>
        <row r="409">
          <cell r="AS409">
            <v>5.5890494857824251</v>
          </cell>
        </row>
        <row r="410">
          <cell r="AS410">
            <v>5.4525179828176444</v>
          </cell>
        </row>
        <row r="411">
          <cell r="AS411">
            <v>5.4951362572128231</v>
          </cell>
        </row>
        <row r="412">
          <cell r="AS412">
            <v>5.2890407407155298</v>
          </cell>
        </row>
        <row r="413">
          <cell r="AS413">
            <v>5.5467493018419933</v>
          </cell>
        </row>
        <row r="414">
          <cell r="AS414">
            <v>5.2037271596585555</v>
          </cell>
        </row>
        <row r="415">
          <cell r="AS415">
            <v>4.7101804996864791</v>
          </cell>
        </row>
        <row r="416">
          <cell r="AS416">
            <v>5.781948602379309</v>
          </cell>
        </row>
        <row r="417">
          <cell r="AS417">
            <v>3.217893549819812</v>
          </cell>
        </row>
        <row r="418">
          <cell r="AS418">
            <v>4.6241974234646825</v>
          </cell>
        </row>
        <row r="419">
          <cell r="AS419">
            <v>5.2536667717451584</v>
          </cell>
        </row>
        <row r="420">
          <cell r="AS420">
            <v>5.2474219541579998</v>
          </cell>
        </row>
        <row r="421">
          <cell r="AS421">
            <v>4.3065105034009745</v>
          </cell>
        </row>
        <row r="422">
          <cell r="AS422">
            <v>5.2019901668652091</v>
          </cell>
        </row>
        <row r="423">
          <cell r="AS423">
            <v>5.2231392293483543</v>
          </cell>
        </row>
        <row r="424">
          <cell r="AS424">
            <v>5.8987371361834544</v>
          </cell>
        </row>
        <row r="425">
          <cell r="AS425">
            <v>5.926464387018676</v>
          </cell>
        </row>
        <row r="426">
          <cell r="AS426">
            <v>5.059970913019419</v>
          </cell>
        </row>
        <row r="427">
          <cell r="AS427">
            <v>5.2598960540877844</v>
          </cell>
        </row>
        <row r="428">
          <cell r="AS428">
            <v>4.5818752754867162</v>
          </cell>
        </row>
        <row r="429">
          <cell r="AS429">
            <v>6.5123806150630204</v>
          </cell>
        </row>
        <row r="430">
          <cell r="AS430">
            <v>7.4313738183054392</v>
          </cell>
        </row>
        <row r="431">
          <cell r="AS431">
            <v>7.4183943861088997</v>
          </cell>
        </row>
        <row r="432">
          <cell r="AS432">
            <v>7.5527152221896792</v>
          </cell>
        </row>
        <row r="433">
          <cell r="AS433">
            <v>7.5408433606402969</v>
          </cell>
        </row>
        <row r="434">
          <cell r="AS434">
            <v>8.3875316418111741</v>
          </cell>
        </row>
        <row r="435">
          <cell r="AS435">
            <v>6.575742938211989</v>
          </cell>
        </row>
        <row r="436">
          <cell r="AS436">
            <v>6.7317385080464573</v>
          </cell>
        </row>
        <row r="437">
          <cell r="AS437">
            <v>6.9460438869305641</v>
          </cell>
        </row>
        <row r="438">
          <cell r="AS438">
            <v>3.928302243739314</v>
          </cell>
        </row>
        <row r="439">
          <cell r="AS439">
            <v>6.4755021894655602</v>
          </cell>
        </row>
        <row r="440">
          <cell r="AS440">
            <v>7.4092434776350897</v>
          </cell>
        </row>
        <row r="441">
          <cell r="AS441">
            <v>7.2429160111842172</v>
          </cell>
        </row>
        <row r="442">
          <cell r="AS442">
            <v>5.0328876438421366</v>
          </cell>
        </row>
        <row r="443">
          <cell r="AS443">
            <v>6.6009950608847374</v>
          </cell>
        </row>
        <row r="444">
          <cell r="AS444">
            <v>6.6115695777116112</v>
          </cell>
        </row>
        <row r="445">
          <cell r="AS445">
            <v>7.3026670968156733</v>
          </cell>
        </row>
        <row r="446">
          <cell r="AS446">
            <v>6.0771260968778149</v>
          </cell>
        </row>
        <row r="447">
          <cell r="AS447">
            <v>6.1408342414374006</v>
          </cell>
        </row>
        <row r="448">
          <cell r="AS448">
            <v>6.1133655767295254</v>
          </cell>
        </row>
        <row r="449">
          <cell r="AS449">
            <v>6.9183107877584513</v>
          </cell>
        </row>
        <row r="450">
          <cell r="AS450">
            <v>8</v>
          </cell>
        </row>
        <row r="451">
          <cell r="AS451">
            <v>8.4499999999999993</v>
          </cell>
        </row>
        <row r="452">
          <cell r="AS452">
            <v>8.49</v>
          </cell>
        </row>
        <row r="453">
          <cell r="AS453">
            <v>8.5</v>
          </cell>
        </row>
        <row r="454">
          <cell r="AS454">
            <v>8.5</v>
          </cell>
        </row>
        <row r="455">
          <cell r="AS455">
            <v>10</v>
          </cell>
        </row>
        <row r="456">
          <cell r="AS456">
            <v>8.33</v>
          </cell>
        </row>
        <row r="457">
          <cell r="AS457">
            <v>7.82</v>
          </cell>
        </row>
        <row r="458">
          <cell r="AS458">
            <v>8.5</v>
          </cell>
        </row>
        <row r="459">
          <cell r="AS459">
            <v>5</v>
          </cell>
        </row>
        <row r="460">
          <cell r="AS460">
            <v>7.57</v>
          </cell>
        </row>
        <row r="461">
          <cell r="AS461">
            <v>8.67</v>
          </cell>
        </row>
        <row r="462">
          <cell r="AS462">
            <v>8.4</v>
          </cell>
        </row>
        <row r="463">
          <cell r="AS463">
            <v>6.04</v>
          </cell>
        </row>
        <row r="464">
          <cell r="AS464">
            <v>8</v>
          </cell>
        </row>
        <row r="465">
          <cell r="AS465">
            <v>8</v>
          </cell>
        </row>
        <row r="466">
          <cell r="AS466">
            <v>9.19</v>
          </cell>
        </row>
        <row r="467">
          <cell r="AS467">
            <v>9</v>
          </cell>
        </row>
        <row r="468">
          <cell r="AS468">
            <v>7.56</v>
          </cell>
        </row>
        <row r="469">
          <cell r="AS469">
            <v>8</v>
          </cell>
        </row>
        <row r="470">
          <cell r="AS470">
            <v>8</v>
          </cell>
        </row>
        <row r="471">
          <cell r="AS471">
            <v>9.2047016766019016</v>
          </cell>
        </row>
        <row r="472">
          <cell r="AS472">
            <v>9.2876993013681997</v>
          </cell>
        </row>
        <row r="473">
          <cell r="AS473">
            <v>10.12972283985685</v>
          </cell>
        </row>
        <row r="474">
          <cell r="AS474">
            <v>11.048116591229569</v>
          </cell>
        </row>
        <row r="475">
          <cell r="AS475">
            <v>11.431330167269325</v>
          </cell>
        </row>
        <row r="476">
          <cell r="AS476">
            <v>11.803584823807322</v>
          </cell>
        </row>
        <row r="477">
          <cell r="AS477">
            <v>9.5717204051855074</v>
          </cell>
        </row>
        <row r="478">
          <cell r="AS478">
            <v>8.9511718307108996</v>
          </cell>
        </row>
        <row r="479">
          <cell r="AS479">
            <v>9.2985430938901299</v>
          </cell>
        </row>
        <row r="480">
          <cell r="AS480">
            <v>6.6392052215650459</v>
          </cell>
        </row>
        <row r="481">
          <cell r="AS481">
            <v>8.5593026596017161</v>
          </cell>
        </row>
        <row r="482">
          <cell r="AS482">
            <v>9.9145537414082732</v>
          </cell>
        </row>
        <row r="483">
          <cell r="AS483">
            <v>9.3986857192894515</v>
          </cell>
        </row>
        <row r="484">
          <cell r="AS484">
            <v>7.5162006289877024</v>
          </cell>
        </row>
        <row r="485">
          <cell r="AS485">
            <v>7.957540862081939</v>
          </cell>
        </row>
        <row r="486">
          <cell r="AS486">
            <v>8.2642094397402772</v>
          </cell>
        </row>
        <row r="487">
          <cell r="AS487">
            <v>11.045874323823556</v>
          </cell>
        </row>
        <row r="488">
          <cell r="AS488">
            <v>10.848509336260928</v>
          </cell>
        </row>
        <row r="489">
          <cell r="AS489">
            <v>8.3840794082580565</v>
          </cell>
        </row>
        <row r="490">
          <cell r="AS490">
            <v>8.8223421839271019</v>
          </cell>
        </row>
        <row r="491">
          <cell r="AS491">
            <v>11.267348732559237</v>
          </cell>
        </row>
        <row r="492">
          <cell r="AS492">
            <v>12.137383701043955</v>
          </cell>
        </row>
        <row r="493">
          <cell r="AS493">
            <v>12.450629841012555</v>
          </cell>
        </row>
        <row r="494">
          <cell r="AS494">
            <v>14.731910457778451</v>
          </cell>
        </row>
        <row r="495">
          <cell r="AS495">
            <v>16.730501148314666</v>
          </cell>
        </row>
        <row r="496">
          <cell r="AS496">
            <v>18.011692217175437</v>
          </cell>
        </row>
        <row r="497">
          <cell r="AS497">
            <v>17.074597658682109</v>
          </cell>
        </row>
        <row r="498">
          <cell r="AS498">
            <v>12.425579670654468</v>
          </cell>
        </row>
        <row r="499">
          <cell r="AS499">
            <v>12.716961952527459</v>
          </cell>
        </row>
        <row r="500">
          <cell r="AS500">
            <v>11.71744242286416</v>
          </cell>
        </row>
        <row r="501">
          <cell r="AS501">
            <v>9.7800168807904804</v>
          </cell>
        </row>
        <row r="502">
          <cell r="AS502">
            <v>11.927324806611837</v>
          </cell>
        </row>
        <row r="503">
          <cell r="AS503">
            <v>13.685110292559054</v>
          </cell>
        </row>
        <row r="504">
          <cell r="AS504">
            <v>12.764133193631274</v>
          </cell>
        </row>
        <row r="505">
          <cell r="AS505">
            <v>10.432332289592701</v>
          </cell>
        </row>
        <row r="506">
          <cell r="AS506">
            <v>9.6979042919213612</v>
          </cell>
        </row>
        <row r="507">
          <cell r="AS507">
            <v>10.173814771165478</v>
          </cell>
        </row>
        <row r="508">
          <cell r="AS508">
            <v>14.874073484746575</v>
          </cell>
        </row>
        <row r="509">
          <cell r="AS509">
            <v>12.610387041482383</v>
          </cell>
        </row>
        <row r="510">
          <cell r="AS510">
            <v>10.614227297154724</v>
          </cell>
        </row>
        <row r="511">
          <cell r="AS511">
            <v>10.413113165237512</v>
          </cell>
        </row>
        <row r="512">
          <cell r="AS512">
            <v>18.076741707912024</v>
          </cell>
        </row>
        <row r="513">
          <cell r="AS513">
            <v>11.115134580463288</v>
          </cell>
        </row>
        <row r="514">
          <cell r="AS514">
            <v>8.8866921488912105</v>
          </cell>
        </row>
        <row r="515">
          <cell r="AS515">
            <v>10.970993565100763</v>
          </cell>
        </row>
        <row r="516">
          <cell r="AS516">
            <v>13.345483176873067</v>
          </cell>
        </row>
        <row r="517">
          <cell r="AS517">
            <v>14.035445425800212</v>
          </cell>
        </row>
        <row r="518">
          <cell r="AS518">
            <v>12.314379642350657</v>
          </cell>
        </row>
        <row r="519">
          <cell r="AS519">
            <v>11.889037142631551</v>
          </cell>
        </row>
        <row r="520">
          <cell r="AS520">
            <v>8.8608305236914813</v>
          </cell>
        </row>
        <row r="521">
          <cell r="AS521">
            <v>10.73623424692307</v>
          </cell>
        </row>
        <row r="522">
          <cell r="AS522">
            <v>9.7699016415429565</v>
          </cell>
        </row>
        <row r="523">
          <cell r="AS523">
            <v>8.5284050903972268</v>
          </cell>
        </row>
        <row r="524">
          <cell r="AS524">
            <v>10.147968678255493</v>
          </cell>
        </row>
        <row r="525">
          <cell r="AS525">
            <v>9.2825651109212188</v>
          </cell>
        </row>
        <row r="526">
          <cell r="AS526">
            <v>10.239170649396748</v>
          </cell>
        </row>
        <row r="527">
          <cell r="AS527">
            <v>7.124236307409225</v>
          </cell>
        </row>
        <row r="528">
          <cell r="AS528">
            <v>8.1019305156798893</v>
          </cell>
        </row>
        <row r="529">
          <cell r="AS529">
            <v>14.575437251260311</v>
          </cell>
        </row>
        <row r="530">
          <cell r="AS530">
            <v>18.285126748653248</v>
          </cell>
        </row>
        <row r="531">
          <cell r="AS531">
            <v>9.8939222841463899</v>
          </cell>
        </row>
        <row r="532">
          <cell r="AS532">
            <v>11.524601834567338</v>
          </cell>
        </row>
        <row r="533">
          <cell r="AS533">
            <v>14.639039899684946</v>
          </cell>
        </row>
        <row r="534">
          <cell r="AS534">
            <v>11.16</v>
          </cell>
        </row>
        <row r="535">
          <cell r="AS535">
            <v>11.02</v>
          </cell>
        </row>
        <row r="536">
          <cell r="AS536">
            <v>13.84</v>
          </cell>
        </row>
        <row r="537">
          <cell r="AS537">
            <v>17.64</v>
          </cell>
        </row>
        <row r="538">
          <cell r="AS538">
            <v>19</v>
          </cell>
        </row>
        <row r="539">
          <cell r="AS539">
            <v>16.05</v>
          </cell>
        </row>
        <row r="540">
          <cell r="AS540">
            <v>11.44</v>
          </cell>
        </row>
        <row r="541">
          <cell r="AS541">
            <v>11.46</v>
          </cell>
        </row>
        <row r="542">
          <cell r="AS542">
            <v>9.82</v>
          </cell>
        </row>
        <row r="543">
          <cell r="AS543">
            <v>9.82</v>
          </cell>
        </row>
        <row r="544">
          <cell r="AS544">
            <v>10.61</v>
          </cell>
        </row>
        <row r="545">
          <cell r="AS545">
            <v>12.8</v>
          </cell>
        </row>
        <row r="546">
          <cell r="AS546">
            <v>11.6</v>
          </cell>
        </row>
        <row r="547">
          <cell r="AS547">
            <v>10.37</v>
          </cell>
        </row>
        <row r="548">
          <cell r="AS548">
            <v>6.36</v>
          </cell>
        </row>
        <row r="549">
          <cell r="AS549">
            <v>7.7</v>
          </cell>
        </row>
        <row r="550">
          <cell r="AS550">
            <v>14.32</v>
          </cell>
        </row>
        <row r="551">
          <cell r="AS551">
            <v>12.64</v>
          </cell>
        </row>
        <row r="552">
          <cell r="AS552">
            <v>9.23</v>
          </cell>
        </row>
        <row r="553">
          <cell r="AS553">
            <v>9.23</v>
          </cell>
        </row>
        <row r="554">
          <cell r="AS554">
            <v>19.88</v>
          </cell>
        </row>
        <row r="555">
          <cell r="AS555">
            <v>15.21672876685108</v>
          </cell>
        </row>
        <row r="556">
          <cell r="AS556">
            <v>14.077803207410046</v>
          </cell>
        </row>
        <row r="557">
          <cell r="AS557">
            <v>17.915924747993479</v>
          </cell>
        </row>
        <row r="558">
          <cell r="AS558">
            <v>21.192277375211745</v>
          </cell>
        </row>
        <row r="559">
          <cell r="AS559">
            <v>24.107521223842149</v>
          </cell>
        </row>
        <row r="560">
          <cell r="AS560">
            <v>21.660773634658995</v>
          </cell>
        </row>
        <row r="561">
          <cell r="AS561">
            <v>15.623760536150616</v>
          </cell>
        </row>
        <row r="562">
          <cell r="AS562">
            <v>15.827153315558551</v>
          </cell>
        </row>
        <row r="563">
          <cell r="AS563">
            <v>14.583761097874389</v>
          </cell>
        </row>
        <row r="564">
          <cell r="AS564">
            <v>14.39843760428648</v>
          </cell>
        </row>
        <row r="565">
          <cell r="AS565">
            <v>14.632114983638465</v>
          </cell>
        </row>
        <row r="566">
          <cell r="AS566">
            <v>15.962566470902619</v>
          </cell>
        </row>
        <row r="567">
          <cell r="AS567">
            <v>14.60308783444702</v>
          </cell>
        </row>
        <row r="568">
          <cell r="AS568">
            <v>13.909338715915039</v>
          </cell>
        </row>
        <row r="569">
          <cell r="AS569">
            <v>11.88685758303431</v>
          </cell>
        </row>
        <row r="570">
          <cell r="AS570">
            <v>11.940140360198802</v>
          </cell>
        </row>
        <row r="571">
          <cell r="AS571">
            <v>19.596467065998439</v>
          </cell>
        </row>
        <row r="572">
          <cell r="AS572">
            <v>16.922118987554239</v>
          </cell>
        </row>
        <row r="573">
          <cell r="AS573">
            <v>12.991839107438601</v>
          </cell>
        </row>
        <row r="574">
          <cell r="AS574">
            <v>12.323918149152091</v>
          </cell>
        </row>
        <row r="575">
          <cell r="AS575">
            <v>24.302601330582192</v>
          </cell>
        </row>
        <row r="576">
          <cell r="AS576">
            <v>17.946611253148074</v>
          </cell>
        </row>
        <row r="577">
          <cell r="AS577">
            <v>14.261243075991636</v>
          </cell>
        </row>
        <row r="578">
          <cell r="AS578">
            <v>18.490407363951654</v>
          </cell>
        </row>
        <row r="579">
          <cell r="AS579">
            <v>20.870090659790268</v>
          </cell>
        </row>
        <row r="580">
          <cell r="AS580">
            <v>24.704246578004131</v>
          </cell>
        </row>
        <row r="581">
          <cell r="AS581">
            <v>22.985243270396953</v>
          </cell>
        </row>
        <row r="582">
          <cell r="AS582">
            <v>18.801669044732016</v>
          </cell>
        </row>
        <row r="583">
          <cell r="AS583">
            <v>16.93749066240715</v>
          </cell>
        </row>
        <row r="584">
          <cell r="AS584">
            <v>18.342414710630695</v>
          </cell>
        </row>
        <row r="585">
          <cell r="AS585">
            <v>18.045427912086424</v>
          </cell>
        </row>
        <row r="586">
          <cell r="AS586">
            <v>15.80261832365478</v>
          </cell>
        </row>
        <row r="587">
          <cell r="AS587">
            <v>16.002583343046048</v>
          </cell>
        </row>
        <row r="588">
          <cell r="AS588">
            <v>14.680473868368047</v>
          </cell>
        </row>
        <row r="589">
          <cell r="AS589">
            <v>16.487451010259424</v>
          </cell>
        </row>
        <row r="590">
          <cell r="AS590">
            <v>15.863723950490872</v>
          </cell>
        </row>
        <row r="591">
          <cell r="AS591">
            <v>14.749768697074195</v>
          </cell>
        </row>
        <row r="592">
          <cell r="AS592">
            <v>23.658671158758366</v>
          </cell>
        </row>
        <row r="593">
          <cell r="AS593">
            <v>24.149713430450468</v>
          </cell>
        </row>
        <row r="594">
          <cell r="AS594">
            <v>15.881493126912254</v>
          </cell>
        </row>
        <row r="595">
          <cell r="AS595">
            <v>15.819429819688576</v>
          </cell>
        </row>
        <row r="596">
          <cell r="AS596">
            <v>24.346660885017371</v>
          </cell>
        </row>
        <row r="597">
          <cell r="AS597">
            <v>17.98460129000819</v>
          </cell>
        </row>
        <row r="598">
          <cell r="AS598">
            <v>12.702904563133892</v>
          </cell>
        </row>
        <row r="599">
          <cell r="AS599">
            <v>16.56834343499316</v>
          </cell>
        </row>
        <row r="600">
          <cell r="AS600">
            <v>18.200094361089555</v>
          </cell>
        </row>
        <row r="601">
          <cell r="AS601">
            <v>22.567564285762906</v>
          </cell>
        </row>
        <row r="602">
          <cell r="AS602">
            <v>21.712340632161869</v>
          </cell>
        </row>
        <row r="603">
          <cell r="AS603">
            <v>19.067410755533665</v>
          </cell>
        </row>
        <row r="604">
          <cell r="AS604">
            <v>16.074294750604647</v>
          </cell>
        </row>
        <row r="605">
          <cell r="AS605">
            <v>19.163917613166877</v>
          </cell>
        </row>
        <row r="606">
          <cell r="AS606">
            <v>18.970520809438892</v>
          </cell>
        </row>
        <row r="607">
          <cell r="AS607">
            <v>15.037796742719097</v>
          </cell>
        </row>
        <row r="608">
          <cell r="AS608">
            <v>14.150428368777193</v>
          </cell>
        </row>
        <row r="609">
          <cell r="AS609">
            <v>12.984971945552427</v>
          </cell>
        </row>
        <row r="610">
          <cell r="AS610">
            <v>16.572959605973683</v>
          </cell>
        </row>
        <row r="611">
          <cell r="AS611">
            <v>17.375904560621969</v>
          </cell>
        </row>
        <row r="612">
          <cell r="AS612">
            <v>15.284698476886607</v>
          </cell>
        </row>
        <row r="613">
          <cell r="AS613">
            <v>24.129888378548596</v>
          </cell>
        </row>
        <row r="614">
          <cell r="AS614">
            <v>26.540375140309607</v>
          </cell>
        </row>
        <row r="615">
          <cell r="AS615">
            <v>16.222427348513872</v>
          </cell>
        </row>
        <row r="616">
          <cell r="AS616">
            <v>16.405325094018515</v>
          </cell>
        </row>
        <row r="617">
          <cell r="AS617">
            <v>21.737454825847045</v>
          </cell>
        </row>
        <row r="618">
          <cell r="AS618">
            <v>16.98</v>
          </cell>
        </row>
        <row r="619">
          <cell r="AS619">
            <v>10.87</v>
          </cell>
        </row>
        <row r="620">
          <cell r="AS620">
            <v>14.13</v>
          </cell>
        </row>
        <row r="621">
          <cell r="AS621">
            <v>15.16</v>
          </cell>
        </row>
        <row r="622">
          <cell r="AS622">
            <v>20</v>
          </cell>
        </row>
        <row r="623">
          <cell r="AS623">
            <v>20.03</v>
          </cell>
        </row>
        <row r="624">
          <cell r="AS624">
            <v>18.12</v>
          </cell>
        </row>
        <row r="625">
          <cell r="AS625">
            <v>14.9</v>
          </cell>
        </row>
        <row r="626">
          <cell r="AS626">
            <v>18.760000000000002</v>
          </cell>
        </row>
        <row r="627">
          <cell r="AS627">
            <v>18.760000000000002</v>
          </cell>
        </row>
        <row r="628">
          <cell r="AS628">
            <v>13.9</v>
          </cell>
        </row>
        <row r="629">
          <cell r="AS629">
            <v>12</v>
          </cell>
        </row>
        <row r="630">
          <cell r="AS630">
            <v>11.01</v>
          </cell>
        </row>
        <row r="631">
          <cell r="AS631">
            <v>15.64</v>
          </cell>
        </row>
        <row r="632">
          <cell r="AS632">
            <v>18</v>
          </cell>
        </row>
        <row r="633">
          <cell r="AS633">
            <v>15</v>
          </cell>
        </row>
        <row r="634">
          <cell r="AS634">
            <v>23.1</v>
          </cell>
        </row>
        <row r="635">
          <cell r="AS635">
            <v>26</v>
          </cell>
        </row>
        <row r="636">
          <cell r="AS636">
            <v>15.5</v>
          </cell>
        </row>
        <row r="637">
          <cell r="AS637">
            <v>15.5</v>
          </cell>
        </row>
        <row r="638">
          <cell r="AS638">
            <v>18.71</v>
          </cell>
        </row>
        <row r="639">
          <cell r="AS639">
            <v>12.003509985801589</v>
          </cell>
        </row>
        <row r="640">
          <cell r="AS640">
            <v>5.4304437355983355</v>
          </cell>
        </row>
        <row r="641">
          <cell r="AS641">
            <v>7.7637887257260854</v>
          </cell>
        </row>
        <row r="642">
          <cell r="AS642">
            <v>7.0409737563447177</v>
          </cell>
        </row>
        <row r="643">
          <cell r="AS643">
            <v>10.547526267117986</v>
          </cell>
        </row>
        <row r="644">
          <cell r="AS644">
            <v>11.04795400823115</v>
          </cell>
        </row>
        <row r="645">
          <cell r="AS645">
            <v>13.333659970190654</v>
          </cell>
        </row>
        <row r="646">
          <cell r="AS646">
            <v>8.0752692237779584</v>
          </cell>
        </row>
        <row r="647">
          <cell r="AS647">
            <v>13.945632855109334</v>
          </cell>
        </row>
        <row r="648">
          <cell r="AS648">
            <v>14.298459881478468</v>
          </cell>
        </row>
        <row r="649">
          <cell r="AS649">
            <v>7.6832037197689491</v>
          </cell>
        </row>
        <row r="650">
          <cell r="AS650">
            <v>7.0720237388819616</v>
          </cell>
        </row>
        <row r="651">
          <cell r="AS651">
            <v>7.5631574903149517</v>
          </cell>
        </row>
        <row r="652">
          <cell r="AS652">
            <v>11.403773731372056</v>
          </cell>
        </row>
        <row r="653">
          <cell r="AS653">
            <v>12.97749609554789</v>
          </cell>
        </row>
        <row r="654">
          <cell r="AS654">
            <v>10.364649586178627</v>
          </cell>
        </row>
        <row r="655">
          <cell r="AS655">
            <v>17.234201366065776</v>
          </cell>
        </row>
        <row r="656">
          <cell r="AS656">
            <v>24.469507851636028</v>
          </cell>
        </row>
        <row r="657">
          <cell r="AS657">
            <v>11.32232018817094</v>
          </cell>
        </row>
        <row r="658">
          <cell r="AS658">
            <v>12.673860697186083</v>
          </cell>
        </row>
        <row r="659">
          <cell r="AS659">
            <v>9.534667681029255</v>
          </cell>
        </row>
        <row r="660">
          <cell r="AS660">
            <v>7.6327382878510299</v>
          </cell>
        </row>
        <row r="661">
          <cell r="AS661">
            <v>3.9655804383096305</v>
          </cell>
        </row>
        <row r="662">
          <cell r="AS662">
            <v>4.682641996411899</v>
          </cell>
        </row>
        <row r="663">
          <cell r="AS663">
            <v>4.3924594973745474</v>
          </cell>
        </row>
        <row r="664">
          <cell r="AS664">
            <v>7.46402700097841</v>
          </cell>
        </row>
        <row r="665">
          <cell r="AS665">
            <v>8.1179133641925905</v>
          </cell>
        </row>
        <row r="666">
          <cell r="AS666">
            <v>8.4212818372335221</v>
          </cell>
        </row>
        <row r="667">
          <cell r="AS667">
            <v>5.8489681586001128</v>
          </cell>
        </row>
        <row r="668">
          <cell r="AS668">
            <v>8.987096574475725</v>
          </cell>
        </row>
        <row r="669">
          <cell r="AS669">
            <v>9.7033172767787388</v>
          </cell>
        </row>
        <row r="670">
          <cell r="AS670">
            <v>5.3534874468533831</v>
          </cell>
        </row>
        <row r="671">
          <cell r="AS671">
            <v>4.9375047594316506</v>
          </cell>
        </row>
        <row r="672">
          <cell r="AS672">
            <v>5.5632001401046471</v>
          </cell>
        </row>
        <row r="673">
          <cell r="AS673">
            <v>7.242080658150793</v>
          </cell>
        </row>
        <row r="674">
          <cell r="AS674">
            <v>9.1191485794848894</v>
          </cell>
        </row>
        <row r="675">
          <cell r="AS675">
            <v>6.8037179035124433</v>
          </cell>
        </row>
        <row r="676">
          <cell r="AS676">
            <v>11.165602328063192</v>
          </cell>
        </row>
        <row r="677">
          <cell r="AS677">
            <v>14.333607020018015</v>
          </cell>
        </row>
        <row r="678">
          <cell r="AS678">
            <v>7.0195383073697339</v>
          </cell>
        </row>
        <row r="679">
          <cell r="AS679">
            <v>7.1634604236420829</v>
          </cell>
        </row>
        <row r="680">
          <cell r="AS680">
            <v>6.5415749444989117</v>
          </cell>
        </row>
        <row r="681">
          <cell r="AS681">
            <v>8.1840593432836979</v>
          </cell>
        </row>
        <row r="682">
          <cell r="AS682">
            <v>5.9476041137405948</v>
          </cell>
        </row>
        <row r="683">
          <cell r="AS683">
            <v>7.0248859283348626</v>
          </cell>
        </row>
        <row r="684">
          <cell r="AS684">
            <v>7.0641048852440207</v>
          </cell>
        </row>
        <row r="685">
          <cell r="AS685">
            <v>10.57445639171309</v>
          </cell>
        </row>
        <row r="686">
          <cell r="AS686">
            <v>11.073543882851572</v>
          </cell>
        </row>
        <row r="687">
          <cell r="AS687">
            <v>8.6713711688785935</v>
          </cell>
        </row>
        <row r="688">
          <cell r="AS688">
            <v>8.0947129012030921</v>
          </cell>
        </row>
        <row r="689">
          <cell r="AS689">
            <v>9.2317736231711738</v>
          </cell>
        </row>
        <row r="690">
          <cell r="AS690">
            <v>9.9300632639942421</v>
          </cell>
        </row>
        <row r="691">
          <cell r="AS691">
            <v>7.2798895360823606</v>
          </cell>
        </row>
        <row r="692">
          <cell r="AS692">
            <v>7.0906658260387321</v>
          </cell>
        </row>
        <row r="693">
          <cell r="AS693">
            <v>7.5806243667360018</v>
          </cell>
        </row>
        <row r="694">
          <cell r="AS694">
            <v>7.5369992210401779</v>
          </cell>
        </row>
        <row r="695">
          <cell r="AS695">
            <v>9.8941441574448099</v>
          </cell>
        </row>
        <row r="696">
          <cell r="AS696">
            <v>7.5189738662757524</v>
          </cell>
        </row>
        <row r="697">
          <cell r="AS697">
            <v>11.452982909973496</v>
          </cell>
        </row>
        <row r="698">
          <cell r="AS698">
            <v>11.027166435344901</v>
          </cell>
        </row>
        <row r="699">
          <cell r="AS699">
            <v>7.231857889746129</v>
          </cell>
        </row>
        <row r="700">
          <cell r="AS700">
            <v>6.2792681297215029</v>
          </cell>
        </row>
        <row r="701">
          <cell r="AS701">
            <v>9.5608082289465504</v>
          </cell>
        </row>
        <row r="702">
          <cell r="AS702">
            <v>10.771216760926244</v>
          </cell>
        </row>
        <row r="703">
          <cell r="AS703">
            <v>8.1183919487364147</v>
          </cell>
        </row>
        <row r="704">
          <cell r="AS704">
            <v>9.9839297566948009</v>
          </cell>
        </row>
        <row r="705">
          <cell r="AS705">
            <v>9.9901926910058254</v>
          </cell>
        </row>
        <row r="706">
          <cell r="AS706">
            <v>13.981117152993932</v>
          </cell>
        </row>
        <row r="707">
          <cell r="AS707">
            <v>14.31066302233522</v>
          </cell>
        </row>
        <row r="708">
          <cell r="AS708">
            <v>11.364370575798928</v>
          </cell>
        </row>
        <row r="709">
          <cell r="AS709">
            <v>10.554338095482548</v>
          </cell>
        </row>
        <row r="710">
          <cell r="AS710">
            <v>11.945566588197867</v>
          </cell>
        </row>
        <row r="711">
          <cell r="AS711">
            <v>12.444972158303987</v>
          </cell>
        </row>
        <row r="712">
          <cell r="AS712">
            <v>9.6075764141056652</v>
          </cell>
        </row>
        <row r="713">
          <cell r="AS713">
            <v>9.4488898513702981</v>
          </cell>
        </row>
        <row r="714">
          <cell r="AS714">
            <v>9.7901842339989162</v>
          </cell>
        </row>
        <row r="715">
          <cell r="AS715">
            <v>9.8667267872234401</v>
          </cell>
        </row>
        <row r="716">
          <cell r="AS716">
            <v>12.345525244304861</v>
          </cell>
        </row>
        <row r="717">
          <cell r="AS717">
            <v>9.7813933094601673</v>
          </cell>
        </row>
        <row r="718">
          <cell r="AS718">
            <v>14.767294946431051</v>
          </cell>
        </row>
        <row r="719">
          <cell r="AS719">
            <v>14.362484230364503</v>
          </cell>
        </row>
        <row r="720">
          <cell r="AS720">
            <v>9.5867585944372369</v>
          </cell>
        </row>
        <row r="721">
          <cell r="AS721">
            <v>8.6232780515163832</v>
          </cell>
        </row>
        <row r="722">
          <cell r="AS722">
            <v>12.867587540484442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illate_Prices"/>
      <sheetName val="Predicted Distillate Prices"/>
      <sheetName val="Dist-311"/>
      <sheetName val="Dist-312"/>
      <sheetName val="Dist-313"/>
      <sheetName val="Dist-314"/>
      <sheetName val="Dist-315"/>
      <sheetName val="Dist-316"/>
      <sheetName val="Dist-321"/>
      <sheetName val="Dist-322"/>
      <sheetName val="Dist-323"/>
      <sheetName val="Dist-324"/>
      <sheetName val="Dist-325"/>
      <sheetName val="Dist-326"/>
      <sheetName val="Dist-327"/>
      <sheetName val="Dist-331"/>
      <sheetName val="Dist-332"/>
      <sheetName val="Dist-333"/>
      <sheetName val="Dist-334"/>
      <sheetName val="Dist-335"/>
      <sheetName val="Dist-336"/>
      <sheetName val="Dist-337"/>
      <sheetName val="Dist-339"/>
    </sheetNames>
    <sheetDataSet>
      <sheetData sheetId="0"/>
      <sheetData sheetId="1">
        <row r="282">
          <cell r="AS282">
            <v>4.0999999999999996</v>
          </cell>
        </row>
        <row r="283">
          <cell r="AS283">
            <v>5.38</v>
          </cell>
        </row>
        <row r="284">
          <cell r="AS284">
            <v>3.64</v>
          </cell>
        </row>
        <row r="285">
          <cell r="AS285">
            <v>4.5</v>
          </cell>
        </row>
        <row r="286">
          <cell r="AS286">
            <v>5.14</v>
          </cell>
        </row>
        <row r="287">
          <cell r="AS287">
            <v>4.63</v>
          </cell>
        </row>
        <row r="288">
          <cell r="AS288">
            <v>4.5999999999999996</v>
          </cell>
        </row>
        <row r="289">
          <cell r="AS289">
            <v>4.29</v>
          </cell>
        </row>
        <row r="290">
          <cell r="AS290">
            <v>4.2699999999999996</v>
          </cell>
        </row>
        <row r="291">
          <cell r="AS291">
            <v>3.85</v>
          </cell>
        </row>
        <row r="292">
          <cell r="AS292">
            <v>4.68</v>
          </cell>
        </row>
        <row r="293">
          <cell r="AS293">
            <v>5.59</v>
          </cell>
        </row>
        <row r="294">
          <cell r="AS294">
            <v>4.7699999999999996</v>
          </cell>
        </row>
        <row r="295">
          <cell r="AS295">
            <v>5.0999999999999996</v>
          </cell>
        </row>
        <row r="296">
          <cell r="AS296">
            <v>5.0599999999999996</v>
          </cell>
        </row>
        <row r="297">
          <cell r="AS297">
            <v>5.13</v>
          </cell>
        </row>
        <row r="298">
          <cell r="AS298">
            <v>4.6900000000000004</v>
          </cell>
        </row>
        <row r="299">
          <cell r="AS299">
            <v>5.49</v>
          </cell>
        </row>
        <row r="300">
          <cell r="AS300">
            <v>4.84</v>
          </cell>
        </row>
        <row r="301">
          <cell r="AS301">
            <v>5.41</v>
          </cell>
        </row>
        <row r="302">
          <cell r="AS302">
            <v>4.3</v>
          </cell>
        </row>
        <row r="303">
          <cell r="AS303">
            <v>5.2504253778421646</v>
          </cell>
        </row>
        <row r="304">
          <cell r="AS304">
            <v>5.8268361472994243</v>
          </cell>
        </row>
        <row r="305">
          <cell r="AS305">
            <v>4.5301764015998414</v>
          </cell>
        </row>
        <row r="306">
          <cell r="AS306">
            <v>4.2175944588579295</v>
          </cell>
        </row>
        <row r="307">
          <cell r="AS307">
            <v>5.6524999999999999</v>
          </cell>
        </row>
        <row r="308">
          <cell r="AS308">
            <v>5.0505617500860689</v>
          </cell>
        </row>
        <row r="309">
          <cell r="AS309">
            <v>4.8588346789115251</v>
          </cell>
        </row>
        <row r="310">
          <cell r="AS310">
            <v>4.3473422967939621</v>
          </cell>
        </row>
        <row r="311">
          <cell r="AS311">
            <v>4.8855887005493353</v>
          </cell>
        </row>
        <row r="312">
          <cell r="AS312">
            <v>4.4998371977595051</v>
          </cell>
        </row>
        <row r="313">
          <cell r="AS313">
            <v>5.0030060546631114</v>
          </cell>
        </row>
        <row r="314">
          <cell r="AS314">
            <v>5.9771719800720122</v>
          </cell>
        </row>
        <row r="315">
          <cell r="AS315">
            <v>5.5609053052717208</v>
          </cell>
        </row>
        <row r="316">
          <cell r="AS316">
            <v>4.3167121597132052</v>
          </cell>
        </row>
        <row r="317">
          <cell r="AS317">
            <v>5.6220363561681097</v>
          </cell>
        </row>
        <row r="318">
          <cell r="AS318">
            <v>5.7710268707475683</v>
          </cell>
        </row>
        <row r="319">
          <cell r="AS319">
            <v>5.3559419807000452</v>
          </cell>
        </row>
        <row r="320">
          <cell r="AS320">
            <v>4.7043272226750048</v>
          </cell>
        </row>
        <row r="321">
          <cell r="AS321">
            <v>5.6730789057801134</v>
          </cell>
        </row>
        <row r="322">
          <cell r="AS322">
            <v>5.40077399961692</v>
          </cell>
        </row>
        <row r="323">
          <cell r="AS323">
            <v>4.0685291363797136</v>
          </cell>
        </row>
        <row r="324">
          <cell r="AS324">
            <v>8.4467182174411555</v>
          </cell>
        </row>
        <row r="325">
          <cell r="AS325">
            <v>8.06335096398392</v>
          </cell>
        </row>
        <row r="326">
          <cell r="AS326">
            <v>7.4496169730102668</v>
          </cell>
        </row>
        <row r="327">
          <cell r="AS327">
            <v>5.7510037813742168</v>
          </cell>
        </row>
        <row r="328">
          <cell r="AS328">
            <v>8.1050000000000004</v>
          </cell>
        </row>
        <row r="329">
          <cell r="AS329">
            <v>7.3776994572118957</v>
          </cell>
        </row>
        <row r="330">
          <cell r="AS330">
            <v>7.0109544855938584</v>
          </cell>
        </row>
        <row r="331">
          <cell r="AS331">
            <v>6.0668865279456163</v>
          </cell>
        </row>
        <row r="332">
          <cell r="AS332">
            <v>7.451329215016095</v>
          </cell>
        </row>
        <row r="333">
          <cell r="AS333">
            <v>6.7419780724384717</v>
          </cell>
        </row>
        <row r="334">
          <cell r="AS334">
            <v>7.1344830767000555</v>
          </cell>
        </row>
        <row r="335">
          <cell r="AS335">
            <v>8.4280207720524807</v>
          </cell>
        </row>
        <row r="336">
          <cell r="AS336">
            <v>8.2211998747846717</v>
          </cell>
        </row>
        <row r="337">
          <cell r="AS337">
            <v>5.3684480043875507</v>
          </cell>
        </row>
        <row r="338">
          <cell r="AS338">
            <v>8.5040774320351797</v>
          </cell>
        </row>
        <row r="339">
          <cell r="AS339">
            <v>8.7022106707377667</v>
          </cell>
        </row>
        <row r="340">
          <cell r="AS340">
            <v>8.0643501174719638</v>
          </cell>
        </row>
        <row r="341">
          <cell r="AS341">
            <v>5.9397430468677346</v>
          </cell>
        </row>
        <row r="342">
          <cell r="AS342">
            <v>8.41302960901284</v>
          </cell>
        </row>
        <row r="343">
          <cell r="AS343">
            <v>7.6838378431446133</v>
          </cell>
        </row>
        <row r="344">
          <cell r="AS344">
            <v>6.0693109814134623</v>
          </cell>
        </row>
        <row r="345">
          <cell r="AS345">
            <v>7.4277234273847164</v>
          </cell>
        </row>
        <row r="346">
          <cell r="AS346">
            <v>9.649938334949324</v>
          </cell>
        </row>
        <row r="347">
          <cell r="AS347">
            <v>7.0741182996251553</v>
          </cell>
        </row>
        <row r="348">
          <cell r="AS348">
            <v>7.1813191715665656</v>
          </cell>
        </row>
        <row r="349">
          <cell r="AS349">
            <v>7.4075000000000006</v>
          </cell>
        </row>
        <row r="350">
          <cell r="AS350">
            <v>6.6091081619278054</v>
          </cell>
        </row>
        <row r="351">
          <cell r="AS351">
            <v>7.4614512857742161</v>
          </cell>
        </row>
        <row r="352">
          <cell r="AS352">
            <v>5.8371829000260007</v>
          </cell>
        </row>
        <row r="353">
          <cell r="AS353">
            <v>6.8505861141014694</v>
          </cell>
        </row>
        <row r="354">
          <cell r="AS354">
            <v>6.3986774098513015</v>
          </cell>
        </row>
        <row r="355">
          <cell r="AS355">
            <v>6.7415228985474718</v>
          </cell>
        </row>
        <row r="356">
          <cell r="AS356">
            <v>7.5280541220166386</v>
          </cell>
        </row>
        <row r="357">
          <cell r="AS357">
            <v>7.8461458966894391</v>
          </cell>
        </row>
        <row r="358">
          <cell r="AS358">
            <v>5.8403774686833501</v>
          </cell>
        </row>
        <row r="359">
          <cell r="AS359">
            <v>7.6191005351951748</v>
          </cell>
        </row>
        <row r="360">
          <cell r="AS360">
            <v>9.0640755148325329</v>
          </cell>
        </row>
        <row r="361">
          <cell r="AS361">
            <v>7.456382794642642</v>
          </cell>
        </row>
        <row r="362">
          <cell r="AS362">
            <v>7.5445062531576204</v>
          </cell>
        </row>
        <row r="363">
          <cell r="AS363">
            <v>8.0567709504024059</v>
          </cell>
        </row>
        <row r="364">
          <cell r="AS364">
            <v>8.7874763465418795</v>
          </cell>
        </row>
        <row r="365">
          <cell r="AS365">
            <v>7.6165724676375133</v>
          </cell>
        </row>
        <row r="366">
          <cell r="AS366">
            <v>7.04</v>
          </cell>
        </row>
        <row r="367">
          <cell r="AS367">
            <v>9.75</v>
          </cell>
        </row>
        <row r="368">
          <cell r="AS368">
            <v>6.73</v>
          </cell>
        </row>
        <row r="369">
          <cell r="AS369">
            <v>6.73</v>
          </cell>
        </row>
        <row r="370">
          <cell r="AS370">
            <v>6.74</v>
          </cell>
        </row>
        <row r="371">
          <cell r="AS371">
            <v>5.87</v>
          </cell>
        </row>
        <row r="372">
          <cell r="AS372">
            <v>7.02</v>
          </cell>
        </row>
        <row r="373">
          <cell r="AS373">
            <v>5.13</v>
          </cell>
        </row>
        <row r="374">
          <cell r="AS374">
            <v>6.28</v>
          </cell>
        </row>
        <row r="375">
          <cell r="AS375">
            <v>6.08</v>
          </cell>
        </row>
        <row r="376">
          <cell r="AS376">
            <v>6.1</v>
          </cell>
        </row>
        <row r="377">
          <cell r="AS377">
            <v>6.66</v>
          </cell>
        </row>
        <row r="378">
          <cell r="AS378">
            <v>7.5</v>
          </cell>
        </row>
        <row r="379">
          <cell r="AS379">
            <v>4.7300000000000004</v>
          </cell>
        </row>
        <row r="380">
          <cell r="AS380">
            <v>6.77</v>
          </cell>
        </row>
        <row r="381">
          <cell r="AS381">
            <v>8.69</v>
          </cell>
        </row>
        <row r="382">
          <cell r="AS382">
            <v>6.88</v>
          </cell>
        </row>
        <row r="383">
          <cell r="AS383">
            <v>6.73</v>
          </cell>
        </row>
        <row r="384">
          <cell r="AS384">
            <v>7.73</v>
          </cell>
        </row>
        <row r="385">
          <cell r="AS385">
            <v>8.2200000000000006</v>
          </cell>
        </row>
        <row r="386">
          <cell r="AS386">
            <v>7.07</v>
          </cell>
        </row>
        <row r="387">
          <cell r="AS387">
            <v>8.6989479214038088</v>
          </cell>
        </row>
        <row r="388">
          <cell r="AS388">
            <v>10.588352191287314</v>
          </cell>
        </row>
        <row r="389">
          <cell r="AS389">
            <v>8.5408817003748467</v>
          </cell>
        </row>
        <row r="390">
          <cell r="AS390">
            <v>7.1001203094393261</v>
          </cell>
        </row>
        <row r="391">
          <cell r="AS391">
            <v>7.6025000000000009</v>
          </cell>
        </row>
        <row r="392">
          <cell r="AS392">
            <v>5.853391838072195</v>
          </cell>
        </row>
        <row r="393">
          <cell r="AS393">
            <v>8.023243607684357</v>
          </cell>
        </row>
        <row r="394">
          <cell r="AS394">
            <v>5.453724814800438</v>
          </cell>
        </row>
        <row r="395">
          <cell r="AS395">
            <v>7.3869138858985313</v>
          </cell>
        </row>
        <row r="396">
          <cell r="AS396">
            <v>6.9413225901486992</v>
          </cell>
        </row>
        <row r="397">
          <cell r="AS397">
            <v>6.7985686432213868</v>
          </cell>
        </row>
        <row r="398">
          <cell r="AS398">
            <v>7.3444458779833619</v>
          </cell>
        </row>
        <row r="399">
          <cell r="AS399">
            <v>9.1788541033105595</v>
          </cell>
        </row>
        <row r="400">
          <cell r="AS400">
            <v>5.7203208515228194</v>
          </cell>
        </row>
        <row r="401">
          <cell r="AS401">
            <v>8.900899464804823</v>
          </cell>
        </row>
        <row r="402">
          <cell r="AS402">
            <v>9.6153964149472593</v>
          </cell>
        </row>
        <row r="403">
          <cell r="AS403">
            <v>7.6311172053573593</v>
          </cell>
        </row>
        <row r="404">
          <cell r="AS404">
            <v>6.0347059559143164</v>
          </cell>
        </row>
        <row r="405">
          <cell r="AS405">
            <v>8.893229049597597</v>
          </cell>
        </row>
        <row r="406">
          <cell r="AS406">
            <v>8.4208805019404114</v>
          </cell>
        </row>
        <row r="407">
          <cell r="AS407">
            <v>7.5090139412951782</v>
          </cell>
        </row>
        <row r="408">
          <cell r="AS408">
            <v>11.169512450961903</v>
          </cell>
        </row>
        <row r="409">
          <cell r="AS409">
            <v>12.783452887969913</v>
          </cell>
        </row>
        <row r="410">
          <cell r="AS410">
            <v>11.345475236481679</v>
          </cell>
        </row>
        <row r="411">
          <cell r="AS411">
            <v>8.9652588372717563</v>
          </cell>
        </row>
        <row r="412">
          <cell r="AS412">
            <v>9.4149999999999991</v>
          </cell>
        </row>
        <row r="413">
          <cell r="AS413">
            <v>6.7704162324267436</v>
          </cell>
        </row>
        <row r="414">
          <cell r="AS414">
            <v>10.245857542420056</v>
          </cell>
        </row>
        <row r="415">
          <cell r="AS415">
            <v>6.7510425080759067</v>
          </cell>
        </row>
        <row r="416">
          <cell r="AS416">
            <v>9.448799020880335</v>
          </cell>
        </row>
        <row r="417">
          <cell r="AS417">
            <v>8.5823815169332143</v>
          </cell>
        </row>
        <row r="418">
          <cell r="AS418">
            <v>8.4704536832440311</v>
          </cell>
        </row>
        <row r="419">
          <cell r="AS419">
            <v>9.0394551432414829</v>
          </cell>
        </row>
        <row r="420">
          <cell r="AS420">
            <v>11.773130784471206</v>
          </cell>
        </row>
        <row r="421">
          <cell r="AS421">
            <v>8.1202029670796154</v>
          </cell>
        </row>
        <row r="422">
          <cell r="AS422">
            <v>12.167883715029241</v>
          </cell>
        </row>
        <row r="423">
          <cell r="AS423">
            <v>11.90696323232765</v>
          </cell>
        </row>
        <row r="424">
          <cell r="AS424">
            <v>9.3824111366261995</v>
          </cell>
        </row>
        <row r="425">
          <cell r="AS425">
            <v>7.1065150583326915</v>
          </cell>
        </row>
        <row r="426">
          <cell r="AS426">
            <v>10.990235525782811</v>
          </cell>
        </row>
        <row r="427">
          <cell r="AS427">
            <v>10.285657569595141</v>
          </cell>
        </row>
        <row r="428">
          <cell r="AS428">
            <v>9.7163321106396943</v>
          </cell>
        </row>
        <row r="429">
          <cell r="AS429">
            <v>15.513592451011256</v>
          </cell>
        </row>
        <row r="430">
          <cell r="AS430">
            <v>16.271220244285285</v>
          </cell>
        </row>
        <row r="431">
          <cell r="AS431">
            <v>15.907369703146131</v>
          </cell>
        </row>
        <row r="432">
          <cell r="AS432">
            <v>12.078527091154463</v>
          </cell>
        </row>
        <row r="433">
          <cell r="AS433">
            <v>12.907500000000001</v>
          </cell>
        </row>
        <row r="434">
          <cell r="AS434">
            <v>9.3384960947332516</v>
          </cell>
        </row>
        <row r="435">
          <cell r="AS435">
            <v>13.951564758489049</v>
          </cell>
        </row>
        <row r="436">
          <cell r="AS436">
            <v>9.4023367024326667</v>
          </cell>
        </row>
        <row r="437">
          <cell r="AS437">
            <v>13.19947541739888</v>
          </cell>
        </row>
        <row r="438">
          <cell r="AS438">
            <v>11.602342596926338</v>
          </cell>
        </row>
        <row r="439">
          <cell r="AS439">
            <v>11.661474159405186</v>
          </cell>
        </row>
        <row r="440">
          <cell r="AS440">
            <v>12.521565977574969</v>
          </cell>
        </row>
        <row r="441">
          <cell r="AS441">
            <v>15.986260024356216</v>
          </cell>
        </row>
        <row r="442">
          <cell r="AS442">
            <v>11.83563388992226</v>
          </cell>
        </row>
        <row r="443">
          <cell r="AS443">
            <v>17.443944217364098</v>
          </cell>
        </row>
        <row r="444">
          <cell r="AS444">
            <v>16.050758778228815</v>
          </cell>
        </row>
        <row r="445">
          <cell r="AS445">
            <v>12.902438646349038</v>
          </cell>
        </row>
        <row r="446">
          <cell r="AS446">
            <v>9.512370584033004</v>
          </cell>
        </row>
        <row r="447">
          <cell r="AS447">
            <v>14.738553661617711</v>
          </cell>
        </row>
        <row r="448">
          <cell r="AS448">
            <v>13.845683284343787</v>
          </cell>
        </row>
        <row r="449">
          <cell r="AS449">
            <v>13.495274905999571</v>
          </cell>
        </row>
        <row r="450">
          <cell r="AS450">
            <v>17.170000000000002</v>
          </cell>
        </row>
        <row r="451">
          <cell r="AS451">
            <v>19.59</v>
          </cell>
        </row>
        <row r="452">
          <cell r="AS452">
            <v>18.440000000000001</v>
          </cell>
        </row>
        <row r="453">
          <cell r="AS453">
            <v>15.42</v>
          </cell>
        </row>
        <row r="454">
          <cell r="AS454">
            <v>14.46</v>
          </cell>
        </row>
        <row r="455">
          <cell r="AS455">
            <v>10</v>
          </cell>
        </row>
        <row r="456">
          <cell r="AS456">
            <v>16.75</v>
          </cell>
        </row>
        <row r="457">
          <cell r="AS457">
            <v>10.93</v>
          </cell>
        </row>
        <row r="458">
          <cell r="AS458">
            <v>15</v>
          </cell>
        </row>
        <row r="459">
          <cell r="AS459">
            <v>13.03</v>
          </cell>
        </row>
        <row r="460">
          <cell r="AS460">
            <v>13.34</v>
          </cell>
        </row>
        <row r="461">
          <cell r="AS461">
            <v>13.94</v>
          </cell>
        </row>
        <row r="462">
          <cell r="AS462">
            <v>18.329999999999998</v>
          </cell>
        </row>
        <row r="463">
          <cell r="AS463">
            <v>15.44</v>
          </cell>
        </row>
        <row r="464">
          <cell r="AS464">
            <v>20.399999999999999</v>
          </cell>
        </row>
        <row r="465">
          <cell r="AS465">
            <v>18.73</v>
          </cell>
        </row>
        <row r="466">
          <cell r="AS466">
            <v>14.38</v>
          </cell>
        </row>
        <row r="467">
          <cell r="AS467">
            <v>12.52</v>
          </cell>
        </row>
        <row r="468">
          <cell r="AS468">
            <v>16.579999999999998</v>
          </cell>
        </row>
        <row r="469">
          <cell r="AS469">
            <v>16.940000000000001</v>
          </cell>
        </row>
        <row r="470">
          <cell r="AS470">
            <v>17.32</v>
          </cell>
        </row>
        <row r="471">
          <cell r="AS471">
            <v>18.387356093069879</v>
          </cell>
        </row>
        <row r="472">
          <cell r="AS472">
            <v>19.315553206370481</v>
          </cell>
        </row>
        <row r="473">
          <cell r="AS473">
            <v>19.095322271785271</v>
          </cell>
        </row>
        <row r="474">
          <cell r="AS474">
            <v>16.677619567557603</v>
          </cell>
        </row>
        <row r="475">
          <cell r="AS475">
            <v>15.654999999999999</v>
          </cell>
        </row>
        <row r="476">
          <cell r="AS476">
            <v>13.723029545198019</v>
          </cell>
        </row>
        <row r="477">
          <cell r="AS477">
            <v>17.818803434175091</v>
          </cell>
        </row>
        <row r="478">
          <cell r="AS478">
            <v>13.22326964988115</v>
          </cell>
        </row>
        <row r="479">
          <cell r="AS479">
            <v>17.37515440036529</v>
          </cell>
        </row>
        <row r="480">
          <cell r="AS480">
            <v>14.673463464827663</v>
          </cell>
        </row>
        <row r="481">
          <cell r="AS481">
            <v>15.270524520623788</v>
          </cell>
        </row>
        <row r="482">
          <cell r="AS482">
            <v>17.185294669963827</v>
          </cell>
        </row>
        <row r="483">
          <cell r="AS483">
            <v>18.871648672823508</v>
          </cell>
        </row>
        <row r="484">
          <cell r="AS484">
            <v>16.758165614227124</v>
          </cell>
        </row>
        <row r="485">
          <cell r="AS485">
            <v>21.825440540671892</v>
          </cell>
        </row>
        <row r="486">
          <cell r="AS486">
            <v>20.379345542687417</v>
          </cell>
        </row>
        <row r="487">
          <cell r="AS487">
            <v>16.772025342129275</v>
          </cell>
        </row>
        <row r="488">
          <cell r="AS488">
            <v>15.760199316681444</v>
          </cell>
        </row>
        <row r="489">
          <cell r="AS489">
            <v>18.798179752830318</v>
          </cell>
        </row>
        <row r="490">
          <cell r="AS490">
            <v>19.409738501352578</v>
          </cell>
        </row>
        <row r="491">
          <cell r="AS491">
            <v>19.333610761570458</v>
          </cell>
        </row>
        <row r="492">
          <cell r="AS492">
            <v>25.569030603291658</v>
          </cell>
        </row>
        <row r="493">
          <cell r="AS493">
            <v>21.226339720665919</v>
          </cell>
        </row>
        <row r="494">
          <cell r="AS494">
            <v>24.781964469750395</v>
          </cell>
        </row>
        <row r="495">
          <cell r="AS495">
            <v>19.597029762828129</v>
          </cell>
        </row>
        <row r="496">
          <cell r="AS496">
            <v>21.66</v>
          </cell>
        </row>
        <row r="497">
          <cell r="AS497">
            <v>22.173188138520395</v>
          </cell>
        </row>
        <row r="498">
          <cell r="AS498">
            <v>22.211649139799082</v>
          </cell>
        </row>
        <row r="499">
          <cell r="AS499">
            <v>18.889390077892983</v>
          </cell>
        </row>
        <row r="500">
          <cell r="AS500">
            <v>24.585479019773267</v>
          </cell>
        </row>
        <row r="501">
          <cell r="AS501">
            <v>20.264855118306158</v>
          </cell>
        </row>
        <row r="502">
          <cell r="AS502">
            <v>21.273658734033653</v>
          </cell>
        </row>
        <row r="503">
          <cell r="AS503">
            <v>25.547231332339869</v>
          </cell>
        </row>
        <row r="504">
          <cell r="AS504">
            <v>24.048226397709033</v>
          </cell>
        </row>
        <row r="505">
          <cell r="AS505">
            <v>20.230494343198451</v>
          </cell>
        </row>
        <row r="506">
          <cell r="AS506">
            <v>29.003057731731417</v>
          </cell>
        </row>
        <row r="507">
          <cell r="AS507">
            <v>26.559631531617033</v>
          </cell>
        </row>
        <row r="508">
          <cell r="AS508">
            <v>24.228103370189334</v>
          </cell>
        </row>
        <row r="509">
          <cell r="AS509">
            <v>20.366798653757328</v>
          </cell>
        </row>
        <row r="510">
          <cell r="AS510">
            <v>25.744222055014802</v>
          </cell>
        </row>
        <row r="511">
          <cell r="AS511">
            <v>25.024776989977717</v>
          </cell>
        </row>
        <row r="512">
          <cell r="AS512">
            <v>23.716339645407267</v>
          </cell>
        </row>
        <row r="513">
          <cell r="AS513">
            <v>12.74396521959018</v>
          </cell>
        </row>
        <row r="514">
          <cell r="AS514">
            <v>17.616541518097531</v>
          </cell>
        </row>
        <row r="515">
          <cell r="AS515">
            <v>14.119431938777662</v>
          </cell>
        </row>
        <row r="516">
          <cell r="AS516">
            <v>19.109546899022533</v>
          </cell>
        </row>
        <row r="517">
          <cell r="AS517">
            <v>12.035</v>
          </cell>
        </row>
        <row r="518">
          <cell r="AS518">
            <v>15.262634253218319</v>
          </cell>
        </row>
        <row r="519">
          <cell r="AS519">
            <v>16.764517295939129</v>
          </cell>
        </row>
        <row r="520">
          <cell r="AS520">
            <v>14.120643151432144</v>
          </cell>
        </row>
        <row r="521">
          <cell r="AS521">
            <v>16.08401350952694</v>
          </cell>
        </row>
        <row r="522">
          <cell r="AS522">
            <v>13.027532096397447</v>
          </cell>
        </row>
        <row r="523">
          <cell r="AS523">
            <v>14.331525923220955</v>
          </cell>
        </row>
        <row r="524">
          <cell r="AS524">
            <v>17.282740896711164</v>
          </cell>
        </row>
        <row r="525">
          <cell r="AS525">
            <v>14.163693710176824</v>
          </cell>
        </row>
        <row r="526">
          <cell r="AS526">
            <v>18.383893704428957</v>
          </cell>
        </row>
        <row r="527">
          <cell r="AS527">
            <v>17.489090505834881</v>
          </cell>
        </row>
        <row r="528">
          <cell r="AS528">
            <v>18.821736624601023</v>
          </cell>
        </row>
        <row r="529">
          <cell r="AS529">
            <v>15.228642212989911</v>
          </cell>
        </row>
        <row r="530">
          <cell r="AS530">
            <v>23.090783478722425</v>
          </cell>
        </row>
        <row r="531">
          <cell r="AS531">
            <v>17.3271683808156</v>
          </cell>
        </row>
        <row r="532">
          <cell r="AS532">
            <v>22.200270058649846</v>
          </cell>
        </row>
        <row r="533">
          <cell r="AS533">
            <v>22.621910303937934</v>
          </cell>
        </row>
        <row r="534">
          <cell r="AS534">
            <v>18.62</v>
          </cell>
        </row>
        <row r="535">
          <cell r="AS535">
            <v>13</v>
          </cell>
        </row>
        <row r="536">
          <cell r="AS536">
            <v>16.940000000000001</v>
          </cell>
        </row>
        <row r="537">
          <cell r="AS537">
            <v>14.42</v>
          </cell>
        </row>
        <row r="538">
          <cell r="AS538">
            <v>15.3</v>
          </cell>
        </row>
        <row r="539">
          <cell r="AS539">
            <v>21.02</v>
          </cell>
        </row>
        <row r="540">
          <cell r="AS540">
            <v>16.05</v>
          </cell>
        </row>
        <row r="541">
          <cell r="AS541">
            <v>16.11</v>
          </cell>
        </row>
        <row r="542">
          <cell r="AS542">
            <v>20.54</v>
          </cell>
        </row>
        <row r="543">
          <cell r="AS543">
            <v>16.37</v>
          </cell>
        </row>
        <row r="544">
          <cell r="AS544">
            <v>17.05</v>
          </cell>
        </row>
        <row r="545">
          <cell r="AS545">
            <v>22.73</v>
          </cell>
        </row>
        <row r="546">
          <cell r="AS546">
            <v>16.7</v>
          </cell>
        </row>
        <row r="547">
          <cell r="AS547">
            <v>15.01</v>
          </cell>
        </row>
        <row r="548">
          <cell r="AS548">
            <v>21.39</v>
          </cell>
        </row>
        <row r="549">
          <cell r="AS549">
            <v>19.73</v>
          </cell>
        </row>
        <row r="550">
          <cell r="AS550">
            <v>19.8</v>
          </cell>
        </row>
        <row r="551">
          <cell r="AS551">
            <v>18.37</v>
          </cell>
        </row>
        <row r="552">
          <cell r="AS552">
            <v>21.58</v>
          </cell>
        </row>
        <row r="553">
          <cell r="AS553">
            <v>20.07</v>
          </cell>
        </row>
        <row r="554">
          <cell r="AS554">
            <v>18.23</v>
          </cell>
        </row>
        <row r="555">
          <cell r="AS555">
            <v>23.863386398434468</v>
          </cell>
        </row>
        <row r="556">
          <cell r="AS556">
            <v>17.10434163076534</v>
          </cell>
        </row>
        <row r="557">
          <cell r="AS557">
            <v>22.557025224954856</v>
          </cell>
        </row>
        <row r="558">
          <cell r="AS558">
            <v>18.899162652141527</v>
          </cell>
        </row>
        <row r="559">
          <cell r="AS559">
            <v>23.5425</v>
          </cell>
        </row>
        <row r="560">
          <cell r="AS560">
            <v>25.152459136110476</v>
          </cell>
        </row>
        <row r="561">
          <cell r="AS561">
            <v>20.429135513856941</v>
          </cell>
        </row>
        <row r="562">
          <cell r="AS562">
            <v>19.973089111709395</v>
          </cell>
        </row>
        <row r="563">
          <cell r="AS563">
            <v>24.30399540439188</v>
          </cell>
        </row>
        <row r="564">
          <cell r="AS564">
            <v>19.341913581040021</v>
          </cell>
        </row>
        <row r="565">
          <cell r="AS565">
            <v>21.342749639822735</v>
          </cell>
        </row>
        <row r="566">
          <cell r="AS566">
            <v>26.568915890323559</v>
          </cell>
        </row>
        <row r="567">
          <cell r="AS567">
            <v>20.747877850100856</v>
          </cell>
        </row>
        <row r="568">
          <cell r="AS568">
            <v>19.195986802086878</v>
          </cell>
        </row>
        <row r="569">
          <cell r="AS569">
            <v>27.021039759024344</v>
          </cell>
        </row>
        <row r="570">
          <cell r="AS570">
            <v>27.45240948215033</v>
          </cell>
        </row>
        <row r="571">
          <cell r="AS571">
            <v>24.801727910588095</v>
          </cell>
        </row>
        <row r="572">
          <cell r="AS572">
            <v>22.993996826860506</v>
          </cell>
        </row>
        <row r="573">
          <cell r="AS573">
            <v>24.243012693171639</v>
          </cell>
        </row>
        <row r="574">
          <cell r="AS574">
            <v>25.706286896625507</v>
          </cell>
        </row>
        <row r="575">
          <cell r="AS575">
            <v>24.095152715435255</v>
          </cell>
        </row>
        <row r="576">
          <cell r="AS576">
            <v>23.91891235473593</v>
          </cell>
        </row>
        <row r="577">
          <cell r="AS577">
            <v>19.967007749155332</v>
          </cell>
        </row>
        <row r="578">
          <cell r="AS578">
            <v>23.990000615248718</v>
          </cell>
        </row>
        <row r="579">
          <cell r="AS579">
            <v>22.722284484013052</v>
          </cell>
        </row>
        <row r="580">
          <cell r="AS580">
            <v>27.785000000000004</v>
          </cell>
        </row>
        <row r="581">
          <cell r="AS581">
            <v>25.353833824716297</v>
          </cell>
        </row>
        <row r="582">
          <cell r="AS582">
            <v>22.394163830749196</v>
          </cell>
        </row>
        <row r="583">
          <cell r="AS583">
            <v>21.222578868307838</v>
          </cell>
        </row>
        <row r="584">
          <cell r="AS584">
            <v>24.047059233696292</v>
          </cell>
        </row>
        <row r="585">
          <cell r="AS585">
            <v>19.030726797297653</v>
          </cell>
        </row>
        <row r="586">
          <cell r="AS586">
            <v>22.353825628894231</v>
          </cell>
        </row>
        <row r="587">
          <cell r="AS587">
            <v>26.152828044753392</v>
          </cell>
        </row>
        <row r="588">
          <cell r="AS588">
            <v>20.941344846096086</v>
          </cell>
        </row>
        <row r="589">
          <cell r="AS589">
            <v>22.202810241895865</v>
          </cell>
        </row>
        <row r="590">
          <cell r="AS590">
            <v>27.868564632071454</v>
          </cell>
        </row>
        <row r="591">
          <cell r="AS591">
            <v>31.700086623670842</v>
          </cell>
        </row>
        <row r="592">
          <cell r="AS592">
            <v>25.592185396285728</v>
          </cell>
        </row>
        <row r="593">
          <cell r="AS593">
            <v>27.413168093532079</v>
          </cell>
        </row>
        <row r="594">
          <cell r="AS594">
            <v>22.97433095860594</v>
          </cell>
        </row>
        <row r="595">
          <cell r="AS595">
            <v>29.375624977164044</v>
          </cell>
        </row>
        <row r="596">
          <cell r="AS596">
            <v>28.799157886296943</v>
          </cell>
        </row>
        <row r="597">
          <cell r="AS597">
            <v>23.116554669575503</v>
          </cell>
        </row>
        <row r="598">
          <cell r="AS598">
            <v>20.263114807600033</v>
          </cell>
        </row>
        <row r="599">
          <cell r="AS599">
            <v>24.042239560104441</v>
          </cell>
        </row>
        <row r="600">
          <cell r="AS600">
            <v>23.608743693458614</v>
          </cell>
        </row>
        <row r="601">
          <cell r="AS601">
            <v>30.707500000000003</v>
          </cell>
        </row>
        <row r="602">
          <cell r="AS602">
            <v>24.257950645645582</v>
          </cell>
        </row>
        <row r="603">
          <cell r="AS603">
            <v>22.250356268424923</v>
          </cell>
        </row>
        <row r="604">
          <cell r="AS604">
            <v>20.892853668988742</v>
          </cell>
        </row>
        <row r="605">
          <cell r="AS605">
            <v>22.463215643221833</v>
          </cell>
        </row>
        <row r="606">
          <cell r="AS606">
            <v>17.636116893177093</v>
          </cell>
        </row>
        <row r="607">
          <cell r="AS607">
            <v>21.888065751885655</v>
          </cell>
        </row>
        <row r="608">
          <cell r="AS608">
            <v>24.332588966338289</v>
          </cell>
        </row>
        <row r="609">
          <cell r="AS609">
            <v>19.862856260236455</v>
          </cell>
        </row>
        <row r="610">
          <cell r="AS610">
            <v>22.526275445968949</v>
          </cell>
        </row>
        <row r="611">
          <cell r="AS611">
            <v>27.13752959274607</v>
          </cell>
        </row>
        <row r="612">
          <cell r="AS612">
            <v>33.702395002385508</v>
          </cell>
        </row>
        <row r="613">
          <cell r="AS613">
            <v>24.992923641769508</v>
          </cell>
        </row>
        <row r="614">
          <cell r="AS614">
            <v>28.274256949877515</v>
          </cell>
        </row>
        <row r="615">
          <cell r="AS615">
            <v>20.408190062886913</v>
          </cell>
        </row>
        <row r="616">
          <cell r="AS616">
            <v>29.96506690470283</v>
          </cell>
        </row>
        <row r="617">
          <cell r="AS617">
            <v>30.08838877994765</v>
          </cell>
        </row>
        <row r="618">
          <cell r="AS618">
            <v>22.71</v>
          </cell>
        </row>
        <row r="619">
          <cell r="AS619">
            <v>19.989999999999998</v>
          </cell>
        </row>
        <row r="620">
          <cell r="AS620">
            <v>24.22</v>
          </cell>
        </row>
        <row r="621">
          <cell r="AS621">
            <v>23.75</v>
          </cell>
        </row>
        <row r="622">
          <cell r="AS622">
            <v>33.75</v>
          </cell>
        </row>
        <row r="623">
          <cell r="AS623">
            <v>23.28</v>
          </cell>
        </row>
        <row r="624">
          <cell r="AS624">
            <v>21.81</v>
          </cell>
        </row>
        <row r="625">
          <cell r="AS625">
            <v>20.440000000000001</v>
          </cell>
        </row>
        <row r="626">
          <cell r="AS626">
            <v>21</v>
          </cell>
        </row>
        <row r="627">
          <cell r="AS627">
            <v>16.34</v>
          </cell>
        </row>
        <row r="628">
          <cell r="AS628">
            <v>21.41</v>
          </cell>
        </row>
        <row r="629">
          <cell r="AS629">
            <v>22.64</v>
          </cell>
        </row>
        <row r="630">
          <cell r="AS630">
            <v>18.899999999999999</v>
          </cell>
        </row>
        <row r="631">
          <cell r="AS631">
            <v>22.24</v>
          </cell>
        </row>
        <row r="632">
          <cell r="AS632">
            <v>26.55</v>
          </cell>
        </row>
        <row r="633">
          <cell r="AS633">
            <v>35.5</v>
          </cell>
        </row>
        <row r="634">
          <cell r="AS634">
            <v>24.52</v>
          </cell>
        </row>
        <row r="635">
          <cell r="AS635">
            <v>28.16</v>
          </cell>
        </row>
        <row r="636">
          <cell r="AS636">
            <v>17.96</v>
          </cell>
        </row>
        <row r="637">
          <cell r="AS637">
            <v>29.93</v>
          </cell>
        </row>
        <row r="638">
          <cell r="AS638">
            <v>30.56</v>
          </cell>
        </row>
        <row r="639">
          <cell r="AS639">
            <v>11.390254386910723</v>
          </cell>
        </row>
        <row r="640">
          <cell r="AS640">
            <v>15.336890349986341</v>
          </cell>
        </row>
        <row r="641">
          <cell r="AS641">
            <v>14.523464508173136</v>
          </cell>
        </row>
        <row r="642">
          <cell r="AS642">
            <v>19.990326868598324</v>
          </cell>
        </row>
        <row r="643">
          <cell r="AS643">
            <v>24.480000000000004</v>
          </cell>
        </row>
        <row r="644">
          <cell r="AS644">
            <v>14.169711792907963</v>
          </cell>
        </row>
        <row r="645">
          <cell r="AS645">
            <v>15.135092911206176</v>
          </cell>
        </row>
        <row r="646">
          <cell r="AS646">
            <v>13.792959122468528</v>
          </cell>
        </row>
        <row r="647">
          <cell r="AS647">
            <v>11.68149107473478</v>
          </cell>
        </row>
        <row r="648">
          <cell r="AS648">
            <v>8.7314149046168072</v>
          </cell>
        </row>
        <row r="649">
          <cell r="AS649">
            <v>13.480468361406103</v>
          </cell>
        </row>
        <row r="650">
          <cell r="AS650">
            <v>12.779028842066287</v>
          </cell>
        </row>
        <row r="651">
          <cell r="AS651">
            <v>9.9674028456102093</v>
          </cell>
        </row>
        <row r="652">
          <cell r="AS652">
            <v>17.618628582589135</v>
          </cell>
        </row>
        <row r="653">
          <cell r="AS653">
            <v>15.464204251747752</v>
          </cell>
        </row>
        <row r="654">
          <cell r="AS654">
            <v>26.542829793652537</v>
          </cell>
        </row>
        <row r="655">
          <cell r="AS655">
            <v>14.760380790316358</v>
          </cell>
        </row>
        <row r="656">
          <cell r="AS656">
            <v>24.811874475744258</v>
          </cell>
        </row>
        <row r="657">
          <cell r="AS657">
            <v>8.8482981637187024</v>
          </cell>
        </row>
        <row r="658">
          <cell r="AS658">
            <v>23.370509649512421</v>
          </cell>
        </row>
        <row r="659">
          <cell r="AS659">
            <v>25.373369463672507</v>
          </cell>
        </row>
        <row r="660">
          <cell r="AS660">
            <v>10.561843339126694</v>
          </cell>
        </row>
        <row r="661">
          <cell r="AS661">
            <v>9.8633417159443102</v>
          </cell>
        </row>
        <row r="662">
          <cell r="AS662">
            <v>12.316378220389456</v>
          </cell>
        </row>
        <row r="663">
          <cell r="AS663">
            <v>13.567079686384133</v>
          </cell>
        </row>
        <row r="664">
          <cell r="AS664">
            <v>22.37</v>
          </cell>
        </row>
        <row r="665">
          <cell r="AS665">
            <v>12.096064746849255</v>
          </cell>
        </row>
        <row r="666">
          <cell r="AS666">
            <v>10.930082008274738</v>
          </cell>
        </row>
        <row r="667">
          <cell r="AS667">
            <v>10.813030606252713</v>
          </cell>
        </row>
        <row r="668">
          <cell r="AS668">
            <v>9.5604496688761351</v>
          </cell>
        </row>
        <row r="669">
          <cell r="AS669">
            <v>8.0395863543786952</v>
          </cell>
        </row>
        <row r="670">
          <cell r="AS670">
            <v>10.869402173943456</v>
          </cell>
        </row>
        <row r="671">
          <cell r="AS671">
            <v>10.534514371382345</v>
          </cell>
        </row>
        <row r="672">
          <cell r="AS672">
            <v>7.9342011200694902</v>
          </cell>
        </row>
        <row r="673">
          <cell r="AS673">
            <v>11.871023982416418</v>
          </cell>
        </row>
        <row r="674">
          <cell r="AS674">
            <v>12.940900149394757</v>
          </cell>
        </row>
        <row r="675">
          <cell r="AS675">
            <v>22.255264456215194</v>
          </cell>
        </row>
        <row r="676">
          <cell r="AS676">
            <v>12.538935641186638</v>
          </cell>
        </row>
        <row r="677">
          <cell r="AS677">
            <v>16.905653803843627</v>
          </cell>
        </row>
        <row r="678">
          <cell r="AS678">
            <v>7.4032048799748171</v>
          </cell>
        </row>
        <row r="679">
          <cell r="AS679">
            <v>16.902237251809982</v>
          </cell>
        </row>
        <row r="680">
          <cell r="AS680">
            <v>17.987914301817614</v>
          </cell>
        </row>
        <row r="681">
          <cell r="AS681">
            <v>13.489536217079671</v>
          </cell>
        </row>
        <row r="682">
          <cell r="AS682">
            <v>9.8923461387566149</v>
          </cell>
        </row>
        <row r="683">
          <cell r="AS683">
            <v>14.481624009826524</v>
          </cell>
        </row>
        <row r="684">
          <cell r="AS684">
            <v>13.132754097967617</v>
          </cell>
        </row>
        <row r="685">
          <cell r="AS685">
            <v>24.44</v>
          </cell>
        </row>
        <row r="686">
          <cell r="AS686">
            <v>14.130400948432914</v>
          </cell>
        </row>
        <row r="687">
          <cell r="AS687">
            <v>11.806096753149067</v>
          </cell>
        </row>
        <row r="688">
          <cell r="AS688">
            <v>11.961675573910298</v>
          </cell>
        </row>
        <row r="689">
          <cell r="AS689">
            <v>11.641281758983904</v>
          </cell>
        </row>
        <row r="690">
          <cell r="AS690">
            <v>10.738590793153584</v>
          </cell>
        </row>
        <row r="691">
          <cell r="AS691">
            <v>12.455617307355961</v>
          </cell>
        </row>
        <row r="692">
          <cell r="AS692">
            <v>12.73647880470735</v>
          </cell>
        </row>
        <row r="693">
          <cell r="AS693">
            <v>10.663886477804446</v>
          </cell>
        </row>
        <row r="694">
          <cell r="AS694">
            <v>11.828583151418991</v>
          </cell>
        </row>
        <row r="695">
          <cell r="AS695">
            <v>15.416369102887977</v>
          </cell>
        </row>
        <row r="696">
          <cell r="AS696">
            <v>23.740881079774692</v>
          </cell>
        </row>
        <row r="697">
          <cell r="AS697">
            <v>14.718268086067452</v>
          </cell>
        </row>
        <row r="698">
          <cell r="AS698">
            <v>16.018685434811225</v>
          </cell>
        </row>
        <row r="699">
          <cell r="AS699">
            <v>9.9378567463288938</v>
          </cell>
        </row>
        <row r="700">
          <cell r="AS700">
            <v>17.228624676214679</v>
          </cell>
        </row>
        <row r="701">
          <cell r="AS701">
            <v>17.726387653041964</v>
          </cell>
        </row>
        <row r="702">
          <cell r="AS702">
            <v>16.288028991119468</v>
          </cell>
        </row>
        <row r="703">
          <cell r="AS703">
            <v>12.183791463220013</v>
          </cell>
        </row>
        <row r="704">
          <cell r="AS704">
            <v>17.211716526942826</v>
          </cell>
        </row>
        <row r="705">
          <cell r="AS705">
            <v>15.428979425437145</v>
          </cell>
        </row>
        <row r="706">
          <cell r="AS706">
            <v>27.05</v>
          </cell>
        </row>
        <row r="707">
          <cell r="AS707">
            <v>16.695433550429701</v>
          </cell>
        </row>
        <row r="708">
          <cell r="AS708">
            <v>14.282481470721422</v>
          </cell>
        </row>
        <row r="709">
          <cell r="AS709">
            <v>14.159283281051803</v>
          </cell>
        </row>
        <row r="710">
          <cell r="AS710">
            <v>14.264939611728479</v>
          </cell>
        </row>
        <row r="711">
          <cell r="AS711">
            <v>13.780813781174095</v>
          </cell>
        </row>
        <row r="712">
          <cell r="AS712">
            <v>14.867420850260403</v>
          </cell>
        </row>
        <row r="713">
          <cell r="AS713">
            <v>15.512868742378007</v>
          </cell>
        </row>
        <row r="714">
          <cell r="AS714">
            <v>13.678889560108367</v>
          </cell>
        </row>
        <row r="715">
          <cell r="AS715">
            <v>14.17362227365178</v>
          </cell>
        </row>
        <row r="716">
          <cell r="AS716">
            <v>18.537612565988127</v>
          </cell>
        </row>
        <row r="717">
          <cell r="AS717">
            <v>26.762714360071655</v>
          </cell>
        </row>
        <row r="718">
          <cell r="AS718">
            <v>17.466122038308477</v>
          </cell>
        </row>
        <row r="719">
          <cell r="AS719">
            <v>18.549534001557365</v>
          </cell>
        </row>
        <row r="720">
          <cell r="AS720">
            <v>13.00328736042751</v>
          </cell>
        </row>
        <row r="721">
          <cell r="AS721">
            <v>20.181486517167862</v>
          </cell>
        </row>
        <row r="722">
          <cell r="AS722">
            <v>20.566076671256436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Prices"/>
      <sheetName val="Predicted Gas Prices"/>
      <sheetName val="Gas-311"/>
      <sheetName val="Gas-312"/>
      <sheetName val="Gas-313"/>
      <sheetName val="Gas-314"/>
      <sheetName val="Gas-315"/>
      <sheetName val="Gas-316"/>
      <sheetName val="Gas-321"/>
      <sheetName val="Gas-322"/>
      <sheetName val="Gas-323"/>
      <sheetName val="Gas-324"/>
      <sheetName val="Gas-325"/>
      <sheetName val="Gas-326"/>
      <sheetName val="Sheet1"/>
      <sheetName val="Gas-327"/>
      <sheetName val="Gas-331"/>
      <sheetName val="Gas-332"/>
      <sheetName val="Gas-333"/>
      <sheetName val="Gas-334"/>
      <sheetName val="Gas-335"/>
      <sheetName val="Gas-336"/>
      <sheetName val="Gas-337"/>
      <sheetName val="Gas-339"/>
    </sheetNames>
    <sheetDataSet>
      <sheetData sheetId="0" refreshError="1"/>
      <sheetData sheetId="1">
        <row r="282">
          <cell r="AR282">
            <v>2.95</v>
          </cell>
        </row>
        <row r="283">
          <cell r="AR283">
            <v>3.22</v>
          </cell>
        </row>
        <row r="284">
          <cell r="AR284">
            <v>3.33</v>
          </cell>
        </row>
        <row r="285">
          <cell r="AR285">
            <v>3.5</v>
          </cell>
        </row>
        <row r="286">
          <cell r="AR286">
            <v>3.81</v>
          </cell>
        </row>
        <row r="287">
          <cell r="AR287">
            <v>3.64</v>
          </cell>
        </row>
        <row r="288">
          <cell r="AR288">
            <v>2.97</v>
          </cell>
        </row>
        <row r="289">
          <cell r="AR289">
            <v>2.7</v>
          </cell>
        </row>
        <row r="290">
          <cell r="AR290">
            <v>3.87</v>
          </cell>
        </row>
        <row r="291">
          <cell r="AR291">
            <v>2.4700000000000002</v>
          </cell>
        </row>
        <row r="292">
          <cell r="AR292">
            <v>2.38</v>
          </cell>
        </row>
        <row r="293">
          <cell r="AR293">
            <v>3.48</v>
          </cell>
        </row>
        <row r="294">
          <cell r="AR294">
            <v>2.95</v>
          </cell>
        </row>
        <row r="295">
          <cell r="AR295">
            <v>2.89</v>
          </cell>
        </row>
        <row r="296">
          <cell r="AR296">
            <v>3.49</v>
          </cell>
        </row>
        <row r="297">
          <cell r="AR297">
            <v>3.66</v>
          </cell>
        </row>
        <row r="298">
          <cell r="AR298">
            <v>3.71</v>
          </cell>
        </row>
        <row r="299">
          <cell r="AR299">
            <v>3.4</v>
          </cell>
        </row>
        <row r="300">
          <cell r="AR300">
            <v>3.24</v>
          </cell>
        </row>
        <row r="301">
          <cell r="AR301">
            <v>4.1900000000000004</v>
          </cell>
        </row>
        <row r="302">
          <cell r="AR302">
            <v>3.89</v>
          </cell>
        </row>
        <row r="303">
          <cell r="AR303">
            <v>3.0165421673945576</v>
          </cell>
        </row>
        <row r="304">
          <cell r="AR304">
            <v>3.0639123266827557</v>
          </cell>
        </row>
        <row r="305">
          <cell r="AR305">
            <v>3.391485935460623</v>
          </cell>
        </row>
        <row r="306">
          <cell r="AR306">
            <v>3.4802389286224313</v>
          </cell>
        </row>
        <row r="307">
          <cell r="AR307">
            <v>3.8671716826548863</v>
          </cell>
        </row>
        <row r="308">
          <cell r="AR308">
            <v>3.5959150992351456</v>
          </cell>
        </row>
        <row r="309">
          <cell r="AR309">
            <v>3.1642424162683223</v>
          </cell>
        </row>
        <row r="310">
          <cell r="AR310">
            <v>2.7189760008124466</v>
          </cell>
        </row>
        <row r="311">
          <cell r="AR311">
            <v>3.8886864485320052</v>
          </cell>
        </row>
        <row r="312">
          <cell r="AR312">
            <v>2.5192924169636304</v>
          </cell>
        </row>
        <row r="313">
          <cell r="AR313">
            <v>2.4221449318737847</v>
          </cell>
        </row>
        <row r="314">
          <cell r="AR314">
            <v>3.4735902377487706</v>
          </cell>
        </row>
        <row r="315">
          <cell r="AR315">
            <v>2.9321357927290528</v>
          </cell>
        </row>
        <row r="316">
          <cell r="AR316">
            <v>2.7666870923155233</v>
          </cell>
        </row>
        <row r="317">
          <cell r="AR317">
            <v>3.5185122027716145</v>
          </cell>
        </row>
        <row r="318">
          <cell r="AR318">
            <v>3.7260163982066343</v>
          </cell>
        </row>
        <row r="319">
          <cell r="AR319">
            <v>3.662897355098258</v>
          </cell>
        </row>
        <row r="320">
          <cell r="AR320">
            <v>3.3737091546381959</v>
          </cell>
        </row>
        <row r="321">
          <cell r="AR321">
            <v>3.257733352457465</v>
          </cell>
        </row>
        <row r="322">
          <cell r="AR322">
            <v>4.1263722428503042</v>
          </cell>
        </row>
        <row r="323">
          <cell r="AR323">
            <v>3.8957321201182156</v>
          </cell>
        </row>
        <row r="324">
          <cell r="AR324">
            <v>4.3210863744195454</v>
          </cell>
        </row>
        <row r="325">
          <cell r="AR325">
            <v>4.1094200943730304</v>
          </cell>
        </row>
        <row r="326">
          <cell r="AR326">
            <v>4.9981134060991312</v>
          </cell>
        </row>
        <row r="327">
          <cell r="AR327">
            <v>5.0130727666280315</v>
          </cell>
        </row>
        <row r="328">
          <cell r="AR328">
            <v>5.6596390551886131</v>
          </cell>
        </row>
        <row r="329">
          <cell r="AR329">
            <v>5.2049813294786169</v>
          </cell>
        </row>
        <row r="330">
          <cell r="AR330">
            <v>4.8423232640363283</v>
          </cell>
        </row>
        <row r="331">
          <cell r="AR331">
            <v>3.8870584269895265</v>
          </cell>
        </row>
        <row r="332">
          <cell r="AR332">
            <v>5.4543044690566234</v>
          </cell>
        </row>
        <row r="333">
          <cell r="AR333">
            <v>3.6935037210411945</v>
          </cell>
        </row>
        <row r="334">
          <cell r="AR334">
            <v>3.5844207132869519</v>
          </cell>
        </row>
        <row r="335">
          <cell r="AR335">
            <v>4.7650625785097898</v>
          </cell>
        </row>
        <row r="336">
          <cell r="AR336">
            <v>4.1460847170427808</v>
          </cell>
        </row>
        <row r="337">
          <cell r="AR337">
            <v>3.6901241873105963</v>
          </cell>
        </row>
        <row r="338">
          <cell r="AR338">
            <v>5.0039497926710998</v>
          </cell>
        </row>
        <row r="339">
          <cell r="AR339">
            <v>5.3847656700737137</v>
          </cell>
        </row>
        <row r="340">
          <cell r="AR340">
            <v>4.9480791608419787</v>
          </cell>
        </row>
        <row r="341">
          <cell r="AR341">
            <v>4.7336051349425148</v>
          </cell>
        </row>
        <row r="342">
          <cell r="AR342">
            <v>4.6936121844795071</v>
          </cell>
        </row>
        <row r="343">
          <cell r="AR343">
            <v>5.8775310801585618</v>
          </cell>
        </row>
        <row r="344">
          <cell r="AR344">
            <v>5.6304216832080165</v>
          </cell>
        </row>
        <row r="345">
          <cell r="AR345">
            <v>5.262383592291255</v>
          </cell>
        </row>
        <row r="346">
          <cell r="AR346">
            <v>5.1205849907174477</v>
          </cell>
        </row>
        <row r="347">
          <cell r="AR347">
            <v>5.951027150316226</v>
          </cell>
        </row>
        <row r="348">
          <cell r="AR348">
            <v>5.889039527586907</v>
          </cell>
        </row>
        <row r="349">
          <cell r="AR349">
            <v>6.7179428666197536</v>
          </cell>
        </row>
        <row r="350">
          <cell r="AR350">
            <v>6.1146374658339502</v>
          </cell>
        </row>
        <row r="351">
          <cell r="AR351">
            <v>5.8926263138621602</v>
          </cell>
        </row>
        <row r="352">
          <cell r="AR352">
            <v>4.8586393953829967</v>
          </cell>
        </row>
        <row r="353">
          <cell r="AR353">
            <v>6.365451439892059</v>
          </cell>
        </row>
        <row r="354">
          <cell r="AR354">
            <v>4.3917878036474782</v>
          </cell>
        </row>
        <row r="355">
          <cell r="AR355">
            <v>4.3071638128709724</v>
          </cell>
        </row>
        <row r="356">
          <cell r="AR356">
            <v>5.8219723456966213</v>
          </cell>
        </row>
        <row r="357">
          <cell r="AR357">
            <v>5.0768451359738949</v>
          </cell>
        </row>
        <row r="358">
          <cell r="AR358">
            <v>4.6411531285257865</v>
          </cell>
        </row>
        <row r="359">
          <cell r="AR359">
            <v>6.0362043738982356</v>
          </cell>
        </row>
        <row r="360">
          <cell r="AR360">
            <v>6.5085068377887403</v>
          </cell>
        </row>
        <row r="361">
          <cell r="AR361">
            <v>6.1755082875558518</v>
          </cell>
        </row>
        <row r="362">
          <cell r="AR362">
            <v>5.8313580443156274</v>
          </cell>
        </row>
        <row r="363">
          <cell r="AR363">
            <v>5.5295063905319219</v>
          </cell>
        </row>
        <row r="364">
          <cell r="AR364">
            <v>6.8608955890423013</v>
          </cell>
        </row>
        <row r="365">
          <cell r="AR365">
            <v>6.6336292511944555</v>
          </cell>
        </row>
        <row r="366">
          <cell r="AR366">
            <v>4.38</v>
          </cell>
        </row>
        <row r="367">
          <cell r="AR367">
            <v>4.3899999999999997</v>
          </cell>
        </row>
        <row r="368">
          <cell r="AR368">
            <v>4.6100000000000003</v>
          </cell>
        </row>
        <row r="369">
          <cell r="AR369">
            <v>4.46</v>
          </cell>
        </row>
        <row r="370">
          <cell r="AR370">
            <v>5.2</v>
          </cell>
        </row>
        <row r="371">
          <cell r="AR371">
            <v>4.57</v>
          </cell>
        </row>
        <row r="372">
          <cell r="AR372">
            <v>4.74</v>
          </cell>
        </row>
        <row r="373">
          <cell r="AR373">
            <v>4.1500000000000004</v>
          </cell>
        </row>
        <row r="374">
          <cell r="AR374">
            <v>4.9800000000000004</v>
          </cell>
        </row>
        <row r="375">
          <cell r="AR375">
            <v>3.42</v>
          </cell>
        </row>
        <row r="376">
          <cell r="AR376">
            <v>3.37</v>
          </cell>
        </row>
        <row r="377">
          <cell r="AR377">
            <v>4.9800000000000004</v>
          </cell>
        </row>
        <row r="378">
          <cell r="AR378">
            <v>4.2</v>
          </cell>
        </row>
        <row r="379">
          <cell r="AR379">
            <v>4.08</v>
          </cell>
        </row>
        <row r="380">
          <cell r="AR380">
            <v>4.92</v>
          </cell>
        </row>
        <row r="381">
          <cell r="AR381">
            <v>5.28</v>
          </cell>
        </row>
        <row r="382">
          <cell r="AR382">
            <v>5.47</v>
          </cell>
        </row>
        <row r="383">
          <cell r="AR383">
            <v>4.9000000000000004</v>
          </cell>
        </row>
        <row r="384">
          <cell r="AR384">
            <v>4.26</v>
          </cell>
        </row>
        <row r="385">
          <cell r="AR385">
            <v>5.15</v>
          </cell>
        </row>
        <row r="386">
          <cell r="AR386">
            <v>5.07</v>
          </cell>
        </row>
        <row r="387">
          <cell r="AR387">
            <v>5.7540039738093194</v>
          </cell>
        </row>
        <row r="388">
          <cell r="AR388">
            <v>5.6799019240177273</v>
          </cell>
        </row>
        <row r="389">
          <cell r="AR389">
            <v>6.6895276841866949</v>
          </cell>
        </row>
        <row r="390">
          <cell r="AR390">
            <v>6.6120300449513962</v>
          </cell>
        </row>
        <row r="391">
          <cell r="AR391">
            <v>7.3346503764763753</v>
          </cell>
        </row>
        <row r="392">
          <cell r="AR392">
            <v>7.0370187398498185</v>
          </cell>
        </row>
        <row r="393">
          <cell r="AR393">
            <v>6.6283838703719029</v>
          </cell>
        </row>
        <row r="394">
          <cell r="AR394">
            <v>5.5432293421389058</v>
          </cell>
        </row>
        <row r="395">
          <cell r="AR395">
            <v>6.6757290742796576</v>
          </cell>
        </row>
        <row r="396">
          <cell r="AR396">
            <v>4.9924936376976206</v>
          </cell>
        </row>
        <row r="397">
          <cell r="AR397">
            <v>5.0939205820964073</v>
          </cell>
        </row>
        <row r="398">
          <cell r="AR398">
            <v>6.3773113125759924</v>
          </cell>
        </row>
        <row r="399">
          <cell r="AR399">
            <v>5.6757467534949191</v>
          </cell>
        </row>
        <row r="400">
          <cell r="AR400">
            <v>5.1364779819632655</v>
          </cell>
        </row>
        <row r="401">
          <cell r="AR401">
            <v>6.6343050582111953</v>
          </cell>
        </row>
        <row r="402">
          <cell r="AR402">
            <v>7.3154310858315963</v>
          </cell>
        </row>
        <row r="403">
          <cell r="AR403">
            <v>6.6635800438970669</v>
          </cell>
        </row>
        <row r="404">
          <cell r="AR404">
            <v>6.4715368874614017</v>
          </cell>
        </row>
        <row r="405">
          <cell r="AR405">
            <v>5.9067937930154573</v>
          </cell>
        </row>
        <row r="406">
          <cell r="AR406">
            <v>7.6630010028188966</v>
          </cell>
        </row>
        <row r="407">
          <cell r="AR407">
            <v>7.4078964376866985</v>
          </cell>
        </row>
        <row r="408">
          <cell r="AR408">
            <v>6.3793989283151253</v>
          </cell>
        </row>
        <row r="409">
          <cell r="AR409">
            <v>6.9679628612545672</v>
          </cell>
        </row>
        <row r="410">
          <cell r="AR410">
            <v>7.3784279867132945</v>
          </cell>
        </row>
        <row r="411">
          <cell r="AR411">
            <v>7.3667246714579413</v>
          </cell>
        </row>
        <row r="412">
          <cell r="AR412">
            <v>7.9075346320617967</v>
          </cell>
        </row>
        <row r="413">
          <cell r="AR413">
            <v>8.0162014617921447</v>
          </cell>
        </row>
        <row r="414">
          <cell r="AR414">
            <v>7.1813131523940914</v>
          </cell>
        </row>
        <row r="415">
          <cell r="AR415">
            <v>6.561963775656352</v>
          </cell>
        </row>
        <row r="416">
          <cell r="AR416">
            <v>6.9792197337659641</v>
          </cell>
        </row>
        <row r="417">
          <cell r="AR417">
            <v>5.5525602769927023</v>
          </cell>
        </row>
        <row r="418">
          <cell r="AR418">
            <v>5.8879987227557464</v>
          </cell>
        </row>
        <row r="419">
          <cell r="AR419">
            <v>7.3228995881687258</v>
          </cell>
        </row>
        <row r="420">
          <cell r="AR420">
            <v>6.5848250292397417</v>
          </cell>
        </row>
        <row r="421">
          <cell r="AR421">
            <v>6.3223296454623972</v>
          </cell>
        </row>
        <row r="422">
          <cell r="AR422">
            <v>7.4090860996099392</v>
          </cell>
        </row>
        <row r="423">
          <cell r="AR423">
            <v>8.2336128908620587</v>
          </cell>
        </row>
        <row r="424">
          <cell r="AR424">
            <v>7.8103098430241049</v>
          </cell>
        </row>
        <row r="425">
          <cell r="AR425">
            <v>7.5341486876788437</v>
          </cell>
        </row>
        <row r="426">
          <cell r="AR426">
            <v>6.2772566544227946</v>
          </cell>
        </row>
        <row r="427">
          <cell r="AR427">
            <v>8.5426940706256342</v>
          </cell>
        </row>
        <row r="428">
          <cell r="AR428">
            <v>8.1897311766989702</v>
          </cell>
        </row>
        <row r="429">
          <cell r="AR429">
            <v>8.0951615578003135</v>
          </cell>
        </row>
        <row r="430">
          <cell r="AR430">
            <v>8.9650193348887868</v>
          </cell>
        </row>
        <row r="431">
          <cell r="AR431">
            <v>9.6481269367680369</v>
          </cell>
        </row>
        <row r="432">
          <cell r="AR432">
            <v>9.709843320641113</v>
          </cell>
        </row>
        <row r="433">
          <cell r="AR433">
            <v>10.255759862677104</v>
          </cell>
        </row>
        <row r="434">
          <cell r="AR434">
            <v>10.686684956227603</v>
          </cell>
        </row>
        <row r="435">
          <cell r="AR435">
            <v>9.2523232912582625</v>
          </cell>
        </row>
        <row r="436">
          <cell r="AR436">
            <v>8.4383684788053941</v>
          </cell>
        </row>
        <row r="437">
          <cell r="AR437">
            <v>8.865340386137019</v>
          </cell>
        </row>
        <row r="438">
          <cell r="AR438">
            <v>7.2635054700274218</v>
          </cell>
        </row>
        <row r="439">
          <cell r="AR439">
            <v>7.7903307702499802</v>
          </cell>
        </row>
        <row r="440">
          <cell r="AR440">
            <v>9.2510540396435061</v>
          </cell>
        </row>
        <row r="441">
          <cell r="AR441">
            <v>8.4929344931550244</v>
          </cell>
        </row>
        <row r="442">
          <cell r="AR442">
            <v>8.0626842622761892</v>
          </cell>
        </row>
        <row r="443">
          <cell r="AR443">
            <v>9.4952625237280319</v>
          </cell>
        </row>
        <row r="444">
          <cell r="AR444">
            <v>10.628880037577503</v>
          </cell>
        </row>
        <row r="445">
          <cell r="AR445">
            <v>9.7647440605816662</v>
          </cell>
        </row>
        <row r="446">
          <cell r="AR446">
            <v>9.658934724099403</v>
          </cell>
        </row>
        <row r="447">
          <cell r="AR447">
            <v>8.0985914295385086</v>
          </cell>
        </row>
        <row r="448">
          <cell r="AR448">
            <v>11.279053423531664</v>
          </cell>
        </row>
        <row r="449">
          <cell r="AR449">
            <v>10.740422376597557</v>
          </cell>
        </row>
        <row r="450">
          <cell r="AR450">
            <v>7.54</v>
          </cell>
        </row>
        <row r="451">
          <cell r="AR451">
            <v>9.24</v>
          </cell>
        </row>
        <row r="452">
          <cell r="AR452">
            <v>8.7799999999999994</v>
          </cell>
        </row>
        <row r="453">
          <cell r="AR453">
            <v>8.9</v>
          </cell>
        </row>
        <row r="454">
          <cell r="AR454">
            <v>9.08</v>
          </cell>
        </row>
        <row r="455">
          <cell r="AR455">
            <v>10</v>
          </cell>
        </row>
        <row r="456">
          <cell r="AR456">
            <v>8.31</v>
          </cell>
        </row>
        <row r="457">
          <cell r="AR457">
            <v>8.42</v>
          </cell>
        </row>
        <row r="458">
          <cell r="AR458">
            <v>7.61</v>
          </cell>
        </row>
        <row r="459">
          <cell r="AR459">
            <v>6.69</v>
          </cell>
        </row>
        <row r="460">
          <cell r="AR460">
            <v>7.47</v>
          </cell>
        </row>
        <row r="461">
          <cell r="AR461">
            <v>9.02</v>
          </cell>
        </row>
        <row r="462">
          <cell r="AR462">
            <v>8.26</v>
          </cell>
        </row>
        <row r="463">
          <cell r="AR463">
            <v>8.39</v>
          </cell>
        </row>
        <row r="464">
          <cell r="AR464">
            <v>8.8699999999999992</v>
          </cell>
        </row>
        <row r="465">
          <cell r="AR465">
            <v>10</v>
          </cell>
        </row>
        <row r="466">
          <cell r="AR466">
            <v>9.7799999999999994</v>
          </cell>
        </row>
        <row r="467">
          <cell r="AR467">
            <v>9.4600000000000009</v>
          </cell>
        </row>
        <row r="468">
          <cell r="AR468">
            <v>7.04</v>
          </cell>
        </row>
        <row r="469">
          <cell r="AR469">
            <v>10.33</v>
          </cell>
        </row>
        <row r="470">
          <cell r="AR470">
            <v>9.7799999999999994</v>
          </cell>
        </row>
        <row r="471">
          <cell r="AR471">
            <v>7.4884476524197208</v>
          </cell>
        </row>
        <row r="472">
          <cell r="AR472">
            <v>8.9044213855757022</v>
          </cell>
        </row>
        <row r="473">
          <cell r="AR473">
            <v>8.789013886582552</v>
          </cell>
        </row>
        <row r="474">
          <cell r="AR474">
            <v>8.8362642322560738</v>
          </cell>
        </row>
        <row r="475">
          <cell r="AR475">
            <v>9.4889258140595754</v>
          </cell>
        </row>
        <row r="476">
          <cell r="AR476">
            <v>9.8916244760929004</v>
          </cell>
        </row>
        <row r="477">
          <cell r="AR477">
            <v>8.3230050648950975</v>
          </cell>
        </row>
        <row r="478">
          <cell r="AR478">
            <v>8.0443283652155007</v>
          </cell>
        </row>
        <row r="479">
          <cell r="AR479">
            <v>7.9270543400054629</v>
          </cell>
        </row>
        <row r="480">
          <cell r="AR480">
            <v>6.5746389716863227</v>
          </cell>
        </row>
        <row r="481">
          <cell r="AR481">
            <v>7.1550866357588569</v>
          </cell>
        </row>
        <row r="482">
          <cell r="AR482">
            <v>8.7638079230362713</v>
          </cell>
        </row>
        <row r="483">
          <cell r="AR483">
            <v>8.0377120193733962</v>
          </cell>
        </row>
        <row r="484">
          <cell r="AR484">
            <v>7.9427331162932004</v>
          </cell>
        </row>
        <row r="485">
          <cell r="AR485">
            <v>8.7719982574925357</v>
          </cell>
        </row>
        <row r="486">
          <cell r="AR486">
            <v>9.7434318442179091</v>
          </cell>
        </row>
        <row r="487">
          <cell r="AR487">
            <v>9.3683166022729054</v>
          </cell>
        </row>
        <row r="488">
          <cell r="AR488">
            <v>9.2027965234005009</v>
          </cell>
        </row>
        <row r="489">
          <cell r="AR489">
            <v>7.365670846714691</v>
          </cell>
        </row>
        <row r="490">
          <cell r="AR490">
            <v>10.447925952557497</v>
          </cell>
        </row>
        <row r="491">
          <cell r="AR491">
            <v>9.9370121510510376</v>
          </cell>
        </row>
        <row r="492">
          <cell r="AR492">
            <v>9.4095640528079976</v>
          </cell>
        </row>
        <row r="493">
          <cell r="AR493">
            <v>10.429617001709738</v>
          </cell>
        </row>
        <row r="494">
          <cell r="AR494">
            <v>11.294025637683228</v>
          </cell>
        </row>
        <row r="495">
          <cell r="AR495">
            <v>11.280566395054189</v>
          </cell>
        </row>
        <row r="496">
          <cell r="AR496">
            <v>12.701021588692658</v>
          </cell>
        </row>
        <row r="497">
          <cell r="AR497">
            <v>12.453723856122323</v>
          </cell>
        </row>
        <row r="498">
          <cell r="AR498">
            <v>10.732979903751222</v>
          </cell>
        </row>
        <row r="499">
          <cell r="AR499">
            <v>9.4758588418525278</v>
          </cell>
        </row>
        <row r="500">
          <cell r="AR500">
            <v>10.742998142460529</v>
          </cell>
        </row>
        <row r="501">
          <cell r="AR501">
            <v>8.2764546071720755</v>
          </cell>
        </row>
        <row r="502">
          <cell r="AR502">
            <v>8.6437958837231523</v>
          </cell>
        </row>
        <row r="503">
          <cell r="AR503">
            <v>10.550934659603755</v>
          </cell>
        </row>
        <row r="504">
          <cell r="AR504">
            <v>9.7649827142275498</v>
          </cell>
        </row>
        <row r="505">
          <cell r="AR505">
            <v>9.1067111711509341</v>
          </cell>
        </row>
        <row r="506">
          <cell r="AR506">
            <v>10.999855963540529</v>
          </cell>
        </row>
        <row r="507">
          <cell r="AR507">
            <v>12.03623060599142</v>
          </cell>
        </row>
        <row r="508">
          <cell r="AR508">
            <v>11.023122057408338</v>
          </cell>
        </row>
        <row r="509">
          <cell r="AR509">
            <v>11.129902081243566</v>
          </cell>
        </row>
        <row r="510">
          <cell r="AR510">
            <v>9.9821920834952387</v>
          </cell>
        </row>
        <row r="511">
          <cell r="AR511">
            <v>13.497430250008616</v>
          </cell>
        </row>
        <row r="512">
          <cell r="AR512">
            <v>12.886955556133097</v>
          </cell>
        </row>
        <row r="513">
          <cell r="AR513">
            <v>5.9606706355023391</v>
          </cell>
        </row>
        <row r="514">
          <cell r="AR514">
            <v>7.6509069644834078</v>
          </cell>
        </row>
        <row r="515">
          <cell r="AR515">
            <v>6.5249864693310924</v>
          </cell>
        </row>
        <row r="516">
          <cell r="AR516">
            <v>6.415729445986921</v>
          </cell>
        </row>
        <row r="517">
          <cell r="AR517">
            <v>7.7438791925115078</v>
          </cell>
        </row>
        <row r="518">
          <cell r="AR518">
            <v>7.2332963732510152</v>
          </cell>
        </row>
        <row r="519">
          <cell r="AR519">
            <v>6.1574999727780657</v>
          </cell>
        </row>
        <row r="520">
          <cell r="AR520">
            <v>6.3244183032520134</v>
          </cell>
        </row>
        <row r="521">
          <cell r="AR521">
            <v>6.2764640829196034</v>
          </cell>
        </row>
        <row r="522">
          <cell r="AR522">
            <v>4.6824982510137723</v>
          </cell>
        </row>
        <row r="523">
          <cell r="AR523">
            <v>4.9573602346229464</v>
          </cell>
        </row>
        <row r="524">
          <cell r="AR524">
            <v>7.1257131894960626</v>
          </cell>
        </row>
        <row r="525">
          <cell r="AR525">
            <v>6.3723882480137384</v>
          </cell>
        </row>
        <row r="526">
          <cell r="AR526">
            <v>6.6855402488785485</v>
          </cell>
        </row>
        <row r="527">
          <cell r="AR527">
            <v>6.8347440465588889</v>
          </cell>
        </row>
        <row r="528">
          <cell r="AR528">
            <v>7.2271749092427173</v>
          </cell>
        </row>
        <row r="529">
          <cell r="AR529">
            <v>7.8497665734824738</v>
          </cell>
        </row>
        <row r="530">
          <cell r="AR530">
            <v>7.4568571716223815</v>
          </cell>
        </row>
        <row r="531">
          <cell r="AR531">
            <v>5.9225207549409991</v>
          </cell>
        </row>
        <row r="532">
          <cell r="AR532">
            <v>8.0034776566268988</v>
          </cell>
        </row>
        <row r="533">
          <cell r="AR533">
            <v>7.6974993066104593</v>
          </cell>
        </row>
        <row r="534">
          <cell r="AR534">
            <v>5.85</v>
          </cell>
        </row>
        <row r="535">
          <cell r="AR535">
            <v>6.48</v>
          </cell>
        </row>
        <row r="536">
          <cell r="AR536">
            <v>6.95</v>
          </cell>
        </row>
        <row r="537">
          <cell r="AR537">
            <v>6.77</v>
          </cell>
        </row>
        <row r="538">
          <cell r="AR538">
            <v>8.6199999999999992</v>
          </cell>
        </row>
        <row r="539">
          <cell r="AR539">
            <v>7.57</v>
          </cell>
        </row>
        <row r="540">
          <cell r="AR540">
            <v>6.57</v>
          </cell>
        </row>
        <row r="541">
          <cell r="AR541">
            <v>5.55</v>
          </cell>
        </row>
        <row r="542">
          <cell r="AR542">
            <v>7.01</v>
          </cell>
        </row>
        <row r="543">
          <cell r="AR543">
            <v>4.87</v>
          </cell>
        </row>
        <row r="544">
          <cell r="AR544">
            <v>4.8600000000000003</v>
          </cell>
        </row>
        <row r="545">
          <cell r="AR545">
            <v>6.45</v>
          </cell>
        </row>
        <row r="546">
          <cell r="AR546">
            <v>5.9</v>
          </cell>
        </row>
        <row r="547">
          <cell r="AR547">
            <v>5.37</v>
          </cell>
        </row>
        <row r="548">
          <cell r="AR548">
            <v>6.73</v>
          </cell>
        </row>
        <row r="549">
          <cell r="AR549">
            <v>7.06</v>
          </cell>
        </row>
        <row r="550">
          <cell r="AR550">
            <v>6.56</v>
          </cell>
        </row>
        <row r="551">
          <cell r="AR551">
            <v>6.78</v>
          </cell>
        </row>
        <row r="552">
          <cell r="AR552">
            <v>6.63</v>
          </cell>
        </row>
        <row r="553">
          <cell r="AR553">
            <v>8.61</v>
          </cell>
        </row>
        <row r="554">
          <cell r="AR554">
            <v>8.32</v>
          </cell>
        </row>
        <row r="555">
          <cell r="AR555">
            <v>5.4369000350380485</v>
          </cell>
        </row>
        <row r="556">
          <cell r="AR556">
            <v>5.9870355840577743</v>
          </cell>
        </row>
        <row r="557">
          <cell r="AR557">
            <v>6.3864575394466341</v>
          </cell>
        </row>
        <row r="558">
          <cell r="AR558">
            <v>6.3017215271850482</v>
          </cell>
        </row>
        <row r="559">
          <cell r="AR559">
            <v>7.7644112930363463</v>
          </cell>
        </row>
        <row r="560">
          <cell r="AR560">
            <v>6.879054660697502</v>
          </cell>
        </row>
        <row r="561">
          <cell r="AR561">
            <v>6.0398484705500941</v>
          </cell>
        </row>
        <row r="562">
          <cell r="AR562">
            <v>5.249436260845302</v>
          </cell>
        </row>
        <row r="563">
          <cell r="AR563">
            <v>6.4859205284022154</v>
          </cell>
        </row>
        <row r="564">
          <cell r="AR564">
            <v>4.59002433386582</v>
          </cell>
        </row>
        <row r="565">
          <cell r="AR565">
            <v>4.5248374278200831</v>
          </cell>
        </row>
        <row r="566">
          <cell r="AR566">
            <v>6.2451780878857592</v>
          </cell>
        </row>
        <row r="567">
          <cell r="AR567">
            <v>5.4707641275456895</v>
          </cell>
        </row>
        <row r="568">
          <cell r="AR568">
            <v>5.1398572634461797</v>
          </cell>
        </row>
        <row r="569">
          <cell r="AR569">
            <v>6.2370728766195835</v>
          </cell>
        </row>
        <row r="570">
          <cell r="AR570">
            <v>6.6061188789413237</v>
          </cell>
        </row>
        <row r="571">
          <cell r="AR571">
            <v>6.342918461769802</v>
          </cell>
        </row>
        <row r="572">
          <cell r="AR572">
            <v>6.316781486207236</v>
          </cell>
        </row>
        <row r="573">
          <cell r="AR573">
            <v>6.1595563561306257</v>
          </cell>
        </row>
        <row r="574">
          <cell r="AR574">
            <v>7.8480640216626121</v>
          </cell>
        </row>
        <row r="575">
          <cell r="AR575">
            <v>7.5813127671085239</v>
          </cell>
        </row>
        <row r="576">
          <cell r="AR576">
            <v>4.1805745382997106</v>
          </cell>
        </row>
        <row r="577">
          <cell r="AR577">
            <v>4.6275901718997883</v>
          </cell>
        </row>
        <row r="578">
          <cell r="AR578">
            <v>4.8007445248525142</v>
          </cell>
        </row>
        <row r="579">
          <cell r="AR579">
            <v>4.8063418066243093</v>
          </cell>
        </row>
        <row r="580">
          <cell r="AR580">
            <v>5.7608577450759233</v>
          </cell>
        </row>
        <row r="581">
          <cell r="AR581">
            <v>5.0944862654971894</v>
          </cell>
        </row>
        <row r="582">
          <cell r="AR582">
            <v>4.5280807479542444</v>
          </cell>
        </row>
        <row r="583">
          <cell r="AR583">
            <v>4.1449548794684015</v>
          </cell>
        </row>
        <row r="584">
          <cell r="AR584">
            <v>4.9384863245631649</v>
          </cell>
        </row>
        <row r="585">
          <cell r="AR585">
            <v>3.5658715577947295</v>
          </cell>
        </row>
        <row r="586">
          <cell r="AR586">
            <v>3.4434753993472751</v>
          </cell>
        </row>
        <row r="587">
          <cell r="AR587">
            <v>5.1342603625398677</v>
          </cell>
        </row>
        <row r="588">
          <cell r="AR588">
            <v>4.1907031899913587</v>
          </cell>
        </row>
        <row r="589">
          <cell r="AR589">
            <v>4.1462098555296159</v>
          </cell>
        </row>
        <row r="590">
          <cell r="AR590">
            <v>4.7556885023836504</v>
          </cell>
        </row>
        <row r="591">
          <cell r="AR591">
            <v>5.0776182994852306</v>
          </cell>
        </row>
        <row r="592">
          <cell r="AR592">
            <v>5.1680858699331065</v>
          </cell>
        </row>
        <row r="593">
          <cell r="AR593">
            <v>4.8875734954380503</v>
          </cell>
        </row>
        <row r="594">
          <cell r="AR594">
            <v>4.7509549334723769</v>
          </cell>
        </row>
        <row r="595">
          <cell r="AR595">
            <v>5.8855769116068863</v>
          </cell>
        </row>
        <row r="596">
          <cell r="AR596">
            <v>5.6988536873281532</v>
          </cell>
        </row>
        <row r="597">
          <cell r="AR597">
            <v>4.6330667534462942</v>
          </cell>
        </row>
        <row r="598">
          <cell r="AR598">
            <v>4.5951895981370585</v>
          </cell>
        </row>
        <row r="599">
          <cell r="AR599">
            <v>5.556515221258727</v>
          </cell>
        </row>
        <row r="600">
          <cell r="AR600">
            <v>5.6637405256672952</v>
          </cell>
        </row>
        <row r="601">
          <cell r="AR601">
            <v>6.3869445887011285</v>
          </cell>
        </row>
        <row r="602">
          <cell r="AR602">
            <v>5.8150776611325696</v>
          </cell>
        </row>
        <row r="603">
          <cell r="AR603">
            <v>5.2648989561694552</v>
          </cell>
        </row>
        <row r="604">
          <cell r="AR604">
            <v>4.4800475933086599</v>
          </cell>
        </row>
        <row r="605">
          <cell r="AR605">
            <v>5.7352484259744578</v>
          </cell>
        </row>
        <row r="606">
          <cell r="AR606">
            <v>4.2464035568116767</v>
          </cell>
        </row>
        <row r="607">
          <cell r="AR607">
            <v>4.0237372866731231</v>
          </cell>
        </row>
        <row r="608">
          <cell r="AR608">
            <v>5.662446802154574</v>
          </cell>
        </row>
        <row r="609">
          <cell r="AR609">
            <v>4.5294049860161802</v>
          </cell>
        </row>
        <row r="610">
          <cell r="AR610">
            <v>4.2486831838334016</v>
          </cell>
        </row>
        <row r="611">
          <cell r="AR611">
            <v>5.3120772905139404</v>
          </cell>
        </row>
        <row r="612">
          <cell r="AR612">
            <v>5.8180779076913058</v>
          </cell>
        </row>
        <row r="613">
          <cell r="AR613">
            <v>5.4851281653017336</v>
          </cell>
        </row>
        <row r="614">
          <cell r="AR614">
            <v>5.2210974121160172</v>
          </cell>
        </row>
        <row r="615">
          <cell r="AR615">
            <v>5.4913893529235285</v>
          </cell>
        </row>
        <row r="616">
          <cell r="AR616">
            <v>6.673189486998985</v>
          </cell>
        </row>
        <row r="617">
          <cell r="AR617">
            <v>6.4364301172816472</v>
          </cell>
        </row>
        <row r="618">
          <cell r="AR618">
            <v>5.48</v>
          </cell>
        </row>
        <row r="619">
          <cell r="AR619">
            <v>5.35</v>
          </cell>
        </row>
        <row r="620">
          <cell r="AR620">
            <v>6.55</v>
          </cell>
        </row>
        <row r="621">
          <cell r="AR621">
            <v>6.76</v>
          </cell>
        </row>
        <row r="622">
          <cell r="AR622">
            <v>7.28</v>
          </cell>
        </row>
        <row r="623">
          <cell r="AR623">
            <v>6.79</v>
          </cell>
        </row>
        <row r="624">
          <cell r="AR624">
            <v>6.23</v>
          </cell>
        </row>
        <row r="625">
          <cell r="AR625">
            <v>5.36</v>
          </cell>
        </row>
        <row r="626">
          <cell r="AR626">
            <v>6.77</v>
          </cell>
        </row>
        <row r="627">
          <cell r="AR627">
            <v>5.0999999999999996</v>
          </cell>
        </row>
        <row r="628">
          <cell r="AR628">
            <v>4.82</v>
          </cell>
        </row>
        <row r="629">
          <cell r="AR629">
            <v>6.79</v>
          </cell>
        </row>
        <row r="630">
          <cell r="AR630">
            <v>5.36</v>
          </cell>
        </row>
        <row r="631">
          <cell r="AR631">
            <v>5.1100000000000003</v>
          </cell>
        </row>
        <row r="632">
          <cell r="AR632">
            <v>6.3</v>
          </cell>
        </row>
        <row r="633">
          <cell r="AR633">
            <v>6.98</v>
          </cell>
        </row>
        <row r="634">
          <cell r="AR634">
            <v>6.65</v>
          </cell>
        </row>
        <row r="635">
          <cell r="AR635">
            <v>6.18</v>
          </cell>
        </row>
        <row r="636">
          <cell r="AR636">
            <v>6.45</v>
          </cell>
        </row>
        <row r="637">
          <cell r="AR637">
            <v>7.74</v>
          </cell>
        </row>
        <row r="638">
          <cell r="AR638">
            <v>7.44</v>
          </cell>
        </row>
        <row r="639">
          <cell r="AR639">
            <v>4.0734262451507934</v>
          </cell>
        </row>
        <row r="640">
          <cell r="AR640">
            <v>4.3113647511588571</v>
          </cell>
        </row>
        <row r="641">
          <cell r="AR641">
            <v>4.5888588207357603</v>
          </cell>
        </row>
        <row r="642">
          <cell r="AR642">
            <v>4.7893987688598232</v>
          </cell>
        </row>
        <row r="643">
          <cell r="AR643">
            <v>5.0775093166922405</v>
          </cell>
        </row>
        <row r="644">
          <cell r="AR644">
            <v>4.6917697183355864</v>
          </cell>
        </row>
        <row r="645">
          <cell r="AR645">
            <v>4.3466666061734776</v>
          </cell>
        </row>
        <row r="646">
          <cell r="AR646">
            <v>4.1987807092256126</v>
          </cell>
        </row>
        <row r="647">
          <cell r="AR647">
            <v>4.8065868509324519</v>
          </cell>
        </row>
        <row r="648">
          <cell r="AR648">
            <v>3.6722183355861602</v>
          </cell>
        </row>
        <row r="649">
          <cell r="AR649">
            <v>3.4335664071307423</v>
          </cell>
        </row>
        <row r="650">
          <cell r="AR650">
            <v>5.465485597609729</v>
          </cell>
        </row>
        <row r="651">
          <cell r="AR651">
            <v>4.0407541504225062</v>
          </cell>
        </row>
        <row r="652">
          <cell r="AR652">
            <v>4.2642286474602908</v>
          </cell>
        </row>
        <row r="653">
          <cell r="AR653">
            <v>4.6183178796152129</v>
          </cell>
        </row>
        <row r="654">
          <cell r="AR654">
            <v>5.1009391419489098</v>
          </cell>
        </row>
        <row r="655">
          <cell r="AR655">
            <v>5.4782087683181775</v>
          </cell>
        </row>
        <row r="656">
          <cell r="AR656">
            <v>4.7534424044878456</v>
          </cell>
        </row>
        <row r="657">
          <cell r="AR657">
            <v>4.650046122091112</v>
          </cell>
        </row>
        <row r="658">
          <cell r="AR658">
            <v>5.4366170147264414</v>
          </cell>
        </row>
        <row r="659">
          <cell r="AR659">
            <v>5.2455540146899091</v>
          </cell>
        </row>
        <row r="660">
          <cell r="AR660">
            <v>3.5213492876067067</v>
          </cell>
        </row>
        <row r="661">
          <cell r="AR661">
            <v>3.4551064705256636</v>
          </cell>
        </row>
        <row r="662">
          <cell r="AR662">
            <v>4.10154495194889</v>
          </cell>
        </row>
        <row r="663">
          <cell r="AR663">
            <v>4.2997342205159006</v>
          </cell>
        </row>
        <row r="664">
          <cell r="AR664">
            <v>4.5302237529612217</v>
          </cell>
        </row>
        <row r="665">
          <cell r="AR665">
            <v>4.1703912847098845</v>
          </cell>
        </row>
        <row r="666">
          <cell r="AR666">
            <v>3.8786867931620392</v>
          </cell>
        </row>
        <row r="667">
          <cell r="AR667">
            <v>3.5447136203270535</v>
          </cell>
        </row>
        <row r="668">
          <cell r="AR668">
            <v>4.3187084320732438</v>
          </cell>
        </row>
        <row r="669">
          <cell r="AR669">
            <v>3.317436225034843</v>
          </cell>
        </row>
        <row r="670">
          <cell r="AR670">
            <v>3.0456885121070996</v>
          </cell>
        </row>
        <row r="671">
          <cell r="AR671">
            <v>4.7394429056650011</v>
          </cell>
        </row>
        <row r="672">
          <cell r="AR672">
            <v>3.4126549100122245</v>
          </cell>
        </row>
        <row r="673">
          <cell r="AR673">
            <v>3.4604077175555412</v>
          </cell>
        </row>
        <row r="674">
          <cell r="AR674">
            <v>3.9944919496146412</v>
          </cell>
        </row>
        <row r="675">
          <cell r="AR675">
            <v>4.4588177577261652</v>
          </cell>
        </row>
        <row r="676">
          <cell r="AR676">
            <v>4.548631614483492</v>
          </cell>
        </row>
        <row r="677">
          <cell r="AR677">
            <v>3.9897031258454181</v>
          </cell>
        </row>
        <row r="678">
          <cell r="AR678">
            <v>4.2027848554592069</v>
          </cell>
        </row>
        <row r="679">
          <cell r="AR679">
            <v>4.8642612426281637</v>
          </cell>
        </row>
        <row r="680">
          <cell r="AR680">
            <v>4.7002674365219477</v>
          </cell>
        </row>
        <row r="681">
          <cell r="AR681">
            <v>3.9893261762010823</v>
          </cell>
        </row>
        <row r="682">
          <cell r="AR682">
            <v>3.7798379080924747</v>
          </cell>
        </row>
        <row r="683">
          <cell r="AR683">
            <v>4.7671443824870554</v>
          </cell>
        </row>
        <row r="684">
          <cell r="AR684">
            <v>4.9685443353271124</v>
          </cell>
        </row>
        <row r="685">
          <cell r="AR685">
            <v>5.2777357424474918</v>
          </cell>
        </row>
        <row r="686">
          <cell r="AR686">
            <v>4.8825179257596245</v>
          </cell>
        </row>
        <row r="687">
          <cell r="AR687">
            <v>4.5178787328849799</v>
          </cell>
        </row>
        <row r="688">
          <cell r="AR688">
            <v>3.9218520821229621</v>
          </cell>
        </row>
        <row r="689">
          <cell r="AR689">
            <v>4.9850789553931385</v>
          </cell>
        </row>
        <row r="690">
          <cell r="AR690">
            <v>3.8020166687146912</v>
          </cell>
        </row>
        <row r="691">
          <cell r="AR691">
            <v>3.5142218575253517</v>
          </cell>
        </row>
        <row r="692">
          <cell r="AR692">
            <v>5.1705447725880092</v>
          </cell>
        </row>
        <row r="693">
          <cell r="AR693">
            <v>3.8464556979570492</v>
          </cell>
        </row>
        <row r="694">
          <cell r="AR694">
            <v>3.7198918980624116</v>
          </cell>
        </row>
        <row r="695">
          <cell r="AR695">
            <v>4.5556816015385291</v>
          </cell>
        </row>
        <row r="696">
          <cell r="AR696">
            <v>5.0884243846726331</v>
          </cell>
        </row>
        <row r="697">
          <cell r="AR697">
            <v>4.9166873038763601</v>
          </cell>
        </row>
        <row r="698">
          <cell r="AR698">
            <v>4.4548648303103899</v>
          </cell>
        </row>
        <row r="699">
          <cell r="AR699">
            <v>4.8136782928101018</v>
          </cell>
        </row>
        <row r="700">
          <cell r="AR700">
            <v>5.6460154679331289</v>
          </cell>
        </row>
        <row r="701">
          <cell r="AR701">
            <v>5.4450491042635543</v>
          </cell>
        </row>
        <row r="702">
          <cell r="AR702">
            <v>4.168330465831291</v>
          </cell>
        </row>
        <row r="703">
          <cell r="AR703">
            <v>4.0630150150030691</v>
          </cell>
        </row>
        <row r="704">
          <cell r="AR704">
            <v>4.9216585360048439</v>
          </cell>
        </row>
        <row r="705">
          <cell r="AR705">
            <v>5.1238038262654291</v>
          </cell>
        </row>
        <row r="706">
          <cell r="AR706">
            <v>5.4512653114353755</v>
          </cell>
        </row>
        <row r="707">
          <cell r="AR707">
            <v>5.0478330388604569</v>
          </cell>
        </row>
        <row r="708">
          <cell r="AR708">
            <v>4.6662625760349483</v>
          </cell>
        </row>
        <row r="709">
          <cell r="AR709">
            <v>4.1363767814579706</v>
          </cell>
        </row>
        <row r="710">
          <cell r="AR710">
            <v>5.1397721125923992</v>
          </cell>
        </row>
        <row r="711">
          <cell r="AR711">
            <v>3.9145085574260845</v>
          </cell>
        </row>
        <row r="712">
          <cell r="AR712">
            <v>3.6380544242942907</v>
          </cell>
        </row>
        <row r="713">
          <cell r="AR713">
            <v>5.4085041403052356</v>
          </cell>
        </row>
        <row r="714">
          <cell r="AR714">
            <v>4.05147283870292</v>
          </cell>
        </row>
        <row r="715">
          <cell r="AR715">
            <v>3.9863543905598009</v>
          </cell>
        </row>
        <row r="716">
          <cell r="AR716">
            <v>4.757501737032678</v>
          </cell>
        </row>
        <row r="717">
          <cell r="AR717">
            <v>5.2954450565931834</v>
          </cell>
        </row>
        <row r="718">
          <cell r="AR718">
            <v>5.2238974648800349</v>
          </cell>
        </row>
        <row r="719">
          <cell r="AR719">
            <v>4.7050177463405021</v>
          </cell>
        </row>
        <row r="720">
          <cell r="AR720">
            <v>4.9554928407665599</v>
          </cell>
        </row>
        <row r="721">
          <cell r="AR721">
            <v>5.827494127378924</v>
          </cell>
        </row>
        <row r="722">
          <cell r="AR722">
            <v>5.6179448485607129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G_Prices"/>
      <sheetName val="Gas_Prices_Jan13"/>
      <sheetName val="Predicted LPG Prices"/>
      <sheetName val="LPG-311"/>
      <sheetName val="LPG-312"/>
      <sheetName val="LPG-313"/>
      <sheetName val="LPG-314"/>
      <sheetName val="LPG-315"/>
      <sheetName val="LPG-316"/>
      <sheetName val="LPG-321"/>
      <sheetName val="LPG-322"/>
      <sheetName val="LPG-323"/>
      <sheetName val="LPG-324"/>
      <sheetName val="LPG-325"/>
      <sheetName val="LPG-326"/>
      <sheetName val="LPG-327"/>
      <sheetName val="LPG-331"/>
      <sheetName val="LPG-332"/>
      <sheetName val="LPG-333"/>
      <sheetName val="LPG-334"/>
      <sheetName val="LPG-335"/>
      <sheetName val="LPG-336"/>
      <sheetName val="LPG-337"/>
      <sheetName val="LPG-339"/>
    </sheetNames>
    <sheetDataSet>
      <sheetData sheetId="0" refreshError="1"/>
      <sheetData sheetId="1" refreshError="1"/>
      <sheetData sheetId="2">
        <row r="282">
          <cell r="AS282">
            <v>7.47</v>
          </cell>
        </row>
        <row r="283">
          <cell r="AS283">
            <v>6.77</v>
          </cell>
        </row>
        <row r="284">
          <cell r="AS284">
            <v>5.93</v>
          </cell>
        </row>
        <row r="285">
          <cell r="AS285">
            <v>8.35</v>
          </cell>
        </row>
        <row r="286">
          <cell r="AS286">
            <v>6.62</v>
          </cell>
        </row>
        <row r="287">
          <cell r="AS287">
            <v>8.25</v>
          </cell>
        </row>
        <row r="288">
          <cell r="AS288">
            <v>7.18</v>
          </cell>
        </row>
        <row r="289">
          <cell r="AS289">
            <v>7.28</v>
          </cell>
        </row>
        <row r="290">
          <cell r="AS290">
            <v>8.6</v>
          </cell>
        </row>
        <row r="291">
          <cell r="AS291">
            <v>4.29</v>
          </cell>
        </row>
        <row r="292">
          <cell r="AS292">
            <v>4.4400000000000004</v>
          </cell>
        </row>
        <row r="293">
          <cell r="AS293">
            <v>9.06</v>
          </cell>
        </row>
        <row r="294">
          <cell r="AS294">
            <v>8.57</v>
          </cell>
        </row>
        <row r="295">
          <cell r="AS295">
            <v>7.5</v>
          </cell>
        </row>
        <row r="296">
          <cell r="AS296">
            <v>8.83</v>
          </cell>
        </row>
        <row r="297">
          <cell r="AS297">
            <v>7.65</v>
          </cell>
        </row>
        <row r="298">
          <cell r="AS298">
            <v>7.9</v>
          </cell>
        </row>
        <row r="299">
          <cell r="AS299">
            <v>8</v>
          </cell>
        </row>
        <row r="300">
          <cell r="AS300">
            <v>8.0500000000000007</v>
          </cell>
        </row>
        <row r="301">
          <cell r="AS301">
            <v>7.82</v>
          </cell>
        </row>
        <row r="302">
          <cell r="AS302">
            <v>12.94</v>
          </cell>
        </row>
        <row r="303">
          <cell r="AS303">
            <v>7.6157407162722164</v>
          </cell>
        </row>
        <row r="304">
          <cell r="AS304">
            <v>7.6793856894896928</v>
          </cell>
        </row>
        <row r="305">
          <cell r="AS305">
            <v>7.4290799677234975</v>
          </cell>
        </row>
        <row r="306">
          <cell r="AS306">
            <v>9.0528128913833878</v>
          </cell>
        </row>
        <row r="307">
          <cell r="AS307">
            <v>8.0161564122356825</v>
          </cell>
        </row>
        <row r="308">
          <cell r="AS308">
            <v>6.9330077072677962</v>
          </cell>
        </row>
        <row r="309">
          <cell r="AS309">
            <v>7.0498243470246651</v>
          </cell>
        </row>
        <row r="310">
          <cell r="AS310">
            <v>7.9075163762953489</v>
          </cell>
        </row>
        <row r="311">
          <cell r="AS311">
            <v>8.1053898697760864</v>
          </cell>
        </row>
        <row r="312">
          <cell r="AS312">
            <v>5.5137593378730623</v>
          </cell>
        </row>
        <row r="313">
          <cell r="AS313">
            <v>5.2335321612460808</v>
          </cell>
        </row>
        <row r="314">
          <cell r="AS314">
            <v>8.03912202883029</v>
          </cell>
        </row>
        <row r="315">
          <cell r="AS315">
            <v>7.8239272214477387</v>
          </cell>
        </row>
        <row r="316">
          <cell r="AS316">
            <v>7.1405656728645077</v>
          </cell>
        </row>
        <row r="317">
          <cell r="AS317">
            <v>8.3860427720292741</v>
          </cell>
        </row>
        <row r="318">
          <cell r="AS318">
            <v>7.1932779011792327</v>
          </cell>
        </row>
        <row r="319">
          <cell r="AS319">
            <v>9.0321463284424919</v>
          </cell>
        </row>
        <row r="320">
          <cell r="AS320">
            <v>9.0308845202345278</v>
          </cell>
        </row>
        <row r="321">
          <cell r="AS321">
            <v>7.2181940880049353</v>
          </cell>
        </row>
        <row r="322">
          <cell r="AS322">
            <v>7.7084123475280606</v>
          </cell>
        </row>
        <row r="323">
          <cell r="AS323">
            <v>11.174599634621822</v>
          </cell>
        </row>
        <row r="324">
          <cell r="AS324">
            <v>9.4402655312838526</v>
          </cell>
        </row>
        <row r="325">
          <cell r="AS325">
            <v>10.13751970263403</v>
          </cell>
        </row>
        <row r="326">
          <cell r="AS326">
            <v>10.132828023226129</v>
          </cell>
        </row>
        <row r="327">
          <cell r="AS327">
            <v>11.028984065924231</v>
          </cell>
        </row>
        <row r="328">
          <cell r="AS328">
            <v>11.220260659721733</v>
          </cell>
        </row>
        <row r="329">
          <cell r="AS329">
            <v>8.4445990662044643</v>
          </cell>
        </row>
        <row r="330">
          <cell r="AS330">
            <v>8.8056511873758261</v>
          </cell>
        </row>
        <row r="331">
          <cell r="AS331">
            <v>10.09555569005285</v>
          </cell>
        </row>
        <row r="332">
          <cell r="AS332">
            <v>10.220226358530834</v>
          </cell>
        </row>
        <row r="333">
          <cell r="AS333">
            <v>7.9088555854716667</v>
          </cell>
        </row>
        <row r="334">
          <cell r="AS334">
            <v>6.8893652166746451</v>
          </cell>
        </row>
        <row r="335">
          <cell r="AS335">
            <v>9.7703139535300458</v>
          </cell>
        </row>
        <row r="336">
          <cell r="AS336">
            <v>9.4786446273941554</v>
          </cell>
        </row>
        <row r="337">
          <cell r="AS337">
            <v>8.7008870702785224</v>
          </cell>
        </row>
        <row r="338">
          <cell r="AS338">
            <v>10.647612855635595</v>
          </cell>
        </row>
        <row r="339">
          <cell r="AS339">
            <v>9.3124492427114305</v>
          </cell>
        </row>
        <row r="340">
          <cell r="AS340">
            <v>11.547705234157048</v>
          </cell>
        </row>
        <row r="341">
          <cell r="AS341">
            <v>11.474416320294488</v>
          </cell>
        </row>
        <row r="342">
          <cell r="AS342">
            <v>8.8426147339349761</v>
          </cell>
        </row>
        <row r="343">
          <cell r="AS343">
            <v>9.8687013974578406</v>
          </cell>
        </row>
        <row r="344">
          <cell r="AS344">
            <v>12.45425921591309</v>
          </cell>
        </row>
        <row r="345">
          <cell r="AS345">
            <v>9.3067495147172998</v>
          </cell>
        </row>
        <row r="346">
          <cell r="AS346">
            <v>9.838746151520855</v>
          </cell>
        </row>
        <row r="347">
          <cell r="AS347">
            <v>9.6758132741597453</v>
          </cell>
        </row>
        <row r="348">
          <cell r="AS348">
            <v>10.085144570441408</v>
          </cell>
        </row>
        <row r="349">
          <cell r="AS349">
            <v>12.054020683138422</v>
          </cell>
        </row>
        <row r="350">
          <cell r="AS350">
            <v>11.258102601352334</v>
          </cell>
        </row>
        <row r="351">
          <cell r="AS351">
            <v>9.4822512140453448</v>
          </cell>
        </row>
        <row r="352">
          <cell r="AS352">
            <v>9.7900206874782612</v>
          </cell>
        </row>
        <row r="353">
          <cell r="AS353">
            <v>12.25437581239251</v>
          </cell>
        </row>
        <row r="354">
          <cell r="AS354">
            <v>7.2306421194339476</v>
          </cell>
        </row>
        <row r="355">
          <cell r="AS355">
            <v>6.2827256289511482</v>
          </cell>
        </row>
        <row r="356">
          <cell r="AS356">
            <v>12.019666062971559</v>
          </cell>
        </row>
        <row r="357">
          <cell r="AS357">
            <v>11.040260430256215</v>
          </cell>
        </row>
        <row r="358">
          <cell r="AS358">
            <v>9.6907166157577755</v>
          </cell>
        </row>
        <row r="359">
          <cell r="AS359">
            <v>13.05518818952863</v>
          </cell>
        </row>
        <row r="360">
          <cell r="AS360">
            <v>11.277877377374118</v>
          </cell>
        </row>
        <row r="361">
          <cell r="AS361">
            <v>10.433518268811234</v>
          </cell>
        </row>
        <row r="362">
          <cell r="AS362">
            <v>11.335580138178241</v>
          </cell>
        </row>
        <row r="363">
          <cell r="AS363">
            <v>10.362978351293039</v>
          </cell>
        </row>
        <row r="364">
          <cell r="AS364">
            <v>10.968120073576758</v>
          </cell>
        </row>
        <row r="365">
          <cell r="AS365">
            <v>13.8869678653984</v>
          </cell>
        </row>
        <row r="366">
          <cell r="AS366">
            <v>8.31</v>
          </cell>
        </row>
        <row r="367">
          <cell r="AS367">
            <v>9.15</v>
          </cell>
        </row>
        <row r="368">
          <cell r="AS368">
            <v>9.35</v>
          </cell>
        </row>
        <row r="369">
          <cell r="AS369">
            <v>9.1</v>
          </cell>
        </row>
        <row r="370">
          <cell r="AS370">
            <v>12.07</v>
          </cell>
        </row>
        <row r="371">
          <cell r="AS371">
            <v>10.65</v>
          </cell>
        </row>
        <row r="372">
          <cell r="AS372">
            <v>8.7100000000000009</v>
          </cell>
        </row>
        <row r="373">
          <cell r="AS373">
            <v>8.9700000000000006</v>
          </cell>
        </row>
        <row r="374">
          <cell r="AS374">
            <v>11.68</v>
          </cell>
        </row>
        <row r="375">
          <cell r="AS375">
            <v>6.68</v>
          </cell>
        </row>
        <row r="376">
          <cell r="AS376">
            <v>5.77</v>
          </cell>
        </row>
        <row r="377">
          <cell r="AS377">
            <v>11.26</v>
          </cell>
        </row>
        <row r="378">
          <cell r="AS378">
            <v>10.210000000000001</v>
          </cell>
        </row>
        <row r="379">
          <cell r="AS379">
            <v>8.98</v>
          </cell>
        </row>
        <row r="380">
          <cell r="AS380">
            <v>12.66</v>
          </cell>
        </row>
        <row r="381">
          <cell r="AS381">
            <v>10.7</v>
          </cell>
        </row>
        <row r="382">
          <cell r="AS382">
            <v>9.4700000000000006</v>
          </cell>
        </row>
        <row r="383">
          <cell r="AS383">
            <v>10.87</v>
          </cell>
        </row>
        <row r="384">
          <cell r="AS384">
            <v>9.44</v>
          </cell>
        </row>
        <row r="385">
          <cell r="AS385">
            <v>10.220000000000001</v>
          </cell>
        </row>
        <row r="386">
          <cell r="AS386">
            <v>12.17</v>
          </cell>
        </row>
        <row r="387">
          <cell r="AS387">
            <v>8.8567278349353806</v>
          </cell>
        </row>
        <row r="388">
          <cell r="AS388">
            <v>10.031982814605367</v>
          </cell>
        </row>
        <row r="389">
          <cell r="AS389">
            <v>11.013097827985671</v>
          </cell>
        </row>
        <row r="390">
          <cell r="AS390">
            <v>10.470879891783127</v>
          </cell>
        </row>
        <row r="391">
          <cell r="AS391">
            <v>11.729667029844563</v>
          </cell>
        </row>
        <row r="392">
          <cell r="AS392">
            <v>7.2006795274008422</v>
          </cell>
        </row>
        <row r="393">
          <cell r="AS393">
            <v>7.8545285605580357</v>
          </cell>
        </row>
        <row r="394">
          <cell r="AS394">
            <v>9.6481765208935606</v>
          </cell>
        </row>
        <row r="395">
          <cell r="AS395">
            <v>10.617599250815299</v>
          </cell>
        </row>
        <row r="396">
          <cell r="AS396">
            <v>9.0683188077530144</v>
          </cell>
        </row>
        <row r="397">
          <cell r="AS397">
            <v>6.8753388602838754</v>
          </cell>
        </row>
        <row r="398">
          <cell r="AS398">
            <v>9.7347614359147912</v>
          </cell>
        </row>
        <row r="399">
          <cell r="AS399">
            <v>8.7786018688493357</v>
          </cell>
        </row>
        <row r="400">
          <cell r="AS400">
            <v>8.3099825118684745</v>
          </cell>
        </row>
        <row r="401">
          <cell r="AS401">
            <v>10.633909684123113</v>
          </cell>
        </row>
        <row r="402">
          <cell r="AS402">
            <v>9.3577587919638674</v>
          </cell>
        </row>
        <row r="403">
          <cell r="AS403">
            <v>10.466939044645015</v>
          </cell>
        </row>
        <row r="404">
          <cell r="AS404">
            <v>12.002228775222305</v>
          </cell>
        </row>
        <row r="405">
          <cell r="AS405">
            <v>7.7505909643445969</v>
          </cell>
        </row>
        <row r="406">
          <cell r="AS406">
            <v>9.7181985269079778</v>
          </cell>
        </row>
        <row r="407">
          <cell r="AS407">
            <v>10.412855777658512</v>
          </cell>
        </row>
        <row r="408">
          <cell r="AS408">
            <v>11.37369080934819</v>
          </cell>
        </row>
        <row r="409">
          <cell r="AS409">
            <v>12.702308651141134</v>
          </cell>
        </row>
        <row r="410">
          <cell r="AS410">
            <v>14.035920032276504</v>
          </cell>
        </row>
        <row r="411">
          <cell r="AS411">
            <v>13.291983860501121</v>
          </cell>
        </row>
        <row r="412">
          <cell r="AS412">
            <v>13.50309663480432</v>
          </cell>
        </row>
        <row r="413">
          <cell r="AS413">
            <v>7.2127422323213892</v>
          </cell>
        </row>
        <row r="414">
          <cell r="AS414">
            <v>9.2470024142436014</v>
          </cell>
        </row>
        <row r="415">
          <cell r="AS415">
            <v>12.137049842707032</v>
          </cell>
        </row>
        <row r="416">
          <cell r="AS416">
            <v>12.7089364567194</v>
          </cell>
        </row>
        <row r="417">
          <cell r="AS417">
            <v>12.778740662126935</v>
          </cell>
        </row>
        <row r="418">
          <cell r="AS418">
            <v>8.9539678387539201</v>
          </cell>
        </row>
        <row r="419">
          <cell r="AS419">
            <v>11.554216427929262</v>
          </cell>
        </row>
        <row r="420">
          <cell r="AS420">
            <v>10.248181484309409</v>
          </cell>
        </row>
        <row r="421">
          <cell r="AS421">
            <v>9.9444076214449311</v>
          </cell>
        </row>
        <row r="422">
          <cell r="AS422">
            <v>11.884753745551503</v>
          </cell>
        </row>
        <row r="423">
          <cell r="AS423">
            <v>11.126421226949775</v>
          </cell>
        </row>
        <row r="424">
          <cell r="AS424">
            <v>13.025353671557511</v>
          </cell>
        </row>
        <row r="425">
          <cell r="AS425">
            <v>14.763557924068177</v>
          </cell>
        </row>
        <row r="426">
          <cell r="AS426">
            <v>9.0288745668528048</v>
          </cell>
        </row>
        <row r="427">
          <cell r="AS427">
            <v>11.93163713574152</v>
          </cell>
        </row>
        <row r="428">
          <cell r="AS428">
            <v>12.343540366791318</v>
          </cell>
        </row>
        <row r="429">
          <cell r="AS429">
            <v>14.18073572852462</v>
          </cell>
        </row>
        <row r="430">
          <cell r="AS430">
            <v>15.437146540568115</v>
          </cell>
        </row>
        <row r="431">
          <cell r="AS431">
            <v>16.891758541231614</v>
          </cell>
        </row>
        <row r="432">
          <cell r="AS432">
            <v>16.026533364608895</v>
          </cell>
        </row>
        <row r="433">
          <cell r="AS433">
            <v>15.533019103896477</v>
          </cell>
        </row>
        <row r="434">
          <cell r="AS434">
            <v>8.6966639905659324</v>
          </cell>
        </row>
        <row r="435">
          <cell r="AS435">
            <v>11.204781984183805</v>
          </cell>
        </row>
        <row r="436">
          <cell r="AS436">
            <v>14.751670643491114</v>
          </cell>
        </row>
        <row r="437">
          <cell r="AS437">
            <v>15.884235323203967</v>
          </cell>
        </row>
        <row r="438">
          <cell r="AS438">
            <v>16.326798984459696</v>
          </cell>
        </row>
        <row r="439">
          <cell r="AS439">
            <v>10.913069960604611</v>
          </cell>
        </row>
        <row r="440">
          <cell r="AS440">
            <v>14.645776763384031</v>
          </cell>
        </row>
        <row r="441">
          <cell r="AS441">
            <v>12.711015874080026</v>
          </cell>
        </row>
        <row r="442">
          <cell r="AS442">
            <v>12.267084015430187</v>
          </cell>
        </row>
        <row r="443">
          <cell r="AS443">
            <v>14.308543481013434</v>
          </cell>
        </row>
        <row r="444">
          <cell r="AS444">
            <v>13.949275753386624</v>
          </cell>
        </row>
        <row r="445">
          <cell r="AS445">
            <v>15.392008139244174</v>
          </cell>
        </row>
        <row r="446">
          <cell r="AS446">
            <v>17.569257579534074</v>
          </cell>
        </row>
        <row r="447">
          <cell r="AS447">
            <v>11.321466576732956</v>
          </cell>
        </row>
        <row r="448">
          <cell r="AS448">
            <v>14.87714490853833</v>
          </cell>
        </row>
        <row r="449">
          <cell r="AS449">
            <v>15.591960486121708</v>
          </cell>
        </row>
        <row r="450">
          <cell r="AS450">
            <v>17.13</v>
          </cell>
        </row>
        <row r="451">
          <cell r="AS451">
            <v>18.39</v>
          </cell>
        </row>
        <row r="452">
          <cell r="AS452">
            <v>20.010000000000002</v>
          </cell>
        </row>
        <row r="453">
          <cell r="AS453">
            <v>19</v>
          </cell>
        </row>
        <row r="454">
          <cell r="AS454">
            <v>17.739999999999998</v>
          </cell>
        </row>
        <row r="455">
          <cell r="AS455">
            <v>10</v>
          </cell>
        </row>
        <row r="456">
          <cell r="AS456">
            <v>13.22</v>
          </cell>
        </row>
        <row r="457">
          <cell r="AS457">
            <v>17.559999999999999</v>
          </cell>
        </row>
        <row r="458">
          <cell r="AS458">
            <v>19.010000000000002</v>
          </cell>
        </row>
        <row r="459">
          <cell r="AS459">
            <v>20.13</v>
          </cell>
        </row>
        <row r="460">
          <cell r="AS460">
            <v>13.06</v>
          </cell>
        </row>
        <row r="461">
          <cell r="AS461">
            <v>17.63</v>
          </cell>
        </row>
        <row r="462">
          <cell r="AS462">
            <v>15.13</v>
          </cell>
        </row>
        <row r="463">
          <cell r="AS463">
            <v>14.6</v>
          </cell>
        </row>
        <row r="464">
          <cell r="AS464">
            <v>16.66</v>
          </cell>
        </row>
        <row r="465">
          <cell r="AS465">
            <v>16.73</v>
          </cell>
        </row>
        <row r="466">
          <cell r="AS466">
            <v>18.059999999999999</v>
          </cell>
        </row>
        <row r="467">
          <cell r="AS467">
            <v>20.58</v>
          </cell>
        </row>
        <row r="468">
          <cell r="AS468">
            <v>13.57</v>
          </cell>
        </row>
        <row r="469">
          <cell r="AS469">
            <v>17.87</v>
          </cell>
        </row>
        <row r="470">
          <cell r="AS470">
            <v>18.760000000000002</v>
          </cell>
        </row>
        <row r="471">
          <cell r="AS471">
            <v>19.503488559871233</v>
          </cell>
        </row>
        <row r="472">
          <cell r="AS472">
            <v>20.590519133103417</v>
          </cell>
        </row>
        <row r="473">
          <cell r="AS473">
            <v>20.78556919395912</v>
          </cell>
        </row>
        <row r="474">
          <cell r="AS474">
            <v>20.273648155982354</v>
          </cell>
        </row>
        <row r="475">
          <cell r="AS475">
            <v>21.115800264305026</v>
          </cell>
        </row>
        <row r="476">
          <cell r="AS476">
            <v>16.395135023422299</v>
          </cell>
        </row>
        <row r="477">
          <cell r="AS477">
            <v>16.94668944339934</v>
          </cell>
        </row>
        <row r="478">
          <cell r="AS478">
            <v>20.017885092816961</v>
          </cell>
        </row>
        <row r="479">
          <cell r="AS479">
            <v>22.104030434497783</v>
          </cell>
        </row>
        <row r="480">
          <cell r="AS480">
            <v>21.319515419678375</v>
          </cell>
        </row>
        <row r="481">
          <cell r="AS481">
            <v>14.222736363261749</v>
          </cell>
        </row>
        <row r="482">
          <cell r="AS482">
            <v>20.982650152178806</v>
          </cell>
        </row>
        <row r="483">
          <cell r="AS483">
            <v>18.875006363961592</v>
          </cell>
        </row>
        <row r="484">
          <cell r="AS484">
            <v>17.305248224247208</v>
          </cell>
        </row>
        <row r="485">
          <cell r="AS485">
            <v>21.201129139941713</v>
          </cell>
        </row>
        <row r="486">
          <cell r="AS486">
            <v>20.754964263088386</v>
          </cell>
        </row>
        <row r="487">
          <cell r="AS487">
            <v>21.273914099673007</v>
          </cell>
        </row>
        <row r="488">
          <cell r="AS488">
            <v>21.554826132862964</v>
          </cell>
        </row>
        <row r="489">
          <cell r="AS489">
            <v>18.2568727994155</v>
          </cell>
        </row>
        <row r="490">
          <cell r="AS490">
            <v>21.247819394608491</v>
          </cell>
        </row>
        <row r="491">
          <cell r="AS491">
            <v>23.542782533966516</v>
          </cell>
        </row>
        <row r="492">
          <cell r="AS492">
            <v>23.948471522104384</v>
          </cell>
        </row>
        <row r="493">
          <cell r="AS493">
            <v>25.828088757016154</v>
          </cell>
        </row>
        <row r="494">
          <cell r="AS494">
            <v>25.127433024016856</v>
          </cell>
        </row>
        <row r="495">
          <cell r="AS495">
            <v>24.818245629590482</v>
          </cell>
        </row>
        <row r="496">
          <cell r="AS496">
            <v>27.032431065819729</v>
          </cell>
        </row>
        <row r="497">
          <cell r="AS497">
            <v>20.830125566919719</v>
          </cell>
        </row>
        <row r="498">
          <cell r="AS498">
            <v>21.673208154268988</v>
          </cell>
        </row>
        <row r="499">
          <cell r="AS499">
            <v>25.199134113465501</v>
          </cell>
        </row>
        <row r="500">
          <cell r="AS500">
            <v>24.908130974593604</v>
          </cell>
        </row>
        <row r="501">
          <cell r="AS501">
            <v>25.976651987950177</v>
          </cell>
        </row>
        <row r="502">
          <cell r="AS502">
            <v>17.938224878608274</v>
          </cell>
        </row>
        <row r="503">
          <cell r="AS503">
            <v>23.31489965318389</v>
          </cell>
        </row>
        <row r="504">
          <cell r="AS504">
            <v>22.375615577330926</v>
          </cell>
        </row>
        <row r="505">
          <cell r="AS505">
            <v>20.402686940437945</v>
          </cell>
        </row>
        <row r="506">
          <cell r="AS506">
            <v>25.169591898143082</v>
          </cell>
        </row>
        <row r="507">
          <cell r="AS507">
            <v>24.581498707147002</v>
          </cell>
        </row>
        <row r="508">
          <cell r="AS508">
            <v>28.583277314240537</v>
          </cell>
        </row>
        <row r="509">
          <cell r="AS509">
            <v>25.380048740831871</v>
          </cell>
        </row>
        <row r="510">
          <cell r="AS510">
            <v>22.704136328945836</v>
          </cell>
        </row>
        <row r="511">
          <cell r="AS511">
            <v>25.546714847153282</v>
          </cell>
        </row>
        <row r="512">
          <cell r="AS512">
            <v>27.694392891197822</v>
          </cell>
        </row>
        <row r="513">
          <cell r="AS513">
            <v>19.146281711589495</v>
          </cell>
        </row>
        <row r="514">
          <cell r="AS514">
            <v>18.52037021335898</v>
          </cell>
        </row>
        <row r="515">
          <cell r="AS515">
            <v>15.418811632254588</v>
          </cell>
        </row>
        <row r="516">
          <cell r="AS516">
            <v>16.289118483560642</v>
          </cell>
        </row>
        <row r="517">
          <cell r="AS517">
            <v>21.885379358792189</v>
          </cell>
        </row>
        <row r="518">
          <cell r="AS518">
            <v>29.116015236749931</v>
          </cell>
        </row>
        <row r="519">
          <cell r="AS519">
            <v>20.743356921327969</v>
          </cell>
        </row>
        <row r="520">
          <cell r="AS520">
            <v>18.940371950010984</v>
          </cell>
        </row>
        <row r="521">
          <cell r="AS521">
            <v>25.851634360978935</v>
          </cell>
        </row>
        <row r="522">
          <cell r="AS522">
            <v>16.972057074472595</v>
          </cell>
        </row>
        <row r="523">
          <cell r="AS523">
            <v>11.596382172697707</v>
          </cell>
        </row>
        <row r="524">
          <cell r="AS524">
            <v>26.232593880250342</v>
          </cell>
        </row>
        <row r="525">
          <cell r="AS525">
            <v>24.084725913553537</v>
          </cell>
        </row>
        <row r="526">
          <cell r="AS526">
            <v>19.972636294075457</v>
          </cell>
        </row>
        <row r="527">
          <cell r="AS527">
            <v>28.178885993012312</v>
          </cell>
        </row>
        <row r="528">
          <cell r="AS528">
            <v>26.258440500716002</v>
          </cell>
        </row>
        <row r="529">
          <cell r="AS529">
            <v>19.757392845377439</v>
          </cell>
        </row>
        <row r="530">
          <cell r="AS530">
            <v>17.476385887847272</v>
          </cell>
        </row>
        <row r="531">
          <cell r="AS531">
            <v>25.281344892732015</v>
          </cell>
        </row>
        <row r="532">
          <cell r="AS532">
            <v>24.042018632854493</v>
          </cell>
        </row>
        <row r="533">
          <cell r="AS533">
            <v>30.718827213209348</v>
          </cell>
        </row>
        <row r="534">
          <cell r="AS534">
            <v>19.04</v>
          </cell>
        </row>
        <row r="535">
          <cell r="AS535">
            <v>20.32</v>
          </cell>
        </row>
        <row r="536">
          <cell r="AS536">
            <v>17.899999999999999</v>
          </cell>
        </row>
        <row r="537">
          <cell r="AS537">
            <v>18.53</v>
          </cell>
        </row>
        <row r="538">
          <cell r="AS538">
            <v>23.11</v>
          </cell>
        </row>
        <row r="539">
          <cell r="AS539">
            <v>22.2</v>
          </cell>
        </row>
        <row r="540">
          <cell r="AS540">
            <v>19.46</v>
          </cell>
        </row>
        <row r="541">
          <cell r="AS541">
            <v>20.43</v>
          </cell>
        </row>
        <row r="542">
          <cell r="AS542">
            <v>19.21</v>
          </cell>
        </row>
        <row r="543">
          <cell r="AS543">
            <v>19.82</v>
          </cell>
        </row>
        <row r="544">
          <cell r="AS544">
            <v>13.98</v>
          </cell>
        </row>
        <row r="545">
          <cell r="AS545">
            <v>18.12</v>
          </cell>
        </row>
        <row r="546">
          <cell r="AS546">
            <v>18.91</v>
          </cell>
        </row>
        <row r="547">
          <cell r="AS547">
            <v>16.53</v>
          </cell>
        </row>
        <row r="548">
          <cell r="AS548">
            <v>22.17</v>
          </cell>
        </row>
        <row r="549">
          <cell r="AS549">
            <v>20.82</v>
          </cell>
        </row>
        <row r="550">
          <cell r="AS550">
            <v>24.93</v>
          </cell>
        </row>
        <row r="551">
          <cell r="AS551">
            <v>18.22</v>
          </cell>
        </row>
        <row r="552">
          <cell r="AS552">
            <v>20.86</v>
          </cell>
        </row>
        <row r="553">
          <cell r="AS553">
            <v>20.91</v>
          </cell>
        </row>
        <row r="554">
          <cell r="AS554">
            <v>23.65</v>
          </cell>
        </row>
        <row r="555">
          <cell r="AS555">
            <v>23.439825515212554</v>
          </cell>
        </row>
        <row r="556">
          <cell r="AS556">
            <v>25.121208632054991</v>
          </cell>
        </row>
        <row r="557">
          <cell r="AS557">
            <v>22.295283862334244</v>
          </cell>
        </row>
        <row r="558">
          <cell r="AS558">
            <v>22.636003117766688</v>
          </cell>
        </row>
        <row r="559">
          <cell r="AS559">
            <v>27.457039208523391</v>
          </cell>
        </row>
        <row r="560">
          <cell r="AS560">
            <v>25.806184389539244</v>
          </cell>
        </row>
        <row r="561">
          <cell r="AS561">
            <v>23.99953679982633</v>
          </cell>
        </row>
        <row r="562">
          <cell r="AS562">
            <v>24.770404027723679</v>
          </cell>
        </row>
        <row r="563">
          <cell r="AS563">
            <v>24.237419694455482</v>
          </cell>
        </row>
        <row r="564">
          <cell r="AS564">
            <v>23.595877230398749</v>
          </cell>
        </row>
        <row r="565">
          <cell r="AS565">
            <v>16.519456354100448</v>
          </cell>
        </row>
        <row r="566">
          <cell r="AS566">
            <v>23.833879482672756</v>
          </cell>
        </row>
        <row r="567">
          <cell r="AS567">
            <v>24.314108121375142</v>
          </cell>
        </row>
        <row r="568">
          <cell r="AS568">
            <v>20.910595037093415</v>
          </cell>
        </row>
        <row r="569">
          <cell r="AS569">
            <v>26.544949226328185</v>
          </cell>
        </row>
        <row r="570">
          <cell r="AS570">
            <v>25.99717495716768</v>
          </cell>
        </row>
        <row r="571">
          <cell r="AS571">
            <v>29.394716886125046</v>
          </cell>
        </row>
        <row r="572">
          <cell r="AS572">
            <v>21.489935076496575</v>
          </cell>
        </row>
        <row r="573">
          <cell r="AS573">
            <v>26.288018868089729</v>
          </cell>
        </row>
        <row r="574">
          <cell r="AS574">
            <v>26.277462290866858</v>
          </cell>
        </row>
        <row r="575">
          <cell r="AS575">
            <v>29.477349310241596</v>
          </cell>
        </row>
        <row r="576">
          <cell r="AS576">
            <v>20.050233973363987</v>
          </cell>
        </row>
        <row r="577">
          <cell r="AS577">
            <v>20.125160886609756</v>
          </cell>
        </row>
        <row r="578">
          <cell r="AS578">
            <v>16.277941579805272</v>
          </cell>
        </row>
        <row r="579">
          <cell r="AS579">
            <v>16.892116178039711</v>
          </cell>
        </row>
        <row r="580">
          <cell r="AS580">
            <v>22.696567164863719</v>
          </cell>
        </row>
        <row r="581">
          <cell r="AS581">
            <v>28.927353074869234</v>
          </cell>
        </row>
        <row r="582">
          <cell r="AS582">
            <v>22.866293563956432</v>
          </cell>
        </row>
        <row r="583">
          <cell r="AS583">
            <v>20.020043327691958</v>
          </cell>
        </row>
        <row r="584">
          <cell r="AS584">
            <v>25.296360206001694</v>
          </cell>
        </row>
        <row r="585">
          <cell r="AS585">
            <v>17.247228498516321</v>
          </cell>
        </row>
        <row r="586">
          <cell r="AS586">
            <v>11.605559434722588</v>
          </cell>
        </row>
        <row r="587">
          <cell r="AS587">
            <v>27.019574757190629</v>
          </cell>
        </row>
        <row r="588">
          <cell r="AS588">
            <v>26.015236639681905</v>
          </cell>
        </row>
        <row r="589">
          <cell r="AS589">
            <v>20.9674822949342</v>
          </cell>
        </row>
        <row r="590">
          <cell r="AS590">
            <v>27.436202591711236</v>
          </cell>
        </row>
        <row r="591">
          <cell r="AS591">
            <v>27.053357305938157</v>
          </cell>
        </row>
        <row r="592">
          <cell r="AS592">
            <v>21.901818129096483</v>
          </cell>
        </row>
        <row r="593">
          <cell r="AS593">
            <v>15.637511963156907</v>
          </cell>
        </row>
        <row r="594">
          <cell r="AS594">
            <v>27.903363257924539</v>
          </cell>
        </row>
        <row r="595">
          <cell r="AS595">
            <v>25.468506164494123</v>
          </cell>
        </row>
        <row r="596">
          <cell r="AS596">
            <v>31.352828117789521</v>
          </cell>
        </row>
        <row r="597">
          <cell r="AS597">
            <v>17.909941912321592</v>
          </cell>
        </row>
        <row r="598">
          <cell r="AS598">
            <v>19.044397703125</v>
          </cell>
        </row>
        <row r="599">
          <cell r="AS599">
            <v>16.260084922552583</v>
          </cell>
        </row>
        <row r="600">
          <cell r="AS600">
            <v>16.266217763841492</v>
          </cell>
        </row>
        <row r="601">
          <cell r="AS601">
            <v>20.04201944103383</v>
          </cell>
        </row>
        <row r="602">
          <cell r="AS602">
            <v>20.780475691444181</v>
          </cell>
        </row>
        <row r="603">
          <cell r="AS603">
            <v>19.879782138382105</v>
          </cell>
        </row>
        <row r="604">
          <cell r="AS604">
            <v>18.38842730763637</v>
          </cell>
        </row>
        <row r="605">
          <cell r="AS605">
            <v>19.685624126696993</v>
          </cell>
        </row>
        <row r="606">
          <cell r="AS606">
            <v>16.732069524970008</v>
          </cell>
        </row>
        <row r="607">
          <cell r="AS607">
            <v>10.986091721025813</v>
          </cell>
        </row>
        <row r="608">
          <cell r="AS608">
            <v>21.417666529453125</v>
          </cell>
        </row>
        <row r="609">
          <cell r="AS609">
            <v>21.634844838068972</v>
          </cell>
        </row>
        <row r="610">
          <cell r="AS610">
            <v>17.60314191593525</v>
          </cell>
        </row>
        <row r="611">
          <cell r="AS611">
            <v>20.744676585851725</v>
          </cell>
        </row>
        <row r="612">
          <cell r="AS612">
            <v>21.740979608841705</v>
          </cell>
        </row>
        <row r="613">
          <cell r="AS613">
            <v>21.298587949967423</v>
          </cell>
        </row>
        <row r="614">
          <cell r="AS614">
            <v>13.553171338690616</v>
          </cell>
        </row>
        <row r="615">
          <cell r="AS615">
            <v>23.322353454309638</v>
          </cell>
        </row>
        <row r="616">
          <cell r="AS616">
            <v>21.731964271559697</v>
          </cell>
        </row>
        <row r="617">
          <cell r="AS617">
            <v>24.726703159194653</v>
          </cell>
        </row>
        <row r="618">
          <cell r="AS618">
            <v>19.309999999999999</v>
          </cell>
        </row>
        <row r="619">
          <cell r="AS619">
            <v>21.12</v>
          </cell>
        </row>
        <row r="620">
          <cell r="AS620">
            <v>18.579999999999998</v>
          </cell>
        </row>
        <row r="621">
          <cell r="AS621">
            <v>18.16</v>
          </cell>
        </row>
        <row r="622">
          <cell r="AS622">
            <v>21.17</v>
          </cell>
        </row>
        <row r="623">
          <cell r="AS623">
            <v>19.13</v>
          </cell>
        </row>
        <row r="624">
          <cell r="AS624">
            <v>21</v>
          </cell>
        </row>
        <row r="625">
          <cell r="AS625">
            <v>19.97</v>
          </cell>
        </row>
        <row r="626">
          <cell r="AS626">
            <v>19.920000000000002</v>
          </cell>
        </row>
        <row r="627">
          <cell r="AS627">
            <v>18.489999999999998</v>
          </cell>
        </row>
        <row r="628">
          <cell r="AS628">
            <v>12.04</v>
          </cell>
        </row>
        <row r="629">
          <cell r="AS629">
            <v>22.05</v>
          </cell>
        </row>
        <row r="630">
          <cell r="AS630">
            <v>22.63</v>
          </cell>
        </row>
        <row r="631">
          <cell r="AS631">
            <v>18.48</v>
          </cell>
        </row>
        <row r="632">
          <cell r="AS632">
            <v>20.14</v>
          </cell>
        </row>
        <row r="633">
          <cell r="AS633">
            <v>22.19</v>
          </cell>
        </row>
        <row r="634">
          <cell r="AS634">
            <v>23.38</v>
          </cell>
        </row>
        <row r="635">
          <cell r="AS635">
            <v>14.34</v>
          </cell>
        </row>
        <row r="636">
          <cell r="AS636">
            <v>24.24</v>
          </cell>
        </row>
        <row r="637">
          <cell r="AS637">
            <v>22.97</v>
          </cell>
        </row>
        <row r="638">
          <cell r="AS638">
            <v>24.95</v>
          </cell>
        </row>
        <row r="639">
          <cell r="AS639">
            <v>13.671239681981991</v>
          </cell>
        </row>
        <row r="640">
          <cell r="AS640">
            <v>13.756324034514403</v>
          </cell>
        </row>
        <row r="641">
          <cell r="AS641">
            <v>10.54092781026597</v>
          </cell>
        </row>
        <row r="642">
          <cell r="AS642">
            <v>10.61992186419414</v>
          </cell>
        </row>
        <row r="643">
          <cell r="AS643">
            <v>14.502351475078541</v>
          </cell>
        </row>
        <row r="644">
          <cell r="AS644">
            <v>20.09279280716693</v>
          </cell>
        </row>
        <row r="645">
          <cell r="AS645">
            <v>17.213451398825036</v>
          </cell>
        </row>
        <row r="646">
          <cell r="AS646">
            <v>13.196874361840255</v>
          </cell>
        </row>
        <row r="647">
          <cell r="AS647">
            <v>17.893301302100149</v>
          </cell>
        </row>
        <row r="648">
          <cell r="AS648">
            <v>10.673355671732516</v>
          </cell>
        </row>
        <row r="649">
          <cell r="AS649">
            <v>6.2856356170396586</v>
          </cell>
        </row>
        <row r="650">
          <cell r="AS650">
            <v>21.284445142115565</v>
          </cell>
        </row>
        <row r="651">
          <cell r="AS651">
            <v>20.722454335381833</v>
          </cell>
        </row>
        <row r="652">
          <cell r="AS652">
            <v>15.826564830256027</v>
          </cell>
        </row>
        <row r="653">
          <cell r="AS653">
            <v>18.560973237792957</v>
          </cell>
        </row>
        <row r="654">
          <cell r="AS654">
            <v>20.020858893886079</v>
          </cell>
        </row>
        <row r="655">
          <cell r="AS655">
            <v>14.148118048699278</v>
          </cell>
        </row>
        <row r="656">
          <cell r="AS656">
            <v>7.4693945705728382</v>
          </cell>
        </row>
        <row r="657">
          <cell r="AS657">
            <v>22.268381827535904</v>
          </cell>
        </row>
        <row r="658">
          <cell r="AS658">
            <v>18.952632178653445</v>
          </cell>
        </row>
        <row r="659">
          <cell r="AS659">
            <v>23.147160781433538</v>
          </cell>
        </row>
        <row r="660">
          <cell r="AS660">
            <v>11.38820243100883</v>
          </cell>
        </row>
        <row r="661">
          <cell r="AS661">
            <v>12.653315967101559</v>
          </cell>
        </row>
        <row r="662">
          <cell r="AS662">
            <v>10.755621132840471</v>
          </cell>
        </row>
        <row r="663">
          <cell r="AS663">
            <v>10.402557581651955</v>
          </cell>
        </row>
        <row r="664">
          <cell r="AS664">
            <v>12.319808476529328</v>
          </cell>
        </row>
        <row r="665">
          <cell r="AS665">
            <v>11.390209592619348</v>
          </cell>
        </row>
        <row r="666">
          <cell r="AS666">
            <v>13.466037210037875</v>
          </cell>
        </row>
        <row r="667">
          <cell r="AS667">
            <v>11.785438709181289</v>
          </cell>
        </row>
        <row r="668">
          <cell r="AS668">
            <v>11.217667777895684</v>
          </cell>
        </row>
        <row r="669">
          <cell r="AS669">
            <v>10.882108784356872</v>
          </cell>
        </row>
        <row r="670">
          <cell r="AS670">
            <v>6.4393130041216864</v>
          </cell>
        </row>
        <row r="671">
          <cell r="AS671">
            <v>13.607269385990982</v>
          </cell>
        </row>
        <row r="672">
          <cell r="AS672">
            <v>14.600529057666735</v>
          </cell>
        </row>
        <row r="673">
          <cell r="AS673">
            <v>11.454782884573067</v>
          </cell>
        </row>
        <row r="674">
          <cell r="AS674">
            <v>11.397155039584128</v>
          </cell>
        </row>
        <row r="675">
          <cell r="AS675">
            <v>13.509261169503544</v>
          </cell>
        </row>
        <row r="676">
          <cell r="AS676">
            <v>14.394666824846775</v>
          </cell>
        </row>
        <row r="677">
          <cell r="AS677">
            <v>6.5348010233177849</v>
          </cell>
        </row>
        <row r="678">
          <cell r="AS678">
            <v>16.014389291938045</v>
          </cell>
        </row>
        <row r="679">
          <cell r="AS679">
            <v>14.186086878069569</v>
          </cell>
        </row>
        <row r="680">
          <cell r="AS680">
            <v>15.096216708119648</v>
          </cell>
        </row>
        <row r="681">
          <cell r="AS681">
            <v>14.084118410047306</v>
          </cell>
        </row>
        <row r="682">
          <cell r="AS682">
            <v>16.03029252977327</v>
          </cell>
        </row>
        <row r="683">
          <cell r="AS683">
            <v>14.33384317574879</v>
          </cell>
        </row>
        <row r="684">
          <cell r="AS684">
            <v>13.790692827164349</v>
          </cell>
        </row>
        <row r="685">
          <cell r="AS685">
            <v>15.468103515866769</v>
          </cell>
        </row>
        <row r="686">
          <cell r="AS686">
            <v>11.625124813665471</v>
          </cell>
        </row>
        <row r="687">
          <cell r="AS687">
            <v>15.44571472267887</v>
          </cell>
        </row>
        <row r="688">
          <cell r="AS688">
            <v>14.921936362805829</v>
          </cell>
        </row>
        <row r="689">
          <cell r="AS689">
            <v>12.634335549901968</v>
          </cell>
        </row>
        <row r="690">
          <cell r="AS690">
            <v>14.361327328096106</v>
          </cell>
        </row>
        <row r="691">
          <cell r="AS691">
            <v>9.0006027888221336</v>
          </cell>
        </row>
        <row r="692">
          <cell r="AS692">
            <v>14.536602616638579</v>
          </cell>
        </row>
        <row r="693">
          <cell r="AS693">
            <v>15.921579945447428</v>
          </cell>
        </row>
        <row r="694">
          <cell r="AS694">
            <v>12.975534302376683</v>
          </cell>
        </row>
        <row r="695">
          <cell r="AS695">
            <v>12.650976122563661</v>
          </cell>
        </row>
        <row r="696">
          <cell r="AS696">
            <v>14.977078838980304</v>
          </cell>
        </row>
        <row r="697">
          <cell r="AS697">
            <v>18.503813093971722</v>
          </cell>
        </row>
        <row r="698">
          <cell r="AS698">
            <v>9.6784256721960631</v>
          </cell>
        </row>
        <row r="699">
          <cell r="AS699">
            <v>17.374188173549925</v>
          </cell>
        </row>
        <row r="700">
          <cell r="AS700">
            <v>16.346899897194568</v>
          </cell>
        </row>
        <row r="701">
          <cell r="AS701">
            <v>16.517946759050616</v>
          </cell>
        </row>
        <row r="702">
          <cell r="AS702">
            <v>16.643772339289939</v>
          </cell>
        </row>
        <row r="703">
          <cell r="AS703">
            <v>18.4821141077303</v>
          </cell>
        </row>
        <row r="704">
          <cell r="AS704">
            <v>16.337647519777452</v>
          </cell>
        </row>
        <row r="705">
          <cell r="AS705">
            <v>15.868702032414175</v>
          </cell>
        </row>
        <row r="706">
          <cell r="AS706">
            <v>18.249588164345447</v>
          </cell>
        </row>
        <row r="707">
          <cell r="AS707">
            <v>15.500143775228713</v>
          </cell>
        </row>
        <row r="708">
          <cell r="AS708">
            <v>18.214710985657966</v>
          </cell>
        </row>
        <row r="709">
          <cell r="AS709">
            <v>17.365350560483407</v>
          </cell>
        </row>
        <row r="710">
          <cell r="AS710">
            <v>16.331092638098216</v>
          </cell>
        </row>
        <row r="711">
          <cell r="AS711">
            <v>16.309689712590078</v>
          </cell>
        </row>
        <row r="712">
          <cell r="AS712">
            <v>10.434925068254387</v>
          </cell>
        </row>
        <row r="713">
          <cell r="AS713">
            <v>18.378017453314122</v>
          </cell>
        </row>
        <row r="714">
          <cell r="AS714">
            <v>19.324532098642841</v>
          </cell>
        </row>
        <row r="715">
          <cell r="AS715">
            <v>15.743847631683826</v>
          </cell>
        </row>
        <row r="716">
          <cell r="AS716">
            <v>16.461998788141265</v>
          </cell>
        </row>
        <row r="717">
          <cell r="AS717">
            <v>18.633351031121791</v>
          </cell>
        </row>
        <row r="718">
          <cell r="AS718">
            <v>20.804935004681695</v>
          </cell>
        </row>
        <row r="719">
          <cell r="AS719">
            <v>11.921229921133394</v>
          </cell>
        </row>
        <row r="720">
          <cell r="AS720">
            <v>20.856555279174643</v>
          </cell>
        </row>
        <row r="721">
          <cell r="AS721">
            <v>19.659675736840342</v>
          </cell>
        </row>
        <row r="722">
          <cell r="AS722">
            <v>20.808310326443085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 (MECS) Prices"/>
      <sheetName val="Predicted Coal Prices"/>
      <sheetName val="Coal-311"/>
      <sheetName val="Coal-312"/>
      <sheetName val="Coal-313"/>
      <sheetName val="Coal-314"/>
      <sheetName val="Coal-315"/>
      <sheetName val="Coal-316"/>
      <sheetName val="Coal-321"/>
      <sheetName val="Coal-322"/>
      <sheetName val="Coal-323"/>
      <sheetName val="Coal-324"/>
      <sheetName val="Coal-325"/>
      <sheetName val="Coal-326"/>
      <sheetName val="Coal-327"/>
      <sheetName val="Coal-331"/>
      <sheetName val="Coal-332"/>
      <sheetName val="Coal-333"/>
      <sheetName val="Coal-334"/>
      <sheetName val="Coal-335"/>
      <sheetName val="Coal-336"/>
      <sheetName val="Coal-337"/>
      <sheetName val="Coal-339"/>
    </sheetNames>
    <sheetDataSet>
      <sheetData sheetId="0"/>
      <sheetData sheetId="1">
        <row r="282">
          <cell r="AS282">
            <v>1.43</v>
          </cell>
        </row>
        <row r="283">
          <cell r="AS283">
            <v>1.71</v>
          </cell>
        </row>
        <row r="284">
          <cell r="AS284">
            <v>2.06</v>
          </cell>
        </row>
        <row r="285">
          <cell r="AS285">
            <v>2</v>
          </cell>
        </row>
        <row r="286">
          <cell r="AS286">
            <v>2</v>
          </cell>
        </row>
        <row r="287">
          <cell r="AS287">
            <v>1.56</v>
          </cell>
        </row>
        <row r="288">
          <cell r="AS288">
            <v>2</v>
          </cell>
        </row>
        <row r="289">
          <cell r="AS289">
            <v>1.75</v>
          </cell>
        </row>
        <row r="290">
          <cell r="AS290">
            <v>2</v>
          </cell>
        </row>
        <row r="291">
          <cell r="AS291">
            <v>2</v>
          </cell>
        </row>
        <row r="292">
          <cell r="AS292">
            <v>1.66</v>
          </cell>
        </row>
        <row r="293">
          <cell r="AS293">
            <v>2.5</v>
          </cell>
        </row>
        <row r="294">
          <cell r="AS294">
            <v>1.6</v>
          </cell>
        </row>
        <row r="295">
          <cell r="AS295">
            <v>1.42</v>
          </cell>
        </row>
        <row r="296">
          <cell r="AS296">
            <v>2.61</v>
          </cell>
        </row>
        <row r="297">
          <cell r="AS297">
            <v>1.57</v>
          </cell>
        </row>
        <row r="298">
          <cell r="AS298">
            <v>2</v>
          </cell>
        </row>
        <row r="299">
          <cell r="AS299">
            <v>2</v>
          </cell>
        </row>
        <row r="300">
          <cell r="AS300">
            <v>1.79</v>
          </cell>
        </row>
        <row r="301">
          <cell r="AS301">
            <v>2</v>
          </cell>
        </row>
        <row r="302">
          <cell r="AS302">
            <v>2</v>
          </cell>
        </row>
        <row r="303">
          <cell r="AS303">
            <v>1.3972703504336215</v>
          </cell>
        </row>
        <row r="304">
          <cell r="AS304">
            <v>1.7994508958860282</v>
          </cell>
        </row>
        <row r="305">
          <cell r="AS305">
            <v>2.0517562163518486</v>
          </cell>
        </row>
        <row r="306">
          <cell r="AS306">
            <v>1.9340924254696363</v>
          </cell>
        </row>
        <row r="307">
          <cell r="AS307">
            <v>2.0600354501408846</v>
          </cell>
        </row>
        <row r="308">
          <cell r="AS308">
            <v>1.5728975821862903</v>
          </cell>
        </row>
        <row r="309">
          <cell r="AS309">
            <v>1.9320888225858508</v>
          </cell>
        </row>
        <row r="310">
          <cell r="AS310">
            <v>1.74871324701602</v>
          </cell>
        </row>
        <row r="311">
          <cell r="AS311">
            <v>1.949761179712393</v>
          </cell>
        </row>
        <row r="312">
          <cell r="AS312">
            <v>1.9385126639286594</v>
          </cell>
        </row>
        <row r="313">
          <cell r="AS313">
            <v>1.6963244410794314</v>
          </cell>
        </row>
        <row r="314">
          <cell r="AS314">
            <v>2.287818884667475</v>
          </cell>
        </row>
        <row r="315">
          <cell r="AS315">
            <v>1.5881070648511875</v>
          </cell>
        </row>
        <row r="316">
          <cell r="AS316">
            <v>1.4896798710074424</v>
          </cell>
        </row>
        <row r="317">
          <cell r="AS317">
            <v>3.1429510028511536</v>
          </cell>
        </row>
        <row r="318">
          <cell r="AS318">
            <v>1.5017631876428665</v>
          </cell>
        </row>
        <row r="319">
          <cell r="AS319">
            <v>2.2127377554794241</v>
          </cell>
        </row>
        <row r="320">
          <cell r="AS320">
            <v>2.058473093554221</v>
          </cell>
        </row>
        <row r="321">
          <cell r="AS321">
            <v>1.8372709729731698</v>
          </cell>
        </row>
        <row r="322">
          <cell r="AS322">
            <v>2.1126374968681496</v>
          </cell>
        </row>
        <row r="323">
          <cell r="AS323">
            <v>1.9377829856851867</v>
          </cell>
        </row>
        <row r="324">
          <cell r="AS324">
            <v>1.3906230054232345</v>
          </cell>
        </row>
        <row r="325">
          <cell r="AS325">
            <v>1.9304358605945828</v>
          </cell>
        </row>
        <row r="326">
          <cell r="AS326">
            <v>2.0842731585376275</v>
          </cell>
        </row>
        <row r="327">
          <cell r="AS327">
            <v>1.9118799873128518</v>
          </cell>
        </row>
        <row r="328">
          <cell r="AS328">
            <v>2.1631408340305902</v>
          </cell>
        </row>
        <row r="329">
          <cell r="AS329">
            <v>1.6299219210193949</v>
          </cell>
        </row>
        <row r="330">
          <cell r="AS330">
            <v>1.9079465142045471</v>
          </cell>
        </row>
        <row r="331">
          <cell r="AS331">
            <v>1.7847432571412842</v>
          </cell>
        </row>
        <row r="332">
          <cell r="AS332">
            <v>1.9422768960182868</v>
          </cell>
        </row>
        <row r="333">
          <cell r="AS333">
            <v>1.9166694429661302</v>
          </cell>
        </row>
        <row r="334">
          <cell r="AS334">
            <v>1.7624245309225062</v>
          </cell>
        </row>
        <row r="335">
          <cell r="AS335">
            <v>2.1351869315902947</v>
          </cell>
        </row>
        <row r="336">
          <cell r="AS336">
            <v>1.6089604573652376</v>
          </cell>
        </row>
        <row r="337">
          <cell r="AS337">
            <v>1.5998474217046919</v>
          </cell>
        </row>
        <row r="338">
          <cell r="AS338">
            <v>3.7223531292900258</v>
          </cell>
        </row>
        <row r="339">
          <cell r="AS339">
            <v>1.4646150826681121</v>
          </cell>
        </row>
        <row r="340">
          <cell r="AS340">
            <v>2.4672148874006363</v>
          </cell>
        </row>
        <row r="341">
          <cell r="AS341">
            <v>2.1601519887041167</v>
          </cell>
        </row>
        <row r="342">
          <cell r="AS342">
            <v>1.9311021012710272</v>
          </cell>
        </row>
        <row r="343">
          <cell r="AS343">
            <v>2.2498178718996984</v>
          </cell>
        </row>
        <row r="344">
          <cell r="AS344">
            <v>1.9168143548947816</v>
          </cell>
        </row>
        <row r="345">
          <cell r="AS345">
            <v>1.4176601476870117</v>
          </cell>
        </row>
        <row r="346">
          <cell r="AS346">
            <v>2.1094105381320212</v>
          </cell>
        </row>
        <row r="347">
          <cell r="AS347">
            <v>2.1715161184633742</v>
          </cell>
        </row>
        <row r="348">
          <cell r="AS348">
            <v>1.9378013605713997</v>
          </cell>
        </row>
        <row r="349">
          <cell r="AS349">
            <v>2.313691316480984</v>
          </cell>
        </row>
        <row r="350">
          <cell r="AS350">
            <v>1.7246500784725272</v>
          </cell>
        </row>
        <row r="351">
          <cell r="AS351">
            <v>1.9425690058640681</v>
          </cell>
        </row>
        <row r="352">
          <cell r="AS352">
            <v>1.8618807725240014</v>
          </cell>
        </row>
        <row r="353">
          <cell r="AS353">
            <v>1.981890273907102</v>
          </cell>
        </row>
        <row r="354">
          <cell r="AS354">
            <v>1.9479196557277239</v>
          </cell>
        </row>
        <row r="355">
          <cell r="AS355">
            <v>1.8683684900321849</v>
          </cell>
        </row>
        <row r="356">
          <cell r="AS356">
            <v>2.0334363707400733</v>
          </cell>
        </row>
        <row r="357">
          <cell r="AS357">
            <v>1.6658866425411856</v>
          </cell>
        </row>
        <row r="358">
          <cell r="AS358">
            <v>1.7643743939191614</v>
          </cell>
        </row>
        <row r="359">
          <cell r="AS359">
            <v>4.363987890464565</v>
          </cell>
        </row>
        <row r="360">
          <cell r="AS360">
            <v>1.469207185133542</v>
          </cell>
        </row>
        <row r="361">
          <cell r="AS361">
            <v>2.7777319893880081</v>
          </cell>
        </row>
        <row r="362">
          <cell r="AS362">
            <v>2.3169930561949275</v>
          </cell>
        </row>
        <row r="363">
          <cell r="AS363">
            <v>2.0762230974111691</v>
          </cell>
        </row>
        <row r="364">
          <cell r="AS364">
            <v>2.4159477915736192</v>
          </cell>
        </row>
        <row r="365">
          <cell r="AS365">
            <v>1.941284236390779</v>
          </cell>
        </row>
        <row r="366">
          <cell r="AS366">
            <v>1.46</v>
          </cell>
        </row>
        <row r="367">
          <cell r="AS367">
            <v>2.3199999999999998</v>
          </cell>
        </row>
        <row r="368">
          <cell r="AS368">
            <v>2.2799999999999998</v>
          </cell>
        </row>
        <row r="369">
          <cell r="AS369">
            <v>2</v>
          </cell>
        </row>
        <row r="370">
          <cell r="AS370">
            <v>2.5</v>
          </cell>
        </row>
        <row r="371">
          <cell r="AS371">
            <v>1.87</v>
          </cell>
        </row>
        <row r="372">
          <cell r="AS372">
            <v>2</v>
          </cell>
        </row>
        <row r="373">
          <cell r="AS373">
            <v>1.97</v>
          </cell>
        </row>
        <row r="374">
          <cell r="AS374">
            <v>2.0570000000000004</v>
          </cell>
        </row>
        <row r="375">
          <cell r="AS375">
            <v>2</v>
          </cell>
        </row>
        <row r="376">
          <cell r="AS376">
            <v>1.99</v>
          </cell>
        </row>
        <row r="377">
          <cell r="AS377">
            <v>2</v>
          </cell>
        </row>
        <row r="378">
          <cell r="AS378">
            <v>1.75</v>
          </cell>
        </row>
        <row r="379">
          <cell r="AS379">
            <v>1.95</v>
          </cell>
        </row>
        <row r="380">
          <cell r="AS380">
            <v>5.03</v>
          </cell>
        </row>
        <row r="381">
          <cell r="AS381">
            <v>1.49</v>
          </cell>
        </row>
        <row r="382">
          <cell r="AS382">
            <v>3.11</v>
          </cell>
        </row>
        <row r="383">
          <cell r="AS383">
            <v>2.5</v>
          </cell>
        </row>
        <row r="384">
          <cell r="AS384">
            <v>2.2599999999999998</v>
          </cell>
        </row>
        <row r="385">
          <cell r="AS385">
            <v>2.6</v>
          </cell>
        </row>
        <row r="386">
          <cell r="AS386">
            <v>2</v>
          </cell>
        </row>
        <row r="387">
          <cell r="AS387">
            <v>1.4301810882647896</v>
          </cell>
        </row>
        <row r="388">
          <cell r="AS388">
            <v>2.3390810722494617</v>
          </cell>
        </row>
        <row r="389">
          <cell r="AS389">
            <v>2.3739262092941011</v>
          </cell>
        </row>
        <row r="390">
          <cell r="AS390">
            <v>2.1813210658247697</v>
          </cell>
        </row>
        <row r="391">
          <cell r="AS391">
            <v>2.5590922823962425</v>
          </cell>
        </row>
        <row r="392">
          <cell r="AS392">
            <v>2.0192289814046491</v>
          </cell>
        </row>
        <row r="393">
          <cell r="AS393">
            <v>1.7884504537854511</v>
          </cell>
        </row>
        <row r="394">
          <cell r="AS394">
            <v>2.0295932391981983</v>
          </cell>
        </row>
        <row r="395">
          <cell r="AS395">
            <v>2.1699902877395667</v>
          </cell>
        </row>
        <row r="396">
          <cell r="AS396">
            <v>2.1964528443760125</v>
          </cell>
        </row>
        <row r="397">
          <cell r="AS397">
            <v>1.9904238196706978</v>
          </cell>
        </row>
        <row r="398">
          <cell r="AS398">
            <v>2.0802717135251934</v>
          </cell>
        </row>
        <row r="399">
          <cell r="AS399">
            <v>1.809851716073088</v>
          </cell>
        </row>
        <row r="400">
          <cell r="AS400">
            <v>2.1105578506106188</v>
          </cell>
        </row>
        <row r="401">
          <cell r="AS401">
            <v>4.4957762169447539</v>
          </cell>
        </row>
        <row r="402">
          <cell r="AS402">
            <v>1.599223271290007</v>
          </cell>
        </row>
        <row r="403">
          <cell r="AS403">
            <v>3.083078088745328</v>
          </cell>
        </row>
        <row r="404">
          <cell r="AS404">
            <v>2.5100405210896839</v>
          </cell>
        </row>
        <row r="405">
          <cell r="AS405">
            <v>2.2611218484491817</v>
          </cell>
        </row>
        <row r="406">
          <cell r="AS406">
            <v>2.2964623661211863</v>
          </cell>
        </row>
        <row r="407">
          <cell r="AS407">
            <v>2.0671663000769338</v>
          </cell>
        </row>
        <row r="408">
          <cell r="AS408">
            <v>1.5544959171407167</v>
          </cell>
        </row>
        <row r="409">
          <cell r="AS409">
            <v>2.5060195866518176</v>
          </cell>
        </row>
        <row r="410">
          <cell r="AS410">
            <v>2.7447363614383016</v>
          </cell>
        </row>
        <row r="411">
          <cell r="AS411">
            <v>2.4775551010429484</v>
          </cell>
        </row>
        <row r="412">
          <cell r="AS412">
            <v>2.731453319579721</v>
          </cell>
        </row>
        <row r="413">
          <cell r="AS413">
            <v>2.0961515632152485</v>
          </cell>
        </row>
        <row r="414">
          <cell r="AS414">
            <v>1.8742188964918867</v>
          </cell>
        </row>
        <row r="415">
          <cell r="AS415">
            <v>2.1873250948848213</v>
          </cell>
        </row>
        <row r="416">
          <cell r="AS416">
            <v>2.3954198581776822</v>
          </cell>
        </row>
        <row r="417">
          <cell r="AS417">
            <v>2.6599004946920228</v>
          </cell>
        </row>
        <row r="418">
          <cell r="AS418">
            <v>2.1908068413849806</v>
          </cell>
        </row>
        <row r="419">
          <cell r="AS419">
            <v>2.0629657701201731</v>
          </cell>
        </row>
        <row r="420">
          <cell r="AS420">
            <v>1.9558223610727929</v>
          </cell>
        </row>
        <row r="421">
          <cell r="AS421">
            <v>2.5461448661835959</v>
          </cell>
        </row>
        <row r="422">
          <cell r="AS422">
            <v>4.2747866359171178</v>
          </cell>
        </row>
        <row r="423">
          <cell r="AS423">
            <v>1.9196293343982243</v>
          </cell>
        </row>
        <row r="424">
          <cell r="AS424">
            <v>3.3396880058587923</v>
          </cell>
        </row>
        <row r="425">
          <cell r="AS425">
            <v>2.7644081269299985</v>
          </cell>
        </row>
        <row r="426">
          <cell r="AS426">
            <v>2.3846913360755186</v>
          </cell>
        </row>
        <row r="427">
          <cell r="AS427">
            <v>2.0905192733004712</v>
          </cell>
        </row>
        <row r="428">
          <cell r="AS428">
            <v>2.2428109334534989</v>
          </cell>
        </row>
        <row r="429">
          <cell r="AS429">
            <v>1.8233392043577241</v>
          </cell>
        </row>
        <row r="430">
          <cell r="AS430">
            <v>2.9065077362357021</v>
          </cell>
        </row>
        <row r="431">
          <cell r="AS431">
            <v>3.3401575054361894</v>
          </cell>
        </row>
        <row r="432">
          <cell r="AS432">
            <v>3.020906108053047</v>
          </cell>
        </row>
        <row r="433">
          <cell r="AS433">
            <v>3.1473955078194353</v>
          </cell>
        </row>
        <row r="434">
          <cell r="AS434">
            <v>2.4291927922391401</v>
          </cell>
        </row>
        <row r="435">
          <cell r="AS435">
            <v>2.2011746312459506</v>
          </cell>
        </row>
        <row r="436">
          <cell r="AS436">
            <v>2.5561011595134322</v>
          </cell>
        </row>
        <row r="437">
          <cell r="AS437">
            <v>2.8626468578900908</v>
          </cell>
        </row>
        <row r="438">
          <cell r="AS438">
            <v>3.3418863356426489</v>
          </cell>
        </row>
        <row r="439">
          <cell r="AS439">
            <v>2.5553481091054713</v>
          </cell>
        </row>
        <row r="440">
          <cell r="AS440">
            <v>2.3912925456932626</v>
          </cell>
        </row>
        <row r="441">
          <cell r="AS441">
            <v>2.2869892082179994</v>
          </cell>
        </row>
        <row r="442">
          <cell r="AS442">
            <v>3.2048382594504594</v>
          </cell>
        </row>
        <row r="443">
          <cell r="AS443">
            <v>4.3098451007762577</v>
          </cell>
        </row>
        <row r="444">
          <cell r="AS444">
            <v>2.4113489660884908</v>
          </cell>
        </row>
        <row r="445">
          <cell r="AS445">
            <v>3.8263017452825081</v>
          </cell>
        </row>
        <row r="446">
          <cell r="AS446">
            <v>3.2585727786866716</v>
          </cell>
        </row>
        <row r="447">
          <cell r="AS447">
            <v>2.7715808525289196</v>
          </cell>
        </row>
        <row r="448">
          <cell r="AS448">
            <v>2.0222267693960441</v>
          </cell>
        </row>
        <row r="449">
          <cell r="AS449">
            <v>2.6517349756471593</v>
          </cell>
        </row>
        <row r="450">
          <cell r="AS450">
            <v>1.93</v>
          </cell>
        </row>
        <row r="451">
          <cell r="AS451">
            <v>3.19</v>
          </cell>
        </row>
        <row r="452">
          <cell r="AS452">
            <v>3.63</v>
          </cell>
        </row>
        <row r="453">
          <cell r="AS453">
            <v>3.5</v>
          </cell>
        </row>
        <row r="454">
          <cell r="AS454">
            <v>3.5</v>
          </cell>
        </row>
        <row r="455">
          <cell r="AS455">
            <v>2.97</v>
          </cell>
        </row>
        <row r="456">
          <cell r="AS456">
            <v>2.2000000000000002</v>
          </cell>
        </row>
        <row r="457">
          <cell r="AS457">
            <v>2.87</v>
          </cell>
        </row>
        <row r="458">
          <cell r="AS458">
            <v>3.2670000000000003</v>
          </cell>
        </row>
        <row r="459">
          <cell r="AS459">
            <v>3.73</v>
          </cell>
        </row>
        <row r="460">
          <cell r="AS460">
            <v>2.7</v>
          </cell>
        </row>
        <row r="461">
          <cell r="AS461">
            <v>3</v>
          </cell>
        </row>
        <row r="462">
          <cell r="AS462">
            <v>2.57</v>
          </cell>
        </row>
        <row r="463">
          <cell r="AS463">
            <v>3.56</v>
          </cell>
        </row>
        <row r="464">
          <cell r="AS464">
            <v>4</v>
          </cell>
        </row>
        <row r="465">
          <cell r="AS465">
            <v>2.67</v>
          </cell>
        </row>
        <row r="466">
          <cell r="AS466">
            <v>4</v>
          </cell>
        </row>
        <row r="467">
          <cell r="AS467">
            <v>3.5</v>
          </cell>
        </row>
        <row r="468">
          <cell r="AS468">
            <v>3.09</v>
          </cell>
        </row>
        <row r="469">
          <cell r="AS469">
            <v>1.87</v>
          </cell>
        </row>
        <row r="470">
          <cell r="AS470">
            <v>3</v>
          </cell>
        </row>
        <row r="471">
          <cell r="AS471">
            <v>1.9830580580089388</v>
          </cell>
        </row>
        <row r="472">
          <cell r="AS472">
            <v>3.3068882515383957</v>
          </cell>
        </row>
        <row r="473">
          <cell r="AS473">
            <v>3.7009638678183712</v>
          </cell>
        </row>
        <row r="474">
          <cell r="AS474">
            <v>3.6364609259381533</v>
          </cell>
        </row>
        <row r="475">
          <cell r="AS475">
            <v>3.6345084058311414</v>
          </cell>
        </row>
        <row r="476">
          <cell r="AS476">
            <v>3.1703385431524413</v>
          </cell>
        </row>
        <row r="477">
          <cell r="AS477">
            <v>2.2762010041053022</v>
          </cell>
        </row>
        <row r="478">
          <cell r="AS478">
            <v>2.9865411167416847</v>
          </cell>
        </row>
        <row r="479">
          <cell r="AS479">
            <v>3.4005234182968236</v>
          </cell>
        </row>
        <row r="480">
          <cell r="AS480">
            <v>3.799784775919703</v>
          </cell>
        </row>
        <row r="481">
          <cell r="AS481">
            <v>2.752603910590127</v>
          </cell>
        </row>
        <row r="482">
          <cell r="AS482">
            <v>3.2703573368799912</v>
          </cell>
        </row>
        <row r="483">
          <cell r="AS483">
            <v>2.6722675374693403</v>
          </cell>
        </row>
        <row r="484">
          <cell r="AS484">
            <v>3.6304884982050116</v>
          </cell>
        </row>
        <row r="485">
          <cell r="AS485">
            <v>4.0816356848535555</v>
          </cell>
        </row>
        <row r="486">
          <cell r="AS486">
            <v>2.7241250155925991</v>
          </cell>
        </row>
        <row r="487">
          <cell r="AS487">
            <v>4.0726676851806838</v>
          </cell>
        </row>
        <row r="488">
          <cell r="AS488">
            <v>3.5915427840068488</v>
          </cell>
        </row>
        <row r="489">
          <cell r="AS489">
            <v>3.2354084422045726</v>
          </cell>
        </row>
        <row r="490">
          <cell r="AS490">
            <v>1.9356761805811891</v>
          </cell>
        </row>
        <row r="491">
          <cell r="AS491">
            <v>3.1288196498193566</v>
          </cell>
        </row>
        <row r="492">
          <cell r="AS492">
            <v>2.4677362369448592</v>
          </cell>
        </row>
        <row r="493">
          <cell r="AS493">
            <v>3.857681032939718</v>
          </cell>
        </row>
        <row r="494">
          <cell r="AS494">
            <v>4.5399569531304627</v>
          </cell>
        </row>
        <row r="495">
          <cell r="AS495">
            <v>4.1238754524690924</v>
          </cell>
        </row>
        <row r="496">
          <cell r="AS496">
            <v>4.1149488495121247</v>
          </cell>
        </row>
        <row r="497">
          <cell r="AS497">
            <v>3.235980377198787</v>
          </cell>
        </row>
        <row r="498">
          <cell r="AS498">
            <v>3.1771118127131164</v>
          </cell>
        </row>
        <row r="499">
          <cell r="AS499">
            <v>3.4028055874827441</v>
          </cell>
        </row>
        <row r="500">
          <cell r="AS500">
            <v>3.8774456059270044</v>
          </cell>
        </row>
        <row r="501">
          <cell r="AS501">
            <v>4.6105758963732075</v>
          </cell>
        </row>
        <row r="502">
          <cell r="AS502">
            <v>3.3602687408013034</v>
          </cell>
        </row>
        <row r="503">
          <cell r="AS503">
            <v>3.3589411468719832</v>
          </cell>
        </row>
        <row r="504">
          <cell r="AS504">
            <v>3.0375493163213574</v>
          </cell>
        </row>
        <row r="505">
          <cell r="AS505">
            <v>4.4638613738126818</v>
          </cell>
        </row>
        <row r="506">
          <cell r="AS506">
            <v>5.0325379767501719</v>
          </cell>
        </row>
        <row r="507">
          <cell r="AS507">
            <v>3.3640353702652934</v>
          </cell>
        </row>
        <row r="508">
          <cell r="AS508">
            <v>4.93180469767095</v>
          </cell>
        </row>
        <row r="509">
          <cell r="AS509">
            <v>4.369511964751517</v>
          </cell>
        </row>
        <row r="510">
          <cell r="AS510">
            <v>3.7547819761840828</v>
          </cell>
        </row>
        <row r="511">
          <cell r="AS511">
            <v>2.2843007051808963</v>
          </cell>
        </row>
        <row r="512">
          <cell r="AS512">
            <v>3.5889409817283102</v>
          </cell>
        </row>
        <row r="513">
          <cell r="AS513">
            <v>2.4464946765125011</v>
          </cell>
        </row>
        <row r="514">
          <cell r="AS514">
            <v>4.1399976952779713</v>
          </cell>
        </row>
        <row r="515">
          <cell r="AS515">
            <v>4.5969677655698824</v>
          </cell>
        </row>
        <row r="516">
          <cell r="AS516">
            <v>3.9790288943457703</v>
          </cell>
        </row>
        <row r="517">
          <cell r="AS517">
            <v>3.9732479295404453</v>
          </cell>
        </row>
        <row r="518">
          <cell r="AS518">
            <v>3.7402396725410778</v>
          </cell>
        </row>
        <row r="519">
          <cell r="AS519">
            <v>4.3300114077254168</v>
          </cell>
        </row>
        <row r="520">
          <cell r="AS520">
            <v>3.5850510025307178</v>
          </cell>
        </row>
        <row r="521">
          <cell r="AS521">
            <v>4.1463315902822382</v>
          </cell>
        </row>
        <row r="522">
          <cell r="AS522">
            <v>4.6937719365394299</v>
          </cell>
        </row>
        <row r="523">
          <cell r="AS523">
            <v>3.315557809787312</v>
          </cell>
        </row>
        <row r="524">
          <cell r="AS524">
            <v>4.9956592176193935</v>
          </cell>
        </row>
        <row r="525">
          <cell r="AS525">
            <v>3.1227902852214982</v>
          </cell>
        </row>
        <row r="526">
          <cell r="AS526">
            <v>4.6189736377068558</v>
          </cell>
        </row>
        <row r="527">
          <cell r="AS527">
            <v>4.9334151944251738</v>
          </cell>
        </row>
        <row r="528">
          <cell r="AS528">
            <v>3.4259078172398647</v>
          </cell>
        </row>
        <row r="529">
          <cell r="AS529">
            <v>4.9576993035029782</v>
          </cell>
        </row>
        <row r="530">
          <cell r="AS530">
            <v>4.7034766898255969</v>
          </cell>
        </row>
        <row r="531">
          <cell r="AS531">
            <v>4.5055204167041545</v>
          </cell>
        </row>
        <row r="532">
          <cell r="AS532">
            <v>2.4955844881170637</v>
          </cell>
        </row>
        <row r="533">
          <cell r="AS533">
            <v>3.6964049050482952</v>
          </cell>
        </row>
        <row r="534">
          <cell r="AS534">
            <v>2.41</v>
          </cell>
        </row>
        <row r="535">
          <cell r="AS535">
            <v>4.29</v>
          </cell>
        </row>
        <row r="536">
          <cell r="AS536">
            <v>4.67</v>
          </cell>
        </row>
        <row r="537">
          <cell r="AS537">
            <v>3.65</v>
          </cell>
        </row>
        <row r="538">
          <cell r="AS538">
            <v>3.65</v>
          </cell>
        </row>
        <row r="539">
          <cell r="AS539">
            <v>3.85</v>
          </cell>
        </row>
        <row r="540">
          <cell r="AS540">
            <v>5.81</v>
          </cell>
        </row>
        <row r="541">
          <cell r="AS541">
            <v>3.61</v>
          </cell>
        </row>
        <row r="542">
          <cell r="AS542">
            <v>4.2350000000000003</v>
          </cell>
        </row>
        <row r="543">
          <cell r="AS543">
            <v>4.79</v>
          </cell>
        </row>
        <row r="544">
          <cell r="AS544">
            <v>3.28</v>
          </cell>
        </row>
        <row r="545">
          <cell r="AS545">
            <v>6.1</v>
          </cell>
        </row>
        <row r="546">
          <cell r="AS546">
            <v>3.07</v>
          </cell>
        </row>
        <row r="547">
          <cell r="AS547">
            <v>4.79</v>
          </cell>
        </row>
        <row r="548">
          <cell r="AS548">
            <v>4.8499999999999996</v>
          </cell>
        </row>
        <row r="549">
          <cell r="AS549">
            <v>3.5</v>
          </cell>
        </row>
        <row r="550">
          <cell r="AS550">
            <v>5</v>
          </cell>
        </row>
        <row r="551">
          <cell r="AS551">
            <v>5</v>
          </cell>
        </row>
        <row r="552">
          <cell r="AS552">
            <v>5.0599999999999996</v>
          </cell>
        </row>
        <row r="553">
          <cell r="AS553">
            <v>2.64</v>
          </cell>
        </row>
        <row r="554">
          <cell r="AS554">
            <v>3.63</v>
          </cell>
        </row>
        <row r="555">
          <cell r="AS555">
            <v>2.9011315425067177</v>
          </cell>
        </row>
        <row r="556">
          <cell r="AS556">
            <v>4.917280066536251</v>
          </cell>
        </row>
        <row r="557">
          <cell r="AS557">
            <v>5.3498295056281959</v>
          </cell>
        </row>
        <row r="558">
          <cell r="AS558">
            <v>4.6942394360402711</v>
          </cell>
        </row>
        <row r="559">
          <cell r="AS559">
            <v>4.6863092086241807</v>
          </cell>
        </row>
        <row r="560">
          <cell r="AS560">
            <v>4.4268221662622951</v>
          </cell>
        </row>
        <row r="561">
          <cell r="AS561">
            <v>6.3242476186813024</v>
          </cell>
        </row>
        <row r="562">
          <cell r="AS562">
            <v>4.1783346478974428</v>
          </cell>
        </row>
        <row r="563">
          <cell r="AS563">
            <v>4.968558614479587</v>
          </cell>
        </row>
        <row r="564">
          <cell r="AS564">
            <v>5.448970127418443</v>
          </cell>
        </row>
        <row r="565">
          <cell r="AS565">
            <v>3.7023199182502773</v>
          </cell>
        </row>
        <row r="566">
          <cell r="AS566">
            <v>6.73794094631109</v>
          </cell>
        </row>
        <row r="567">
          <cell r="AS567">
            <v>3.5878621784288289</v>
          </cell>
        </row>
        <row r="568">
          <cell r="AS568">
            <v>5.5530190870425642</v>
          </cell>
        </row>
        <row r="569">
          <cell r="AS569">
            <v>5.7509920973331408</v>
          </cell>
        </row>
        <row r="570">
          <cell r="AS570">
            <v>4.0801298567569413</v>
          </cell>
        </row>
        <row r="571">
          <cell r="AS571">
            <v>5.7788763353352754</v>
          </cell>
        </row>
        <row r="572">
          <cell r="AS572">
            <v>5.7356602704273598</v>
          </cell>
        </row>
        <row r="573">
          <cell r="AS573">
            <v>5.7455800328340372</v>
          </cell>
        </row>
        <row r="574">
          <cell r="AS574">
            <v>3.2887521440343925</v>
          </cell>
        </row>
        <row r="575">
          <cell r="AS575">
            <v>4.4957042884861371</v>
          </cell>
        </row>
        <row r="576">
          <cell r="AS576">
            <v>2.9203025079915328</v>
          </cell>
        </row>
        <row r="577">
          <cell r="AS577">
            <v>5.0950548733651155</v>
          </cell>
        </row>
        <row r="578">
          <cell r="AS578">
            <v>5.1806404394431764</v>
          </cell>
        </row>
        <row r="579">
          <cell r="AS579">
            <v>5.3913666900773807</v>
          </cell>
        </row>
        <row r="580">
          <cell r="AS580">
            <v>5.3804728371854136</v>
          </cell>
        </row>
        <row r="581">
          <cell r="AS581">
            <v>5.2360965411083571</v>
          </cell>
        </row>
        <row r="582">
          <cell r="AS582">
            <v>5.9268190609483877</v>
          </cell>
        </row>
        <row r="583">
          <cell r="AS583">
            <v>4.4502266094559531</v>
          </cell>
        </row>
        <row r="584">
          <cell r="AS584">
            <v>5.3624771972250116</v>
          </cell>
        </row>
        <row r="585">
          <cell r="AS585">
            <v>5.289311568034309</v>
          </cell>
        </row>
        <row r="586">
          <cell r="AS586">
            <v>3.5115646826870002</v>
          </cell>
        </row>
        <row r="587">
          <cell r="AS587">
            <v>7.6895766968055126</v>
          </cell>
        </row>
        <row r="588">
          <cell r="AS588">
            <v>3.8455889726100025</v>
          </cell>
        </row>
        <row r="589">
          <cell r="AS589">
            <v>5.4727069702610844</v>
          </cell>
        </row>
        <row r="590">
          <cell r="AS590">
            <v>5.691570088226479</v>
          </cell>
        </row>
        <row r="591">
          <cell r="AS591">
            <v>4.0127027968670639</v>
          </cell>
        </row>
        <row r="592">
          <cell r="AS592">
            <v>5.6883494632948608</v>
          </cell>
        </row>
        <row r="593">
          <cell r="AS593">
            <v>5.7235509786313559</v>
          </cell>
        </row>
        <row r="594">
          <cell r="AS594">
            <v>6.0612882613305956</v>
          </cell>
        </row>
        <row r="595">
          <cell r="AS595">
            <v>3.6402415852919709</v>
          </cell>
        </row>
        <row r="596">
          <cell r="AS596">
            <v>5.0337331941856664</v>
          </cell>
        </row>
        <row r="597">
          <cell r="AS597">
            <v>2.7149876249571117</v>
          </cell>
        </row>
        <row r="598">
          <cell r="AS598">
            <v>4.7965283099902196</v>
          </cell>
        </row>
        <row r="599">
          <cell r="AS599">
            <v>4.7044744099751687</v>
          </cell>
        </row>
        <row r="600">
          <cell r="AS600">
            <v>5.5379292506817013</v>
          </cell>
        </row>
        <row r="601">
          <cell r="AS601">
            <v>5.5319494027605867</v>
          </cell>
        </row>
        <row r="602">
          <cell r="AS602">
            <v>5.2600256704575177</v>
          </cell>
        </row>
        <row r="603">
          <cell r="AS603">
            <v>5.1997586277484968</v>
          </cell>
        </row>
        <row r="604">
          <cell r="AS604">
            <v>4.2519222577750213</v>
          </cell>
        </row>
        <row r="605">
          <cell r="AS605">
            <v>5.2176827455341668</v>
          </cell>
        </row>
        <row r="606">
          <cell r="AS606">
            <v>4.828279964757388</v>
          </cell>
        </row>
        <row r="607">
          <cell r="AS607">
            <v>3.0937577448881584</v>
          </cell>
        </row>
        <row r="608">
          <cell r="AS608">
            <v>7.5813871847075838</v>
          </cell>
        </row>
        <row r="609">
          <cell r="AS609">
            <v>3.6907075769062008</v>
          </cell>
        </row>
        <row r="610">
          <cell r="AS610">
            <v>5.0874742538762208</v>
          </cell>
        </row>
        <row r="611">
          <cell r="AS611">
            <v>5.2795101288951392</v>
          </cell>
        </row>
        <row r="612">
          <cell r="AS612">
            <v>3.7111406280117856</v>
          </cell>
        </row>
        <row r="613">
          <cell r="AS613">
            <v>5.2834752196784613</v>
          </cell>
        </row>
        <row r="614">
          <cell r="AS614">
            <v>5.3261853798458141</v>
          </cell>
        </row>
        <row r="615">
          <cell r="AS615">
            <v>5.7903321822355824</v>
          </cell>
        </row>
        <row r="616">
          <cell r="AS616">
            <v>3.7227290297571947</v>
          </cell>
        </row>
        <row r="617">
          <cell r="AS617">
            <v>5.0520268640982637</v>
          </cell>
        </row>
        <row r="618">
          <cell r="AS618">
            <v>2.56</v>
          </cell>
        </row>
        <row r="619">
          <cell r="AS619">
            <v>4.47</v>
          </cell>
        </row>
        <row r="620">
          <cell r="AS620">
            <v>4.3468609980370916</v>
          </cell>
        </row>
        <row r="621">
          <cell r="AS621">
            <v>5.61</v>
          </cell>
        </row>
        <row r="622">
          <cell r="AS622">
            <v>5.61</v>
          </cell>
        </row>
        <row r="623">
          <cell r="AS623">
            <v>5</v>
          </cell>
        </row>
        <row r="624">
          <cell r="AS624">
            <v>4.5999999999999996</v>
          </cell>
        </row>
        <row r="625">
          <cell r="AS625">
            <v>3.99</v>
          </cell>
        </row>
        <row r="626">
          <cell r="AS626">
            <v>5</v>
          </cell>
        </row>
        <row r="627">
          <cell r="AS627">
            <v>4.4800000000000004</v>
          </cell>
        </row>
        <row r="628">
          <cell r="AS628">
            <v>2.76</v>
          </cell>
        </row>
        <row r="629">
          <cell r="AS629">
            <v>7.09</v>
          </cell>
        </row>
        <row r="630">
          <cell r="AS630">
            <v>3.48</v>
          </cell>
        </row>
        <row r="631">
          <cell r="AS631">
            <v>4.82</v>
          </cell>
        </row>
        <row r="632">
          <cell r="AS632">
            <v>5</v>
          </cell>
        </row>
        <row r="633">
          <cell r="AS633">
            <v>3.5</v>
          </cell>
        </row>
        <row r="634">
          <cell r="AS634">
            <v>5</v>
          </cell>
        </row>
        <row r="635">
          <cell r="AS635">
            <v>5</v>
          </cell>
        </row>
        <row r="636">
          <cell r="AS636">
            <v>5.44</v>
          </cell>
        </row>
        <row r="637">
          <cell r="AS637">
            <v>3.8</v>
          </cell>
        </row>
        <row r="638">
          <cell r="AS638">
            <v>5</v>
          </cell>
        </row>
        <row r="639">
          <cell r="AS639">
            <v>2.3642630975355154</v>
          </cell>
        </row>
        <row r="640">
          <cell r="AS640">
            <v>4.1584092884660881</v>
          </cell>
        </row>
        <row r="641">
          <cell r="AS641">
            <v>4.0409297694538466</v>
          </cell>
        </row>
        <row r="642">
          <cell r="AS642">
            <v>5.2822406926385099</v>
          </cell>
        </row>
        <row r="643">
          <cell r="AS643">
            <v>5.2869303674300907</v>
          </cell>
        </row>
        <row r="644">
          <cell r="AS644">
            <v>4.6692063022936079</v>
          </cell>
        </row>
        <row r="645">
          <cell r="AS645">
            <v>4.2714910344954893</v>
          </cell>
        </row>
        <row r="646">
          <cell r="AS646">
            <v>3.7100851754923898</v>
          </cell>
        </row>
        <row r="647">
          <cell r="AS647">
            <v>4.679296176590471</v>
          </cell>
        </row>
        <row r="648">
          <cell r="AS648">
            <v>4.1824520229415976</v>
          </cell>
        </row>
        <row r="649">
          <cell r="AS649">
            <v>2.5365201846693841</v>
          </cell>
        </row>
        <row r="650">
          <cell r="AS650">
            <v>6.6435931241122468</v>
          </cell>
        </row>
        <row r="651">
          <cell r="AS651">
            <v>3.2343682303153427</v>
          </cell>
        </row>
        <row r="652">
          <cell r="AS652">
            <v>4.5161181299750925</v>
          </cell>
        </row>
        <row r="653">
          <cell r="AS653">
            <v>4.6513617534647231</v>
          </cell>
        </row>
        <row r="654">
          <cell r="AS654">
            <v>3.2666624857637125</v>
          </cell>
        </row>
        <row r="655">
          <cell r="AS655">
            <v>4.6867234708439645</v>
          </cell>
        </row>
        <row r="656">
          <cell r="AS656">
            <v>4.6757702040578994</v>
          </cell>
        </row>
        <row r="657">
          <cell r="AS657">
            <v>5.0907500484716266</v>
          </cell>
        </row>
        <row r="658">
          <cell r="AS658">
            <v>3.6158670402583422</v>
          </cell>
        </row>
        <row r="659">
          <cell r="AS659">
            <v>4.6905939027265591</v>
          </cell>
        </row>
        <row r="660">
          <cell r="AS660">
            <v>2.2195691241112252</v>
          </cell>
        </row>
        <row r="661">
          <cell r="AS661">
            <v>3.9168057175786379</v>
          </cell>
        </row>
        <row r="662">
          <cell r="AS662">
            <v>5</v>
          </cell>
        </row>
        <row r="663">
          <cell r="AS663">
            <v>5.0234066825956711</v>
          </cell>
        </row>
        <row r="664">
          <cell r="AS664">
            <v>5.0317998283563021</v>
          </cell>
        </row>
        <row r="665">
          <cell r="AS665">
            <v>4.3862188108612834</v>
          </cell>
        </row>
        <row r="666">
          <cell r="AS666">
            <v>4.033112581514966</v>
          </cell>
        </row>
        <row r="667">
          <cell r="AS667">
            <v>3.4890343167684286</v>
          </cell>
        </row>
        <row r="668">
          <cell r="AS668">
            <v>4.4260339331703387</v>
          </cell>
        </row>
        <row r="669">
          <cell r="AS669">
            <v>3.9662740349163106</v>
          </cell>
        </row>
        <row r="670">
          <cell r="AS670">
            <v>2.3740888387811419</v>
          </cell>
        </row>
        <row r="671">
          <cell r="AS671">
            <v>6.2617008364370967</v>
          </cell>
        </row>
        <row r="672">
          <cell r="AS672">
            <v>3.0403909610277577</v>
          </cell>
        </row>
        <row r="673">
          <cell r="AS673">
            <v>4.2956100231290053</v>
          </cell>
        </row>
        <row r="674">
          <cell r="AS674">
            <v>4.3981107455857726</v>
          </cell>
        </row>
        <row r="675">
          <cell r="AS675">
            <v>3.0973440150165166</v>
          </cell>
        </row>
        <row r="676">
          <cell r="AS676">
            <v>4.4593982462168817</v>
          </cell>
        </row>
        <row r="677">
          <cell r="AS677">
            <v>4.4348210091552778</v>
          </cell>
        </row>
        <row r="678">
          <cell r="AS678">
            <v>4.8149447153477745</v>
          </cell>
        </row>
        <row r="679">
          <cell r="AS679">
            <v>3.4742734840961593</v>
          </cell>
        </row>
        <row r="680">
          <cell r="AS680">
            <v>4.4462535653669928</v>
          </cell>
        </row>
        <row r="681">
          <cell r="AS681">
            <v>2.5809307682830891</v>
          </cell>
        </row>
        <row r="682">
          <cell r="AS682">
            <v>4.2529558853209588</v>
          </cell>
        </row>
        <row r="683">
          <cell r="AS683">
            <v>5</v>
          </cell>
        </row>
        <row r="684">
          <cell r="AS684">
            <v>5.2774023241804713</v>
          </cell>
        </row>
        <row r="685">
          <cell r="AS685">
            <v>5.2821612106298712</v>
          </cell>
        </row>
        <row r="686">
          <cell r="AS686">
            <v>4.1808724504754196</v>
          </cell>
        </row>
        <row r="687">
          <cell r="AS687">
            <v>4.7343240684005279</v>
          </cell>
        </row>
        <row r="688">
          <cell r="AS688">
            <v>3.7059530954003632</v>
          </cell>
        </row>
        <row r="689">
          <cell r="AS689">
            <v>4.6745619042645901</v>
          </cell>
        </row>
        <row r="690">
          <cell r="AS690">
            <v>4.5957540146903062</v>
          </cell>
        </row>
        <row r="691">
          <cell r="AS691">
            <v>2.8454682755874305</v>
          </cell>
        </row>
        <row r="692">
          <cell r="AS692">
            <v>5.9845854383797326</v>
          </cell>
        </row>
        <row r="693">
          <cell r="AS693">
            <v>3.2307422599211013</v>
          </cell>
        </row>
        <row r="694">
          <cell r="AS694">
            <v>4.9442542925189841</v>
          </cell>
        </row>
        <row r="695">
          <cell r="AS695">
            <v>5.1366443208080508</v>
          </cell>
        </row>
        <row r="696">
          <cell r="AS696">
            <v>3.5954094028287762</v>
          </cell>
        </row>
        <row r="697">
          <cell r="AS697">
            <v>5.1280956757633991</v>
          </cell>
        </row>
        <row r="698">
          <cell r="AS698">
            <v>5.0064550803369539</v>
          </cell>
        </row>
        <row r="699">
          <cell r="AS699">
            <v>5.0855944706514302</v>
          </cell>
        </row>
        <row r="700">
          <cell r="AS700">
            <v>3.697977798605395</v>
          </cell>
        </row>
        <row r="701">
          <cell r="AS701">
            <v>4.6860265418869709</v>
          </cell>
        </row>
        <row r="702">
          <cell r="AS702">
            <v>2.8111342070942276</v>
          </cell>
        </row>
        <row r="703">
          <cell r="AS703">
            <v>4.6824079033257275</v>
          </cell>
        </row>
        <row r="704">
          <cell r="AS704">
            <v>5</v>
          </cell>
        </row>
        <row r="705">
          <cell r="AS705">
            <v>5.7553797247880611</v>
          </cell>
        </row>
        <row r="706">
          <cell r="AS706">
            <v>5.7532995769071018</v>
          </cell>
        </row>
        <row r="707">
          <cell r="AS707">
            <v>4.7849170899650257</v>
          </cell>
        </row>
        <row r="708">
          <cell r="AS708">
            <v>5.0957200554357227</v>
          </cell>
        </row>
        <row r="709">
          <cell r="AS709">
            <v>4.1141580078530495</v>
          </cell>
        </row>
        <row r="710">
          <cell r="AS710">
            <v>5.142250177652846</v>
          </cell>
        </row>
        <row r="711">
          <cell r="AS711">
            <v>4.9245766419232027</v>
          </cell>
        </row>
        <row r="712">
          <cell r="AS712">
            <v>3.0928077799034601</v>
          </cell>
        </row>
        <row r="713">
          <cell r="AS713">
            <v>6.7997451052081992</v>
          </cell>
        </row>
        <row r="714">
          <cell r="AS714">
            <v>3.5889515594272621</v>
          </cell>
        </row>
        <row r="715">
          <cell r="AS715">
            <v>5.2785577663711916</v>
          </cell>
        </row>
        <row r="716">
          <cell r="AS716">
            <v>5.5216718626834833</v>
          </cell>
        </row>
        <row r="717">
          <cell r="AS717">
            <v>3.8521063277977974</v>
          </cell>
        </row>
        <row r="718">
          <cell r="AS718">
            <v>5.4727343077576025</v>
          </cell>
        </row>
        <row r="719">
          <cell r="AS719">
            <v>5.3948766697613344</v>
          </cell>
        </row>
        <row r="720">
          <cell r="AS720">
            <v>5.5949120625328375</v>
          </cell>
        </row>
        <row r="721">
          <cell r="AS721">
            <v>3.9451582675738277</v>
          </cell>
        </row>
        <row r="722">
          <cell r="AS722">
            <v>5.1372391003857665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Fuel"/>
      <sheetName val="1stUse"/>
      <sheetName val="Byprod"/>
      <sheetName val="EndUse"/>
      <sheetName val="Intensity"/>
      <sheetName val="Exp"/>
      <sheetName val="E_EGS"/>
      <sheetName val="Price"/>
      <sheetName val="NonFuel"/>
      <sheetName val="Offsite"/>
      <sheetName val="onsite"/>
      <sheetName val="sales"/>
      <sheetName val="elecdema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ke (MECS) Prices"/>
      <sheetName val="Predicted Coke Prices"/>
      <sheetName val="Coke-311"/>
      <sheetName val="Gas-312"/>
      <sheetName val="Gas-313"/>
      <sheetName val="Gas-314"/>
      <sheetName val="Gas-315"/>
      <sheetName val="Gas-316"/>
      <sheetName val="Gas-321"/>
      <sheetName val="Coke-322"/>
      <sheetName val="Gas-323"/>
      <sheetName val="Gas-324"/>
      <sheetName val="Coke-325"/>
      <sheetName val="Gas-326"/>
      <sheetName val="Coke-327"/>
      <sheetName val="Coke-331"/>
      <sheetName val="Coke-332"/>
      <sheetName val="Gas-333"/>
      <sheetName val="Gas-334"/>
      <sheetName val="Gas-335"/>
      <sheetName val="Gas-336"/>
      <sheetName val="Gas-337"/>
      <sheetName val="Gas-339"/>
      <sheetName val="Gas-312a"/>
    </sheetNames>
    <sheetDataSet>
      <sheetData sheetId="0"/>
      <sheetData sheetId="1">
        <row r="240">
          <cell r="AS240">
            <v>6.6</v>
          </cell>
        </row>
        <row r="241">
          <cell r="AS241">
            <v>0</v>
          </cell>
        </row>
        <row r="242">
          <cell r="AS242">
            <v>0</v>
          </cell>
        </row>
        <row r="243">
          <cell r="AS243">
            <v>0</v>
          </cell>
        </row>
        <row r="244">
          <cell r="AS244">
            <v>0</v>
          </cell>
        </row>
        <row r="245">
          <cell r="AS245">
            <v>0</v>
          </cell>
        </row>
        <row r="246">
          <cell r="AS246">
            <v>0</v>
          </cell>
        </row>
        <row r="247">
          <cell r="AS247">
            <v>3</v>
          </cell>
        </row>
        <row r="248">
          <cell r="AS248">
            <v>0</v>
          </cell>
        </row>
        <row r="249">
          <cell r="AS249">
            <v>0</v>
          </cell>
        </row>
        <row r="250">
          <cell r="AS250">
            <v>4.51</v>
          </cell>
        </row>
        <row r="251">
          <cell r="AS251">
            <v>0</v>
          </cell>
        </row>
        <row r="252">
          <cell r="AS252">
            <v>2.48</v>
          </cell>
        </row>
        <row r="253">
          <cell r="AS253">
            <v>4.93</v>
          </cell>
        </row>
        <row r="254">
          <cell r="AS254">
            <v>7.35</v>
          </cell>
        </row>
        <row r="255">
          <cell r="AS255">
            <v>0</v>
          </cell>
        </row>
        <row r="256">
          <cell r="AS256">
            <v>0</v>
          </cell>
        </row>
        <row r="257">
          <cell r="AS257">
            <v>0</v>
          </cell>
        </row>
        <row r="258">
          <cell r="AS258">
            <v>0</v>
          </cell>
        </row>
        <row r="259">
          <cell r="AS259">
            <v>0</v>
          </cell>
        </row>
        <row r="260">
          <cell r="AS260">
            <v>0</v>
          </cell>
        </row>
        <row r="261">
          <cell r="AS261">
            <v>6.0079157267523513</v>
          </cell>
        </row>
        <row r="262">
          <cell r="AS262">
            <v>0</v>
          </cell>
        </row>
        <row r="263">
          <cell r="AS263">
            <v>0</v>
          </cell>
        </row>
        <row r="264">
          <cell r="AS264">
            <v>0</v>
          </cell>
        </row>
        <row r="265">
          <cell r="AS265">
            <v>0</v>
          </cell>
        </row>
        <row r="266">
          <cell r="AS266">
            <v>0</v>
          </cell>
        </row>
        <row r="267">
          <cell r="AS267">
            <v>0</v>
          </cell>
        </row>
        <row r="268">
          <cell r="AS268">
            <v>3.4187500000000002</v>
          </cell>
        </row>
        <row r="269">
          <cell r="AS269">
            <v>0</v>
          </cell>
        </row>
        <row r="270">
          <cell r="AS270">
            <v>0</v>
          </cell>
        </row>
        <row r="271">
          <cell r="AS271">
            <v>4.5273517813894655</v>
          </cell>
        </row>
        <row r="272">
          <cell r="AS272">
            <v>0</v>
          </cell>
        </row>
        <row r="273">
          <cell r="AS273">
            <v>2.2808163963413817</v>
          </cell>
        </row>
        <row r="274">
          <cell r="AS274">
            <v>4.7167820856920786</v>
          </cell>
        </row>
        <row r="275">
          <cell r="AS275">
            <v>6.4977734882208935</v>
          </cell>
        </row>
        <row r="276">
          <cell r="AS276">
            <v>0</v>
          </cell>
        </row>
        <row r="277">
          <cell r="AS277">
            <v>0</v>
          </cell>
        </row>
        <row r="278">
          <cell r="AS278">
            <v>0</v>
          </cell>
        </row>
        <row r="279">
          <cell r="AS279">
            <v>0</v>
          </cell>
        </row>
        <row r="280">
          <cell r="AS280">
            <v>0</v>
          </cell>
        </row>
        <row r="281">
          <cell r="AS281">
            <v>0</v>
          </cell>
        </row>
        <row r="282">
          <cell r="AS282">
            <v>5.5267139770229985</v>
          </cell>
        </row>
        <row r="283">
          <cell r="AS283">
            <v>0</v>
          </cell>
        </row>
        <row r="284">
          <cell r="AS284">
            <v>0</v>
          </cell>
        </row>
        <row r="285">
          <cell r="AS285">
            <v>0</v>
          </cell>
        </row>
        <row r="286">
          <cell r="AS286">
            <v>0</v>
          </cell>
        </row>
        <row r="287">
          <cell r="AS287">
            <v>0</v>
          </cell>
        </row>
        <row r="288">
          <cell r="AS288">
            <v>0</v>
          </cell>
        </row>
        <row r="289">
          <cell r="AS289">
            <v>3.8114999999999997</v>
          </cell>
        </row>
        <row r="290">
          <cell r="AS290">
            <v>0</v>
          </cell>
        </row>
        <row r="291">
          <cell r="AS291">
            <v>0</v>
          </cell>
        </row>
        <row r="292">
          <cell r="AS292">
            <v>4.5123361328235596</v>
          </cell>
        </row>
        <row r="293">
          <cell r="AS293">
            <v>0</v>
          </cell>
        </row>
        <row r="294">
          <cell r="AS294">
            <v>2.0607740395120051</v>
          </cell>
        </row>
        <row r="295">
          <cell r="AS295">
            <v>4.5556697961516903</v>
          </cell>
        </row>
        <row r="296">
          <cell r="AS296">
            <v>5.7108959996945945</v>
          </cell>
        </row>
        <row r="297">
          <cell r="AS297">
            <v>0</v>
          </cell>
        </row>
        <row r="298">
          <cell r="AS298">
            <v>0</v>
          </cell>
        </row>
        <row r="299">
          <cell r="AS299">
            <v>0</v>
          </cell>
        </row>
        <row r="300">
          <cell r="AS300">
            <v>0</v>
          </cell>
        </row>
        <row r="301">
          <cell r="AS301">
            <v>0</v>
          </cell>
        </row>
        <row r="302">
          <cell r="AS302">
            <v>0</v>
          </cell>
        </row>
        <row r="303">
          <cell r="AS303">
            <v>5.1739024426468125</v>
          </cell>
        </row>
        <row r="304">
          <cell r="AS304">
            <v>0</v>
          </cell>
        </row>
        <row r="305">
          <cell r="AS305">
            <v>0</v>
          </cell>
        </row>
        <row r="306">
          <cell r="AS306">
            <v>0</v>
          </cell>
        </row>
        <row r="307">
          <cell r="AS307">
            <v>0</v>
          </cell>
        </row>
        <row r="308">
          <cell r="AS308">
            <v>0</v>
          </cell>
        </row>
        <row r="309">
          <cell r="AS309">
            <v>0</v>
          </cell>
        </row>
        <row r="310">
          <cell r="AS310">
            <v>4.3212500000000009</v>
          </cell>
        </row>
        <row r="311">
          <cell r="AS311">
            <v>0</v>
          </cell>
        </row>
        <row r="312">
          <cell r="AS312">
            <v>0</v>
          </cell>
        </row>
        <row r="313">
          <cell r="AS313">
            <v>4.6472739190568237</v>
          </cell>
        </row>
        <row r="314">
          <cell r="AS314">
            <v>0</v>
          </cell>
        </row>
        <row r="315">
          <cell r="AS315">
            <v>1.9388960719510395</v>
          </cell>
        </row>
        <row r="316">
          <cell r="AS316">
            <v>4.4917712862418506</v>
          </cell>
        </row>
        <row r="317">
          <cell r="AS317">
            <v>4.9996857816831008</v>
          </cell>
        </row>
        <row r="318">
          <cell r="AS318">
            <v>0</v>
          </cell>
        </row>
        <row r="319">
          <cell r="AS319">
            <v>0</v>
          </cell>
        </row>
        <row r="320">
          <cell r="AS320">
            <v>0</v>
          </cell>
        </row>
        <row r="321">
          <cell r="AS321">
            <v>0</v>
          </cell>
        </row>
        <row r="322">
          <cell r="AS322">
            <v>0</v>
          </cell>
        </row>
        <row r="323">
          <cell r="AS323">
            <v>0</v>
          </cell>
        </row>
        <row r="324">
          <cell r="AS324">
            <v>5.18</v>
          </cell>
        </row>
        <row r="325">
          <cell r="AS325">
            <v>0</v>
          </cell>
        </row>
        <row r="326">
          <cell r="AS326">
            <v>0</v>
          </cell>
        </row>
        <row r="327">
          <cell r="AS327">
            <v>0</v>
          </cell>
        </row>
        <row r="328">
          <cell r="AS328">
            <v>0</v>
          </cell>
        </row>
        <row r="329">
          <cell r="AS329">
            <v>0</v>
          </cell>
        </row>
        <row r="330">
          <cell r="AS330">
            <v>0</v>
          </cell>
        </row>
        <row r="331">
          <cell r="AS331">
            <v>5</v>
          </cell>
        </row>
        <row r="332">
          <cell r="AS332">
            <v>0</v>
          </cell>
        </row>
        <row r="333">
          <cell r="AS333">
            <v>0</v>
          </cell>
        </row>
        <row r="334">
          <cell r="AS334">
            <v>5</v>
          </cell>
        </row>
        <row r="335">
          <cell r="AS335">
            <v>0</v>
          </cell>
        </row>
        <row r="336">
          <cell r="AS336">
            <v>1.96</v>
          </cell>
        </row>
        <row r="337">
          <cell r="AS337">
            <v>4.66</v>
          </cell>
        </row>
        <row r="338">
          <cell r="AS338">
            <v>4.5</v>
          </cell>
        </row>
        <row r="339">
          <cell r="AS339">
            <v>0</v>
          </cell>
        </row>
        <row r="340">
          <cell r="AS340">
            <v>0</v>
          </cell>
        </row>
        <row r="341">
          <cell r="AS341">
            <v>0</v>
          </cell>
        </row>
        <row r="342">
          <cell r="AS342">
            <v>0</v>
          </cell>
        </row>
        <row r="343">
          <cell r="AS343">
            <v>0</v>
          </cell>
        </row>
        <row r="344">
          <cell r="AS344">
            <v>0</v>
          </cell>
        </row>
        <row r="345">
          <cell r="AS345">
            <v>5.5225976013159652</v>
          </cell>
        </row>
        <row r="346">
          <cell r="AS346">
            <v>0</v>
          </cell>
        </row>
        <row r="347">
          <cell r="AS347">
            <v>0</v>
          </cell>
        </row>
        <row r="348">
          <cell r="AS348">
            <v>0</v>
          </cell>
        </row>
        <row r="349">
          <cell r="AS349">
            <v>0</v>
          </cell>
        </row>
        <row r="350">
          <cell r="AS350">
            <v>0</v>
          </cell>
        </row>
        <row r="351">
          <cell r="AS351">
            <v>0</v>
          </cell>
        </row>
        <row r="352">
          <cell r="AS352">
            <v>4.4670000000000005</v>
          </cell>
        </row>
        <row r="353">
          <cell r="AS353">
            <v>0</v>
          </cell>
        </row>
        <row r="354">
          <cell r="AS354">
            <v>0</v>
          </cell>
        </row>
        <row r="355">
          <cell r="AS355">
            <v>5.2568426859148927</v>
          </cell>
        </row>
        <row r="356">
          <cell r="AS356">
            <v>0</v>
          </cell>
        </row>
        <row r="357">
          <cell r="AS357">
            <v>1.782770559999463</v>
          </cell>
        </row>
        <row r="358">
          <cell r="AS358">
            <v>4.7865092286080602</v>
          </cell>
        </row>
        <row r="359">
          <cell r="AS359">
            <v>4.6872246306947103</v>
          </cell>
        </row>
        <row r="360">
          <cell r="AS360">
            <v>0</v>
          </cell>
        </row>
        <row r="361">
          <cell r="AS361">
            <v>0</v>
          </cell>
        </row>
        <row r="362">
          <cell r="AS362">
            <v>0</v>
          </cell>
        </row>
        <row r="363">
          <cell r="AS363">
            <v>0</v>
          </cell>
        </row>
        <row r="364">
          <cell r="AS364">
            <v>0</v>
          </cell>
        </row>
        <row r="365">
          <cell r="AS365">
            <v>0</v>
          </cell>
        </row>
        <row r="366">
          <cell r="AS366">
            <v>6.2416118867292694</v>
          </cell>
        </row>
        <row r="367">
          <cell r="AS367">
            <v>0</v>
          </cell>
        </row>
        <row r="368">
          <cell r="AS368">
            <v>0</v>
          </cell>
        </row>
        <row r="369">
          <cell r="AS369">
            <v>0</v>
          </cell>
        </row>
        <row r="370">
          <cell r="AS370">
            <v>0</v>
          </cell>
        </row>
        <row r="371">
          <cell r="AS371">
            <v>0</v>
          </cell>
        </row>
        <row r="372">
          <cell r="AS372">
            <v>0</v>
          </cell>
        </row>
        <row r="373">
          <cell r="AS373">
            <v>4.4409999999999998</v>
          </cell>
        </row>
        <row r="374">
          <cell r="AS374">
            <v>0</v>
          </cell>
        </row>
        <row r="375">
          <cell r="AS375">
            <v>0</v>
          </cell>
        </row>
        <row r="376">
          <cell r="AS376">
            <v>6.1622502559595205</v>
          </cell>
        </row>
        <row r="377">
          <cell r="AS377">
            <v>0</v>
          </cell>
        </row>
        <row r="378">
          <cell r="AS378">
            <v>2.0296868068287051</v>
          </cell>
        </row>
        <row r="379">
          <cell r="AS379">
            <v>5.2391425381723344</v>
          </cell>
        </row>
        <row r="380">
          <cell r="AS380">
            <v>5.09629191904164</v>
          </cell>
        </row>
        <row r="381">
          <cell r="AS381">
            <v>0</v>
          </cell>
        </row>
        <row r="382">
          <cell r="AS382">
            <v>0</v>
          </cell>
        </row>
        <row r="383">
          <cell r="AS383">
            <v>0</v>
          </cell>
        </row>
        <row r="384">
          <cell r="AS384">
            <v>0</v>
          </cell>
        </row>
        <row r="385">
          <cell r="AS385">
            <v>0</v>
          </cell>
        </row>
        <row r="386">
          <cell r="AS386">
            <v>0</v>
          </cell>
        </row>
        <row r="387">
          <cell r="AS387">
            <v>8.4050164347109568</v>
          </cell>
        </row>
        <row r="388">
          <cell r="AS388">
            <v>0</v>
          </cell>
        </row>
        <row r="389">
          <cell r="AS389">
            <v>0</v>
          </cell>
        </row>
        <row r="390">
          <cell r="AS390">
            <v>0</v>
          </cell>
        </row>
        <row r="391">
          <cell r="AS391">
            <v>0</v>
          </cell>
        </row>
        <row r="392">
          <cell r="AS392">
            <v>0</v>
          </cell>
        </row>
        <row r="393">
          <cell r="AS393">
            <v>0</v>
          </cell>
        </row>
        <row r="394">
          <cell r="AS394">
            <v>5.0650000000000004</v>
          </cell>
        </row>
        <row r="395">
          <cell r="AS395">
            <v>0</v>
          </cell>
        </row>
        <row r="396">
          <cell r="AS396">
            <v>0</v>
          </cell>
        </row>
        <row r="397">
          <cell r="AS397">
            <v>7.9057435748884277</v>
          </cell>
        </row>
        <row r="398">
          <cell r="AS398">
            <v>0</v>
          </cell>
        </row>
        <row r="399">
          <cell r="AS399">
            <v>2.8269718829268946</v>
          </cell>
        </row>
        <row r="400">
          <cell r="AS400">
            <v>6.6183944686274696</v>
          </cell>
        </row>
        <row r="401">
          <cell r="AS401">
            <v>6.3566160893022197</v>
          </cell>
        </row>
        <row r="402">
          <cell r="AS402">
            <v>0</v>
          </cell>
        </row>
        <row r="403">
          <cell r="AS403">
            <v>0</v>
          </cell>
        </row>
        <row r="404">
          <cell r="AS404">
            <v>0</v>
          </cell>
        </row>
        <row r="405">
          <cell r="AS405">
            <v>0</v>
          </cell>
        </row>
        <row r="406">
          <cell r="AS406">
            <v>0</v>
          </cell>
        </row>
        <row r="407">
          <cell r="AS407">
            <v>0</v>
          </cell>
        </row>
        <row r="408">
          <cell r="AS408">
            <v>10.37</v>
          </cell>
        </row>
        <row r="409">
          <cell r="AS409">
            <v>0</v>
          </cell>
        </row>
        <row r="410">
          <cell r="AS410">
            <v>0</v>
          </cell>
        </row>
        <row r="411">
          <cell r="AS411">
            <v>0</v>
          </cell>
        </row>
        <row r="412">
          <cell r="AS412">
            <v>0</v>
          </cell>
        </row>
        <row r="413">
          <cell r="AS413">
            <v>0</v>
          </cell>
        </row>
        <row r="414">
          <cell r="AS414">
            <v>0</v>
          </cell>
        </row>
        <row r="415">
          <cell r="AS415">
            <v>5</v>
          </cell>
        </row>
        <row r="416">
          <cell r="AS416">
            <v>0</v>
          </cell>
        </row>
        <row r="417">
          <cell r="AS417">
            <v>0</v>
          </cell>
        </row>
        <row r="418">
          <cell r="AS418">
            <v>8.77</v>
          </cell>
        </row>
        <row r="419">
          <cell r="AS419">
            <v>0</v>
          </cell>
        </row>
        <row r="420">
          <cell r="AS420">
            <v>3.05</v>
          </cell>
        </row>
        <row r="421">
          <cell r="AS421">
            <v>7.72</v>
          </cell>
        </row>
        <row r="422">
          <cell r="AS422">
            <v>7.5</v>
          </cell>
        </row>
        <row r="423">
          <cell r="AS423">
            <v>0</v>
          </cell>
        </row>
        <row r="424">
          <cell r="AS424">
            <v>0</v>
          </cell>
        </row>
        <row r="425">
          <cell r="AS425">
            <v>0</v>
          </cell>
        </row>
        <row r="426">
          <cell r="AS426">
            <v>0</v>
          </cell>
        </row>
        <row r="427">
          <cell r="AS427">
            <v>0</v>
          </cell>
        </row>
        <row r="428">
          <cell r="AS428">
            <v>0</v>
          </cell>
        </row>
        <row r="429">
          <cell r="AS429">
            <v>11.055720720798455</v>
          </cell>
        </row>
        <row r="430">
          <cell r="AS430">
            <v>0</v>
          </cell>
        </row>
        <row r="431">
          <cell r="AS431">
            <v>0</v>
          </cell>
        </row>
        <row r="432">
          <cell r="AS432">
            <v>0</v>
          </cell>
        </row>
        <row r="433">
          <cell r="AS433">
            <v>0</v>
          </cell>
        </row>
        <row r="434">
          <cell r="AS434">
            <v>0</v>
          </cell>
        </row>
        <row r="435">
          <cell r="AS435">
            <v>0</v>
          </cell>
        </row>
        <row r="436">
          <cell r="AS436">
            <v>4.5049999999999999</v>
          </cell>
        </row>
        <row r="437">
          <cell r="AS437">
            <v>0</v>
          </cell>
        </row>
        <row r="438">
          <cell r="AS438">
            <v>0</v>
          </cell>
        </row>
        <row r="439">
          <cell r="AS439">
            <v>8.9403371497768553</v>
          </cell>
        </row>
        <row r="440">
          <cell r="AS440">
            <v>0</v>
          </cell>
        </row>
        <row r="441">
          <cell r="AS441">
            <v>3.1627937658537895</v>
          </cell>
        </row>
        <row r="442">
          <cell r="AS442">
            <v>8.1151363585385674</v>
          </cell>
        </row>
        <row r="443">
          <cell r="AS443">
            <v>7.9041320788047393</v>
          </cell>
        </row>
        <row r="444">
          <cell r="AS444">
            <v>0</v>
          </cell>
        </row>
        <row r="445">
          <cell r="AS445">
            <v>0</v>
          </cell>
        </row>
        <row r="446">
          <cell r="AS446">
            <v>0</v>
          </cell>
        </row>
        <row r="447">
          <cell r="AS447">
            <v>0</v>
          </cell>
        </row>
        <row r="448">
          <cell r="AS448">
            <v>0</v>
          </cell>
        </row>
        <row r="449">
          <cell r="AS449">
            <v>0</v>
          </cell>
        </row>
        <row r="450">
          <cell r="AS450">
            <v>12.689778203031141</v>
          </cell>
        </row>
        <row r="451">
          <cell r="AS451">
            <v>0</v>
          </cell>
        </row>
        <row r="452">
          <cell r="AS452">
            <v>0</v>
          </cell>
        </row>
        <row r="453">
          <cell r="AS453">
            <v>0</v>
          </cell>
        </row>
        <row r="454">
          <cell r="AS454">
            <v>0</v>
          </cell>
        </row>
        <row r="455">
          <cell r="AS455">
            <v>0</v>
          </cell>
        </row>
        <row r="456">
          <cell r="AS456">
            <v>0</v>
          </cell>
        </row>
        <row r="457">
          <cell r="AS457">
            <v>4.9850000000000012</v>
          </cell>
        </row>
        <row r="458">
          <cell r="AS458">
            <v>0</v>
          </cell>
        </row>
        <row r="459">
          <cell r="AS459">
            <v>0</v>
          </cell>
        </row>
        <row r="460">
          <cell r="AS460">
            <v>10.359452922880127</v>
          </cell>
        </row>
        <row r="461">
          <cell r="AS461">
            <v>0</v>
          </cell>
        </row>
        <row r="462">
          <cell r="AS462">
            <v>4.0927907756110002</v>
          </cell>
        </row>
        <row r="463">
          <cell r="AS463">
            <v>9.2561067157261849</v>
          </cell>
        </row>
        <row r="464">
          <cell r="AS464">
            <v>8.8671701182653351</v>
          </cell>
        </row>
        <row r="465">
          <cell r="AS465">
            <v>0</v>
          </cell>
        </row>
        <row r="466">
          <cell r="AS466">
            <v>0</v>
          </cell>
        </row>
        <row r="467">
          <cell r="AS467">
            <v>0</v>
          </cell>
        </row>
        <row r="468">
          <cell r="AS468">
            <v>0</v>
          </cell>
        </row>
        <row r="469">
          <cell r="AS469">
            <v>0</v>
          </cell>
        </row>
        <row r="470">
          <cell r="AS470">
            <v>0</v>
          </cell>
        </row>
        <row r="471">
          <cell r="AS471">
            <v>14.825319136029719</v>
          </cell>
        </row>
        <row r="472">
          <cell r="AS472">
            <v>0</v>
          </cell>
        </row>
        <row r="473">
          <cell r="AS473">
            <v>0</v>
          </cell>
        </row>
        <row r="474">
          <cell r="AS474">
            <v>0</v>
          </cell>
        </row>
        <row r="475">
          <cell r="AS475">
            <v>0</v>
          </cell>
        </row>
        <row r="476">
          <cell r="AS476">
            <v>0</v>
          </cell>
        </row>
        <row r="477">
          <cell r="AS477">
            <v>0</v>
          </cell>
        </row>
        <row r="478">
          <cell r="AS478">
            <v>5.7120000000000015</v>
          </cell>
        </row>
        <row r="479">
          <cell r="AS479">
            <v>0</v>
          </cell>
        </row>
        <row r="480">
          <cell r="AS480">
            <v>0</v>
          </cell>
        </row>
        <row r="481">
          <cell r="AS481">
            <v>9.8277320581255854</v>
          </cell>
        </row>
        <row r="482">
          <cell r="AS482">
            <v>0</v>
          </cell>
        </row>
        <row r="483">
          <cell r="AS483">
            <v>6.7943676331718317</v>
          </cell>
        </row>
        <row r="484">
          <cell r="AS484">
            <v>10.211595769986062</v>
          </cell>
        </row>
        <row r="485">
          <cell r="AS485">
            <v>8.7585154406147918</v>
          </cell>
        </row>
        <row r="486">
          <cell r="AS486">
            <v>0</v>
          </cell>
        </row>
        <row r="487">
          <cell r="AS487">
            <v>0</v>
          </cell>
        </row>
        <row r="488">
          <cell r="AS488">
            <v>0</v>
          </cell>
        </row>
        <row r="489">
          <cell r="AS489">
            <v>0</v>
          </cell>
        </row>
        <row r="490">
          <cell r="AS490">
            <v>0</v>
          </cell>
        </row>
        <row r="491">
          <cell r="AS491">
            <v>0</v>
          </cell>
        </row>
        <row r="492">
          <cell r="AS492">
            <v>15.96</v>
          </cell>
        </row>
        <row r="493">
          <cell r="AS493">
            <v>0</v>
          </cell>
        </row>
        <row r="494">
          <cell r="AS494">
            <v>0</v>
          </cell>
        </row>
        <row r="495">
          <cell r="AS495">
            <v>0</v>
          </cell>
        </row>
        <row r="496">
          <cell r="AS496">
            <v>0</v>
          </cell>
        </row>
        <row r="497">
          <cell r="AS497">
            <v>0</v>
          </cell>
        </row>
        <row r="498">
          <cell r="AS498">
            <v>0</v>
          </cell>
        </row>
        <row r="499">
          <cell r="AS499">
            <v>5.49</v>
          </cell>
        </row>
        <row r="500">
          <cell r="AS500">
            <v>0</v>
          </cell>
        </row>
        <row r="501">
          <cell r="AS501">
            <v>0</v>
          </cell>
        </row>
        <row r="502">
          <cell r="AS502">
            <v>8.08</v>
          </cell>
        </row>
        <row r="503">
          <cell r="AS503">
            <v>0</v>
          </cell>
        </row>
        <row r="504">
          <cell r="AS504">
            <v>8.6999999999999993</v>
          </cell>
        </row>
        <row r="505">
          <cell r="AS505">
            <v>10.4</v>
          </cell>
        </row>
        <row r="506">
          <cell r="AS506">
            <v>8.06</v>
          </cell>
        </row>
        <row r="507">
          <cell r="AS507">
            <v>0</v>
          </cell>
        </row>
        <row r="508">
          <cell r="AS508">
            <v>0</v>
          </cell>
        </row>
        <row r="509">
          <cell r="AS509">
            <v>0</v>
          </cell>
        </row>
        <row r="510">
          <cell r="AS510">
            <v>0</v>
          </cell>
        </row>
        <row r="511">
          <cell r="AS511">
            <v>0</v>
          </cell>
        </row>
        <row r="512">
          <cell r="AS512">
            <v>0</v>
          </cell>
        </row>
        <row r="513">
          <cell r="AS513">
            <v>19.56293660170428</v>
          </cell>
        </row>
        <row r="514">
          <cell r="AS514">
            <v>0</v>
          </cell>
        </row>
        <row r="515">
          <cell r="AS515">
            <v>0</v>
          </cell>
        </row>
        <row r="516">
          <cell r="AS516">
            <v>0</v>
          </cell>
        </row>
        <row r="517">
          <cell r="AS517">
            <v>0</v>
          </cell>
        </row>
        <row r="518">
          <cell r="AS518">
            <v>0</v>
          </cell>
        </row>
        <row r="519">
          <cell r="AS519">
            <v>0</v>
          </cell>
        </row>
        <row r="520">
          <cell r="AS520">
            <v>7.6322500000000009</v>
          </cell>
        </row>
        <row r="521">
          <cell r="AS521">
            <v>0</v>
          </cell>
        </row>
        <row r="522">
          <cell r="AS522">
            <v>0</v>
          </cell>
        </row>
        <row r="523">
          <cell r="AS523">
            <v>9.9281643082208131</v>
          </cell>
        </row>
        <row r="524">
          <cell r="AS524">
            <v>0</v>
          </cell>
        </row>
        <row r="525">
          <cell r="AS525">
            <v>8.6945128714651911</v>
          </cell>
        </row>
        <row r="526">
          <cell r="AS526">
            <v>12.234913396226879</v>
          </cell>
        </row>
        <row r="527">
          <cell r="AS527">
            <v>10.233756013630229</v>
          </cell>
        </row>
        <row r="528">
          <cell r="AS528">
            <v>0</v>
          </cell>
        </row>
        <row r="529">
          <cell r="AS529">
            <v>0</v>
          </cell>
        </row>
        <row r="530">
          <cell r="AS530">
            <v>0</v>
          </cell>
        </row>
        <row r="531">
          <cell r="AS531">
            <v>0</v>
          </cell>
        </row>
        <row r="532">
          <cell r="AS532">
            <v>0</v>
          </cell>
        </row>
        <row r="533">
          <cell r="AS533">
            <v>0</v>
          </cell>
        </row>
        <row r="534">
          <cell r="AS534">
            <v>21.881971348277627</v>
          </cell>
        </row>
        <row r="535">
          <cell r="AS535">
            <v>0</v>
          </cell>
        </row>
        <row r="536">
          <cell r="AS536">
            <v>0</v>
          </cell>
        </row>
        <row r="537">
          <cell r="AS537">
            <v>0</v>
          </cell>
        </row>
        <row r="538">
          <cell r="AS538">
            <v>0</v>
          </cell>
        </row>
        <row r="539">
          <cell r="AS539">
            <v>0</v>
          </cell>
        </row>
        <row r="540">
          <cell r="AS540">
            <v>0</v>
          </cell>
        </row>
        <row r="541">
          <cell r="AS541">
            <v>8.0195000000000007</v>
          </cell>
        </row>
        <row r="542">
          <cell r="AS542">
            <v>0</v>
          </cell>
        </row>
        <row r="543">
          <cell r="AS543">
            <v>0</v>
          </cell>
        </row>
        <row r="544">
          <cell r="AS544">
            <v>9.5314270944540773</v>
          </cell>
        </row>
        <row r="545">
          <cell r="AS545">
            <v>0</v>
          </cell>
        </row>
        <row r="546">
          <cell r="AS546">
            <v>7.2209599039042258</v>
          </cell>
        </row>
        <row r="547">
          <cell r="AS547">
            <v>12.951022888872656</v>
          </cell>
        </row>
        <row r="548">
          <cell r="AS548">
            <v>11.650839399926912</v>
          </cell>
        </row>
        <row r="549">
          <cell r="AS549">
            <v>0</v>
          </cell>
        </row>
        <row r="550">
          <cell r="AS550">
            <v>0</v>
          </cell>
        </row>
        <row r="551">
          <cell r="AS551">
            <v>0</v>
          </cell>
        </row>
        <row r="552">
          <cell r="AS552">
            <v>0</v>
          </cell>
        </row>
        <row r="553">
          <cell r="AS553">
            <v>0</v>
          </cell>
        </row>
        <row r="554">
          <cell r="AS554">
            <v>0</v>
          </cell>
        </row>
        <row r="555">
          <cell r="AS555">
            <v>20.725715356839888</v>
          </cell>
        </row>
        <row r="556">
          <cell r="AS556">
            <v>0</v>
          </cell>
        </row>
        <row r="557">
          <cell r="AS557">
            <v>0</v>
          </cell>
        </row>
        <row r="558">
          <cell r="AS558">
            <v>0</v>
          </cell>
        </row>
        <row r="559">
          <cell r="AS559">
            <v>0</v>
          </cell>
        </row>
        <row r="560">
          <cell r="AS560">
            <v>0</v>
          </cell>
        </row>
        <row r="561">
          <cell r="AS561">
            <v>0</v>
          </cell>
        </row>
        <row r="562">
          <cell r="AS562">
            <v>7.2887500000000003</v>
          </cell>
        </row>
        <row r="563">
          <cell r="AS563">
            <v>0</v>
          </cell>
        </row>
        <row r="564">
          <cell r="AS564">
            <v>0</v>
          </cell>
        </row>
        <row r="565">
          <cell r="AS565">
            <v>7.6863903926063815</v>
          </cell>
        </row>
        <row r="566">
          <cell r="AS566">
            <v>0</v>
          </cell>
        </row>
        <row r="567">
          <cell r="AS567">
            <v>4.7939805500006702</v>
          </cell>
        </row>
        <row r="568">
          <cell r="AS568">
            <v>11.549433863668575</v>
          </cell>
        </row>
        <row r="569">
          <cell r="AS569">
            <v>11.019747077695984</v>
          </cell>
        </row>
        <row r="570">
          <cell r="AS570">
            <v>0</v>
          </cell>
        </row>
        <row r="571">
          <cell r="AS571">
            <v>0</v>
          </cell>
        </row>
        <row r="572">
          <cell r="AS572">
            <v>0</v>
          </cell>
        </row>
        <row r="573">
          <cell r="AS573">
            <v>0</v>
          </cell>
        </row>
        <row r="574">
          <cell r="AS574">
            <v>0</v>
          </cell>
        </row>
        <row r="575">
          <cell r="AS575">
            <v>0</v>
          </cell>
        </row>
        <row r="576">
          <cell r="AS576">
            <v>18.91</v>
          </cell>
        </row>
        <row r="577">
          <cell r="AS577">
            <v>0</v>
          </cell>
        </row>
        <row r="578">
          <cell r="AS578">
            <v>0</v>
          </cell>
        </row>
        <row r="579">
          <cell r="AS579">
            <v>0</v>
          </cell>
        </row>
        <row r="580">
          <cell r="AS580">
            <v>0</v>
          </cell>
        </row>
        <row r="581">
          <cell r="AS581">
            <v>0</v>
          </cell>
        </row>
        <row r="582">
          <cell r="AS582">
            <v>0</v>
          </cell>
        </row>
        <row r="583">
          <cell r="AS583">
            <v>7</v>
          </cell>
        </row>
        <row r="584">
          <cell r="AS584">
            <v>0</v>
          </cell>
        </row>
        <row r="585">
          <cell r="AS585">
            <v>0</v>
          </cell>
        </row>
        <row r="586">
          <cell r="AS586">
            <v>6.4</v>
          </cell>
        </row>
        <row r="587">
          <cell r="AS587">
            <v>0</v>
          </cell>
        </row>
        <row r="588">
          <cell r="AS588">
            <v>2.73</v>
          </cell>
        </row>
        <row r="589">
          <cell r="AS589">
            <v>9.91</v>
          </cell>
        </row>
        <row r="590">
          <cell r="AS590">
            <v>10</v>
          </cell>
        </row>
        <row r="591">
          <cell r="AS591">
            <v>0</v>
          </cell>
        </row>
        <row r="592">
          <cell r="AS592">
            <v>0</v>
          </cell>
        </row>
        <row r="593">
          <cell r="AS593">
            <v>0</v>
          </cell>
        </row>
        <row r="594">
          <cell r="AS594">
            <v>0</v>
          </cell>
        </row>
        <row r="595">
          <cell r="AS595">
            <v>0</v>
          </cell>
        </row>
        <row r="596">
          <cell r="AS596">
            <v>0</v>
          </cell>
        </row>
        <row r="597">
          <cell r="AS597">
            <v>16.925786956976829</v>
          </cell>
        </row>
        <row r="598">
          <cell r="AS598">
            <v>0</v>
          </cell>
        </row>
        <row r="599">
          <cell r="AS599">
            <v>0</v>
          </cell>
        </row>
        <row r="600">
          <cell r="AS600">
            <v>0</v>
          </cell>
        </row>
        <row r="601">
          <cell r="AS601">
            <v>0</v>
          </cell>
        </row>
        <row r="602">
          <cell r="AS602">
            <v>0</v>
          </cell>
        </row>
        <row r="603">
          <cell r="AS603">
            <v>0</v>
          </cell>
        </row>
        <row r="604">
          <cell r="AS604">
            <v>6.415</v>
          </cell>
        </row>
        <row r="605">
          <cell r="AS605">
            <v>0</v>
          </cell>
        </row>
        <row r="606">
          <cell r="AS606">
            <v>0</v>
          </cell>
        </row>
        <row r="607">
          <cell r="AS607">
            <v>5.6410328260041496</v>
          </cell>
        </row>
        <row r="608">
          <cell r="AS608">
            <v>0</v>
          </cell>
        </row>
        <row r="609">
          <cell r="AS609">
            <v>2.2299780536579479</v>
          </cell>
        </row>
        <row r="610">
          <cell r="AS610">
            <v>8.7142707209224</v>
          </cell>
        </row>
        <row r="611">
          <cell r="AS611">
            <v>8.8305965657044716</v>
          </cell>
        </row>
        <row r="612">
          <cell r="AS612">
            <v>0</v>
          </cell>
        </row>
        <row r="613">
          <cell r="AS613">
            <v>0</v>
          </cell>
        </row>
        <row r="614">
          <cell r="AS614">
            <v>0</v>
          </cell>
        </row>
        <row r="615">
          <cell r="AS615">
            <v>0</v>
          </cell>
        </row>
        <row r="616">
          <cell r="AS616">
            <v>0</v>
          </cell>
        </row>
        <row r="617">
          <cell r="AS617">
            <v>0</v>
          </cell>
        </row>
        <row r="618">
          <cell r="AS618">
            <v>15.218780289060673</v>
          </cell>
        </row>
        <row r="619">
          <cell r="AS619">
            <v>0</v>
          </cell>
        </row>
        <row r="620">
          <cell r="AS620">
            <v>0</v>
          </cell>
        </row>
        <row r="621">
          <cell r="AS621">
            <v>0</v>
          </cell>
        </row>
        <row r="622">
          <cell r="AS622">
            <v>0</v>
          </cell>
        </row>
        <row r="623">
          <cell r="AS623">
            <v>0</v>
          </cell>
        </row>
        <row r="624">
          <cell r="AS624">
            <v>0</v>
          </cell>
        </row>
        <row r="625">
          <cell r="AS625">
            <v>5.6349999999999998</v>
          </cell>
        </row>
        <row r="626">
          <cell r="AS626">
            <v>0</v>
          </cell>
        </row>
        <row r="627">
          <cell r="AS627">
            <v>0</v>
          </cell>
        </row>
        <row r="628">
          <cell r="AS628">
            <v>4.6355099273430165</v>
          </cell>
        </row>
        <row r="629">
          <cell r="AS629">
            <v>0</v>
          </cell>
        </row>
        <row r="630">
          <cell r="AS630">
            <v>1.5697154585352107</v>
          </cell>
        </row>
        <row r="631">
          <cell r="AS631">
            <v>7.6162130354801567</v>
          </cell>
        </row>
        <row r="632">
          <cell r="AS632">
            <v>7.8245657068330772</v>
          </cell>
        </row>
        <row r="633">
          <cell r="AS633">
            <v>0</v>
          </cell>
        </row>
        <row r="634">
          <cell r="AS634">
            <v>0</v>
          </cell>
        </row>
        <row r="635">
          <cell r="AS635">
            <v>0</v>
          </cell>
        </row>
        <row r="636">
          <cell r="AS636">
            <v>0</v>
          </cell>
        </row>
        <row r="637">
          <cell r="AS637">
            <v>0</v>
          </cell>
        </row>
        <row r="638">
          <cell r="AS638">
            <v>0</v>
          </cell>
        </row>
        <row r="639">
          <cell r="AS639">
            <v>15.306318748235023</v>
          </cell>
        </row>
        <row r="640">
          <cell r="AS640">
            <v>0</v>
          </cell>
        </row>
        <row r="641">
          <cell r="AS641">
            <v>0</v>
          </cell>
        </row>
        <row r="642">
          <cell r="AS642">
            <v>0</v>
          </cell>
        </row>
        <row r="643">
          <cell r="AS643">
            <v>0</v>
          </cell>
        </row>
        <row r="644">
          <cell r="AS644">
            <v>0</v>
          </cell>
        </row>
        <row r="645">
          <cell r="AS645">
            <v>0</v>
          </cell>
        </row>
        <row r="646">
          <cell r="AS646">
            <v>6.3500000000000005</v>
          </cell>
        </row>
        <row r="647">
          <cell r="AS647">
            <v>0</v>
          </cell>
        </row>
        <row r="648">
          <cell r="AS648">
            <v>0</v>
          </cell>
        </row>
        <row r="649">
          <cell r="AS649">
            <v>5.5471142511157217</v>
          </cell>
        </row>
        <row r="650">
          <cell r="AS650">
            <v>0</v>
          </cell>
        </row>
        <row r="651">
          <cell r="AS651">
            <v>2.1648311707310532</v>
          </cell>
        </row>
        <row r="652">
          <cell r="AS652">
            <v>7.8417538097952288</v>
          </cell>
        </row>
        <row r="653">
          <cell r="AS653">
            <v>7.8761569431430694</v>
          </cell>
        </row>
        <row r="654">
          <cell r="AS654">
            <v>0</v>
          </cell>
        </row>
        <row r="655">
          <cell r="AS655">
            <v>0</v>
          </cell>
        </row>
        <row r="656">
          <cell r="AS656">
            <v>0</v>
          </cell>
        </row>
        <row r="657">
          <cell r="AS657">
            <v>0</v>
          </cell>
        </row>
        <row r="658">
          <cell r="AS658">
            <v>0</v>
          </cell>
        </row>
        <row r="659">
          <cell r="AS65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(MECS) Prices"/>
      <sheetName val="Predicted Other Prices"/>
      <sheetName val="Other-311"/>
      <sheetName val="Other-312"/>
      <sheetName val="Other-313"/>
      <sheetName val="Other-314"/>
      <sheetName val="Other-315"/>
      <sheetName val="Other-316"/>
      <sheetName val="Other-321"/>
      <sheetName val="Other-322"/>
      <sheetName val="Other-323"/>
      <sheetName val="Other-324"/>
      <sheetName val="Other-325"/>
      <sheetName val="Other-326"/>
      <sheetName val="Other-327"/>
      <sheetName val="Other-331"/>
      <sheetName val="Other-332"/>
      <sheetName val="Other-333"/>
      <sheetName val="Other-334"/>
      <sheetName val="Other-335"/>
      <sheetName val="Other-336"/>
      <sheetName val="Other-337"/>
      <sheetName val="Other-339"/>
    </sheetNames>
    <sheetDataSet>
      <sheetData sheetId="0"/>
      <sheetData sheetId="1">
        <row r="240">
          <cell r="AT240">
            <v>2.4883720930232558</v>
          </cell>
        </row>
        <row r="241">
          <cell r="AT241">
            <v>2</v>
          </cell>
        </row>
        <row r="242">
          <cell r="AT242">
            <v>2.3333333333333335</v>
          </cell>
        </row>
        <row r="243">
          <cell r="AT243">
            <v>2.33</v>
          </cell>
        </row>
        <row r="244">
          <cell r="AT244">
            <v>2</v>
          </cell>
        </row>
        <row r="245">
          <cell r="AT245">
            <v>2.5</v>
          </cell>
        </row>
        <row r="246">
          <cell r="AT246">
            <v>2.129032258064516</v>
          </cell>
        </row>
        <row r="247">
          <cell r="AT247">
            <v>2.1297468354430378</v>
          </cell>
        </row>
        <row r="248">
          <cell r="AT248">
            <v>2.5</v>
          </cell>
        </row>
        <row r="249">
          <cell r="AT249">
            <v>2.9220779220779223</v>
          </cell>
        </row>
        <row r="250">
          <cell r="AT250">
            <v>3.5084427767354596</v>
          </cell>
        </row>
        <row r="251">
          <cell r="AT251">
            <v>4.2</v>
          </cell>
        </row>
        <row r="252">
          <cell r="AT252">
            <v>1.3571428571428572</v>
          </cell>
        </row>
        <row r="253">
          <cell r="AT253">
            <v>5.3417721518987342</v>
          </cell>
        </row>
        <row r="254">
          <cell r="AT254">
            <v>12.925925925925924</v>
          </cell>
        </row>
        <row r="255">
          <cell r="AT255">
            <v>7.8571428571428568</v>
          </cell>
        </row>
        <row r="256">
          <cell r="AT256">
            <v>5.5</v>
          </cell>
        </row>
        <row r="257">
          <cell r="AT257">
            <v>0.41514360313315923</v>
          </cell>
        </row>
        <row r="258">
          <cell r="AT258">
            <v>3.8518518518518516</v>
          </cell>
        </row>
        <row r="259">
          <cell r="AT259">
            <v>4.666666666666667</v>
          </cell>
        </row>
        <row r="260">
          <cell r="AT260">
            <v>3.6</v>
          </cell>
        </row>
        <row r="261">
          <cell r="AT261">
            <v>2.9238001803903613</v>
          </cell>
        </row>
        <row r="262">
          <cell r="AT262">
            <v>2.1068422754296718</v>
          </cell>
        </row>
        <row r="263">
          <cell r="AT263">
            <v>2.5350944380262748</v>
          </cell>
        </row>
        <row r="264">
          <cell r="AT264">
            <v>2.4842421735699984</v>
          </cell>
        </row>
        <row r="265">
          <cell r="AT265">
            <v>2.2525422212458386</v>
          </cell>
        </row>
        <row r="266">
          <cell r="AT266">
            <v>2.6637711106229194</v>
          </cell>
        </row>
        <row r="267">
          <cell r="AT267">
            <v>1.8777692147767753</v>
          </cell>
        </row>
        <row r="268">
          <cell r="AT268">
            <v>2.2149383573623398</v>
          </cell>
        </row>
        <row r="269">
          <cell r="AT269">
            <v>2.4431744305339222</v>
          </cell>
        </row>
        <row r="270">
          <cell r="AT270">
            <v>2.9693128758951883</v>
          </cell>
        </row>
        <row r="271">
          <cell r="AT271">
            <v>3.3832068422067505</v>
          </cell>
        </row>
        <row r="272">
          <cell r="AT272">
            <v>4.0410291689590725</v>
          </cell>
        </row>
        <row r="273">
          <cell r="AT273">
            <v>1.3093776713170602</v>
          </cell>
        </row>
        <row r="274">
          <cell r="AT274">
            <v>4.4610149935558576</v>
          </cell>
        </row>
        <row r="275">
          <cell r="AT275">
            <v>13.36607503793722</v>
          </cell>
        </row>
        <row r="276">
          <cell r="AT276">
            <v>7.6919028467451103</v>
          </cell>
        </row>
        <row r="277">
          <cell r="AT277">
            <v>5.153070438428716</v>
          </cell>
        </row>
        <row r="278">
          <cell r="AT278">
            <v>0.87206545905303479</v>
          </cell>
        </row>
        <row r="279">
          <cell r="AT279">
            <v>3.6601252481147819</v>
          </cell>
        </row>
        <row r="280">
          <cell r="AT280">
            <v>3.9453557109808641</v>
          </cell>
        </row>
        <row r="281">
          <cell r="AT281">
            <v>3.1084007547193684</v>
          </cell>
        </row>
        <row r="282">
          <cell r="AT282">
            <v>3.3825778484116302</v>
          </cell>
        </row>
        <row r="283">
          <cell r="AT283">
            <v>2.2701442973782129</v>
          </cell>
        </row>
        <row r="284">
          <cell r="AT284">
            <v>2.7768970050132675</v>
          </cell>
        </row>
        <row r="285">
          <cell r="AT285">
            <v>2.6969971627600628</v>
          </cell>
        </row>
        <row r="286">
          <cell r="AT286">
            <v>2.551783603800005</v>
          </cell>
        </row>
        <row r="287">
          <cell r="AT287">
            <v>2.8508918019000022</v>
          </cell>
        </row>
        <row r="288">
          <cell r="AT288">
            <v>1.6649529181475733</v>
          </cell>
        </row>
        <row r="289">
          <cell r="AT289">
            <v>2.336641296979558</v>
          </cell>
        </row>
        <row r="290">
          <cell r="AT290">
            <v>2.4229730369749967</v>
          </cell>
        </row>
        <row r="291">
          <cell r="AT291">
            <v>3.0914973680968023</v>
          </cell>
        </row>
        <row r="292">
          <cell r="AT292">
            <v>3.3215570416315323</v>
          </cell>
        </row>
        <row r="293">
          <cell r="AT293">
            <v>3.9555340727184847</v>
          </cell>
        </row>
        <row r="294">
          <cell r="AT294">
            <v>1.2812565565974472</v>
          </cell>
        </row>
        <row r="295">
          <cell r="AT295">
            <v>3.6157992557314813</v>
          </cell>
        </row>
        <row r="296">
          <cell r="AT296">
            <v>13.913429176240953</v>
          </cell>
        </row>
        <row r="297">
          <cell r="AT297">
            <v>7.5603075939589495</v>
          </cell>
        </row>
        <row r="298">
          <cell r="AT298">
            <v>4.9577301220839782</v>
          </cell>
        </row>
        <row r="299">
          <cell r="AT299">
            <v>1.3704237748287913</v>
          </cell>
        </row>
        <row r="300">
          <cell r="AT300">
            <v>3.5378887067375899</v>
          </cell>
        </row>
        <row r="301">
          <cell r="AT301">
            <v>3.2613696004833459</v>
          </cell>
        </row>
        <row r="302">
          <cell r="AT302">
            <v>2.6775296055090863</v>
          </cell>
        </row>
        <row r="303">
          <cell r="AT303">
            <v>3.8727050456416467</v>
          </cell>
        </row>
        <row r="304">
          <cell r="AT304">
            <v>2.5092500992244502</v>
          </cell>
        </row>
        <row r="305">
          <cell r="AT305">
            <v>3.0724598947375563</v>
          </cell>
        </row>
        <row r="306">
          <cell r="AT306">
            <v>2.9742088649043703</v>
          </cell>
        </row>
        <row r="307">
          <cell r="AT307">
            <v>2.9137240447716657</v>
          </cell>
        </row>
        <row r="308">
          <cell r="AT308">
            <v>3.0693620223858327</v>
          </cell>
        </row>
        <row r="309">
          <cell r="AT309">
            <v>1.4849871927521932</v>
          </cell>
        </row>
        <row r="310">
          <cell r="AT310">
            <v>2.5073650636740066</v>
          </cell>
        </row>
        <row r="311">
          <cell r="AT311">
            <v>2.4519438615108249</v>
          </cell>
        </row>
        <row r="312">
          <cell r="AT312">
            <v>3.29624498624375</v>
          </cell>
        </row>
        <row r="313">
          <cell r="AT313">
            <v>3.3451456212017256</v>
          </cell>
        </row>
        <row r="314">
          <cell r="AT314">
            <v>3.9406298933572819</v>
          </cell>
        </row>
        <row r="315">
          <cell r="AT315">
            <v>1.2795098933098865</v>
          </cell>
        </row>
        <row r="316">
          <cell r="AT316">
            <v>2.8183020108928223</v>
          </cell>
        </row>
        <row r="317">
          <cell r="AT317">
            <v>14.578878530541349</v>
          </cell>
        </row>
        <row r="318">
          <cell r="AT318">
            <v>7.4669244384313815</v>
          </cell>
        </row>
        <row r="319">
          <cell r="AT319">
            <v>4.8919142449024173</v>
          </cell>
        </row>
        <row r="320">
          <cell r="AT320">
            <v>1.9244153599038571</v>
          </cell>
        </row>
        <row r="321">
          <cell r="AT321">
            <v>3.5088172564289613</v>
          </cell>
        </row>
        <row r="322">
          <cell r="AT322">
            <v>2.609275459845827</v>
          </cell>
        </row>
        <row r="323">
          <cell r="AT323">
            <v>2.3135554829806777</v>
          </cell>
        </row>
        <row r="324">
          <cell r="AT324">
            <v>4.375</v>
          </cell>
        </row>
        <row r="325">
          <cell r="AT325">
            <v>2.7777777777777777</v>
          </cell>
        </row>
        <row r="326">
          <cell r="AT326">
            <v>3.3888888888888888</v>
          </cell>
        </row>
        <row r="327">
          <cell r="AT327">
            <v>3.3</v>
          </cell>
        </row>
        <row r="328">
          <cell r="AT328">
            <v>3.3</v>
          </cell>
        </row>
        <row r="329">
          <cell r="AT329">
            <v>3.3</v>
          </cell>
        </row>
        <row r="330">
          <cell r="AT330">
            <v>1.3491271820448878</v>
          </cell>
        </row>
        <row r="331">
          <cell r="AT331">
            <v>2.6971153846153846</v>
          </cell>
        </row>
        <row r="332">
          <cell r="AT332">
            <v>2.5</v>
          </cell>
        </row>
        <row r="333">
          <cell r="AT333">
            <v>3.5632183908045976</v>
          </cell>
        </row>
        <row r="334">
          <cell r="AT334">
            <v>3.4020408163265308</v>
          </cell>
        </row>
        <row r="335">
          <cell r="AT335">
            <v>4</v>
          </cell>
        </row>
        <row r="336">
          <cell r="AT336">
            <v>1.288</v>
          </cell>
        </row>
        <row r="337">
          <cell r="AT337">
            <v>2.0393258426966292</v>
          </cell>
        </row>
        <row r="338">
          <cell r="AT338">
            <v>15.333333333333336</v>
          </cell>
        </row>
        <row r="339">
          <cell r="AT339">
            <v>7.4</v>
          </cell>
        </row>
        <row r="340">
          <cell r="AT340">
            <v>5</v>
          </cell>
        </row>
        <row r="341">
          <cell r="AT341">
            <v>2.5</v>
          </cell>
        </row>
        <row r="342">
          <cell r="AT342">
            <v>3.5161290322580645</v>
          </cell>
        </row>
        <row r="343">
          <cell r="AT343">
            <v>2</v>
          </cell>
        </row>
        <row r="344">
          <cell r="AT344">
            <v>2</v>
          </cell>
        </row>
        <row r="345">
          <cell r="AT345">
            <v>3.9122117592235508</v>
          </cell>
        </row>
        <row r="346">
          <cell r="AT346">
            <v>2.7459469350163723</v>
          </cell>
        </row>
        <row r="347">
          <cell r="AT347">
            <v>3.5315576443746557</v>
          </cell>
        </row>
        <row r="348">
          <cell r="AT348">
            <v>3.4656416159927628</v>
          </cell>
        </row>
        <row r="349">
          <cell r="AT349">
            <v>3.4459399118897243</v>
          </cell>
        </row>
        <row r="350">
          <cell r="AT350">
            <v>3.5854699559448622</v>
          </cell>
        </row>
        <row r="351">
          <cell r="AT351">
            <v>1.5457821715106843</v>
          </cell>
        </row>
        <row r="352">
          <cell r="AT352">
            <v>3.0546553301837212</v>
          </cell>
        </row>
        <row r="353">
          <cell r="AT353">
            <v>2.9061449827088497</v>
          </cell>
        </row>
        <row r="354">
          <cell r="AT354">
            <v>3.7489943221974378</v>
          </cell>
        </row>
        <row r="355">
          <cell r="AT355">
            <v>4.1453663971882628</v>
          </cell>
        </row>
        <row r="356">
          <cell r="AT356">
            <v>4.740574821742781</v>
          </cell>
        </row>
        <row r="357">
          <cell r="AT357">
            <v>1.2322935177553993</v>
          </cell>
        </row>
        <row r="358">
          <cell r="AT358">
            <v>2.065229884769666</v>
          </cell>
        </row>
        <row r="359">
          <cell r="AT359">
            <v>13.52481311944512</v>
          </cell>
        </row>
        <row r="360">
          <cell r="AT360">
            <v>7.8910091631133579</v>
          </cell>
        </row>
        <row r="361">
          <cell r="AT361">
            <v>4.9429371150514969</v>
          </cell>
        </row>
        <row r="362">
          <cell r="AT362">
            <v>3.1273882268031628</v>
          </cell>
        </row>
        <row r="363">
          <cell r="AT363">
            <v>4.0726992491779805</v>
          </cell>
        </row>
        <row r="364">
          <cell r="AT364">
            <v>2.2686159338467213</v>
          </cell>
        </row>
        <row r="365">
          <cell r="AT365">
            <v>2.2308223804883225</v>
          </cell>
        </row>
        <row r="366">
          <cell r="AT366">
            <v>3.6080351187841937</v>
          </cell>
        </row>
        <row r="367">
          <cell r="AT367">
            <v>3.0976420699854268</v>
          </cell>
        </row>
        <row r="368">
          <cell r="AT368">
            <v>3.9462244502050412</v>
          </cell>
        </row>
        <row r="369">
          <cell r="AT369">
            <v>3.7851649330557322</v>
          </cell>
        </row>
        <row r="370">
          <cell r="AT370">
            <v>3.9091030244536338</v>
          </cell>
        </row>
        <row r="371">
          <cell r="AT371">
            <v>4.0295515122268171</v>
          </cell>
        </row>
        <row r="372">
          <cell r="AT372">
            <v>1.6794380638700723</v>
          </cell>
        </row>
        <row r="373">
          <cell r="AT373">
            <v>3.6602140507963044</v>
          </cell>
        </row>
        <row r="374">
          <cell r="AT374">
            <v>3.5610746968310569</v>
          </cell>
        </row>
        <row r="375">
          <cell r="AT375">
            <v>4.1318785927720834</v>
          </cell>
        </row>
        <row r="376">
          <cell r="AT376">
            <v>5.3183227636463668</v>
          </cell>
        </row>
        <row r="377">
          <cell r="AT377">
            <v>5.4956438035154509</v>
          </cell>
        </row>
        <row r="378">
          <cell r="AT378">
            <v>1.3100274429183669</v>
          </cell>
        </row>
        <row r="379">
          <cell r="AT379">
            <v>2.3325635983296653</v>
          </cell>
        </row>
        <row r="380">
          <cell r="AT380">
            <v>11.998229289925373</v>
          </cell>
        </row>
        <row r="381">
          <cell r="AT381">
            <v>8.4903555906860966</v>
          </cell>
        </row>
        <row r="382">
          <cell r="AT382">
            <v>4.6374790754978044</v>
          </cell>
        </row>
        <row r="383">
          <cell r="AT383">
            <v>4.036250596863499</v>
          </cell>
        </row>
        <row r="384">
          <cell r="AT384">
            <v>5.0990051061103854</v>
          </cell>
        </row>
        <row r="385">
          <cell r="AT385">
            <v>2.4760711258657291</v>
          </cell>
        </row>
        <row r="386">
          <cell r="AT386">
            <v>2.6213523641242316</v>
          </cell>
        </row>
        <row r="387">
          <cell r="AT387">
            <v>3.4325257766522084</v>
          </cell>
        </row>
        <row r="388">
          <cell r="AT388">
            <v>3.7604572698198204</v>
          </cell>
        </row>
        <row r="389">
          <cell r="AT389">
            <v>4.5815387635842812</v>
          </cell>
        </row>
        <row r="390">
          <cell r="AT390">
            <v>4.4356063107742862</v>
          </cell>
        </row>
        <row r="391">
          <cell r="AT391">
            <v>4.6296007336322855</v>
          </cell>
        </row>
        <row r="392">
          <cell r="AT392">
            <v>4.6023003668161424</v>
          </cell>
        </row>
        <row r="393">
          <cell r="AT393">
            <v>2.036244930654135</v>
          </cell>
        </row>
        <row r="394">
          <cell r="AT394">
            <v>4.4669680537629244</v>
          </cell>
        </row>
        <row r="395">
          <cell r="AT395">
            <v>4.4178210446865531</v>
          </cell>
        </row>
        <row r="396">
          <cell r="AT396">
            <v>4.938638480610364</v>
          </cell>
        </row>
        <row r="397">
          <cell r="AT397">
            <v>6.8417492353372911</v>
          </cell>
        </row>
        <row r="398">
          <cell r="AT398">
            <v>6.6724790444790685</v>
          </cell>
        </row>
        <row r="399">
          <cell r="AT399">
            <v>1.4960095458292242</v>
          </cell>
        </row>
        <row r="400">
          <cell r="AT400">
            <v>2.7957474482948457</v>
          </cell>
        </row>
        <row r="401">
          <cell r="AT401">
            <v>11.077941346562357</v>
          </cell>
        </row>
        <row r="402">
          <cell r="AT402">
            <v>9.2792876750940074</v>
          </cell>
        </row>
        <row r="403">
          <cell r="AT403">
            <v>5.2118688962855506</v>
          </cell>
        </row>
        <row r="404">
          <cell r="AT404">
            <v>5.1734475747287654</v>
          </cell>
        </row>
        <row r="405">
          <cell r="AT405">
            <v>6.5083145226746986</v>
          </cell>
        </row>
        <row r="406">
          <cell r="AT406">
            <v>2.9001655994340898</v>
          </cell>
        </row>
        <row r="407">
          <cell r="AT407">
            <v>3.3553288834873101</v>
          </cell>
        </row>
        <row r="408">
          <cell r="AT408">
            <v>3.081967213114754</v>
          </cell>
        </row>
        <row r="409">
          <cell r="AT409">
            <v>4</v>
          </cell>
        </row>
        <row r="410">
          <cell r="AT410">
            <v>4.916666666666667</v>
          </cell>
        </row>
        <row r="411">
          <cell r="AT411">
            <v>5</v>
          </cell>
        </row>
        <row r="412">
          <cell r="AT412">
            <v>5</v>
          </cell>
        </row>
        <row r="413">
          <cell r="AT413">
            <v>5</v>
          </cell>
        </row>
        <row r="414">
          <cell r="AT414">
            <v>2.574074074074074</v>
          </cell>
        </row>
        <row r="415">
          <cell r="AT415">
            <v>5</v>
          </cell>
        </row>
        <row r="416">
          <cell r="AT416">
            <v>5</v>
          </cell>
        </row>
        <row r="417">
          <cell r="AT417">
            <v>5.6351791530944624</v>
          </cell>
        </row>
        <row r="418">
          <cell r="AT418">
            <v>7.8918128654970756</v>
          </cell>
        </row>
        <row r="419">
          <cell r="AT419">
            <v>8</v>
          </cell>
        </row>
        <row r="420">
          <cell r="AT420">
            <v>1.5347222222222223</v>
          </cell>
        </row>
        <row r="421">
          <cell r="AT421">
            <v>2.992481203007519</v>
          </cell>
        </row>
        <row r="422">
          <cell r="AT422">
            <v>10</v>
          </cell>
        </row>
        <row r="423">
          <cell r="AT423">
            <v>9.99</v>
          </cell>
        </row>
        <row r="424">
          <cell r="AT424">
            <v>6.5</v>
          </cell>
        </row>
        <row r="425">
          <cell r="AT425">
            <v>6</v>
          </cell>
        </row>
        <row r="426">
          <cell r="AT426">
            <v>7.4</v>
          </cell>
        </row>
        <row r="427">
          <cell r="AT427">
            <v>3.5</v>
          </cell>
        </row>
        <row r="428">
          <cell r="AT428">
            <v>4</v>
          </cell>
        </row>
        <row r="429">
          <cell r="AT429">
            <v>3.1226185146128529</v>
          </cell>
        </row>
        <row r="430">
          <cell r="AT430">
            <v>4.0982956487415763</v>
          </cell>
        </row>
        <row r="431">
          <cell r="AT431">
            <v>4.9863783064707849</v>
          </cell>
        </row>
        <row r="432">
          <cell r="AT432">
            <v>5.1827368784664722</v>
          </cell>
        </row>
        <row r="433">
          <cell r="AT433">
            <v>5.0813026029961978</v>
          </cell>
        </row>
        <row r="434">
          <cell r="AT434">
            <v>5.040651301498098</v>
          </cell>
        </row>
        <row r="435">
          <cell r="AT435">
            <v>2.7486249769689213</v>
          </cell>
        </row>
        <row r="436">
          <cell r="AT436">
            <v>5.0635658803018515</v>
          </cell>
        </row>
        <row r="437">
          <cell r="AT437">
            <v>5.0637621908064361</v>
          </cell>
        </row>
        <row r="438">
          <cell r="AT438">
            <v>5.8692482892562232</v>
          </cell>
        </row>
        <row r="439">
          <cell r="AT439">
            <v>8.0032803697254202</v>
          </cell>
        </row>
        <row r="440">
          <cell r="AT440">
            <v>8.288803689075273</v>
          </cell>
        </row>
        <row r="441">
          <cell r="AT441">
            <v>1.56892228212973</v>
          </cell>
        </row>
        <row r="442">
          <cell r="AT442">
            <v>3.0543583314479679</v>
          </cell>
        </row>
        <row r="443">
          <cell r="AT443">
            <v>10.334803780974935</v>
          </cell>
        </row>
        <row r="444">
          <cell r="AT444">
            <v>10.08848172980772</v>
          </cell>
        </row>
        <row r="445">
          <cell r="AT445">
            <v>7.1882257127877285</v>
          </cell>
        </row>
        <row r="446">
          <cell r="AT446">
            <v>6.0721403115355272</v>
          </cell>
        </row>
        <row r="447">
          <cell r="AT447">
            <v>7.5217461630713442</v>
          </cell>
        </row>
        <row r="448">
          <cell r="AT448">
            <v>3.6694573922180882</v>
          </cell>
        </row>
        <row r="449">
          <cell r="AT449">
            <v>4.1896552573748362</v>
          </cell>
        </row>
        <row r="450">
          <cell r="AT450">
            <v>3.6032315633989631</v>
          </cell>
        </row>
        <row r="451">
          <cell r="AT451">
            <v>5.2604274792884249</v>
          </cell>
        </row>
        <row r="452">
          <cell r="AT452">
            <v>5.8105665244963109</v>
          </cell>
        </row>
        <row r="453">
          <cell r="AT453">
            <v>5.8354410435830859</v>
          </cell>
        </row>
        <row r="454">
          <cell r="AT454">
            <v>6.0425287005684183</v>
          </cell>
        </row>
        <row r="455">
          <cell r="AT455">
            <v>5.5212643502842091</v>
          </cell>
        </row>
        <row r="456">
          <cell r="AT456">
            <v>2.805817373500151</v>
          </cell>
        </row>
        <row r="457">
          <cell r="AT457">
            <v>5.8150938856739529</v>
          </cell>
        </row>
        <row r="458">
          <cell r="AT458">
            <v>5.8176111400755346</v>
          </cell>
        </row>
        <row r="459">
          <cell r="AT459">
            <v>6.7053023850154743</v>
          </cell>
        </row>
        <row r="460">
          <cell r="AT460">
            <v>9.3068789132100509</v>
          </cell>
        </row>
        <row r="461">
          <cell r="AT461">
            <v>8.7036092335421635</v>
          </cell>
        </row>
        <row r="462">
          <cell r="AT462">
            <v>1.9732634583054434</v>
          </cell>
        </row>
        <row r="463">
          <cell r="AT463">
            <v>3.7859205263578861</v>
          </cell>
        </row>
        <row r="464">
          <cell r="AT464">
            <v>11.530664314047506</v>
          </cell>
        </row>
        <row r="465">
          <cell r="AT465">
            <v>10.508754524604967</v>
          </cell>
        </row>
        <row r="466">
          <cell r="AT466">
            <v>7.4137259950317915</v>
          </cell>
        </row>
        <row r="467">
          <cell r="AT467">
            <v>6.9250422799778191</v>
          </cell>
        </row>
        <row r="468">
          <cell r="AT468">
            <v>8.9468674470811926</v>
          </cell>
        </row>
        <row r="469">
          <cell r="AT469">
            <v>3.7249808768300436</v>
          </cell>
        </row>
        <row r="470">
          <cell r="AT470">
            <v>4.8670705915992336</v>
          </cell>
        </row>
        <row r="471">
          <cell r="AT471">
            <v>4.2970268854358284</v>
          </cell>
        </row>
        <row r="472">
          <cell r="AT472">
            <v>6.1191176979771429</v>
          </cell>
        </row>
        <row r="473">
          <cell r="AT473">
            <v>5.6116996224998994</v>
          </cell>
        </row>
        <row r="474">
          <cell r="AT474">
            <v>5.5410411862309008</v>
          </cell>
        </row>
        <row r="475">
          <cell r="AT475">
            <v>5.5120865577569038</v>
          </cell>
        </row>
        <row r="476">
          <cell r="AT476">
            <v>5.2560432788784519</v>
          </cell>
        </row>
        <row r="477">
          <cell r="AT477">
            <v>2.6186278042297286</v>
          </cell>
        </row>
        <row r="478">
          <cell r="AT478">
            <v>4.4541688173023264</v>
          </cell>
        </row>
        <row r="479">
          <cell r="AT479">
            <v>4.4554052841169094</v>
          </cell>
        </row>
        <row r="480">
          <cell r="AT480">
            <v>5.6428251529501932</v>
          </cell>
        </row>
        <row r="481">
          <cell r="AT481">
            <v>7.9309681167359907</v>
          </cell>
        </row>
        <row r="482">
          <cell r="AT482">
            <v>7.1055872167553966</v>
          </cell>
        </row>
        <row r="483">
          <cell r="AT483">
            <v>2.1109762053899517</v>
          </cell>
        </row>
        <row r="484">
          <cell r="AT484">
            <v>3.7487204010067572</v>
          </cell>
        </row>
        <row r="485">
          <cell r="AT485">
            <v>8.6579424055826433</v>
          </cell>
        </row>
        <row r="486">
          <cell r="AT486">
            <v>12.064296933063428</v>
          </cell>
        </row>
        <row r="487">
          <cell r="AT487">
            <v>11.384476823326143</v>
          </cell>
        </row>
        <row r="488">
          <cell r="AT488">
            <v>7.2343776268942648</v>
          </cell>
        </row>
        <row r="489">
          <cell r="AT489">
            <v>8.2410520838183761</v>
          </cell>
        </row>
        <row r="490">
          <cell r="AT490">
            <v>3.0293349339332281</v>
          </cell>
        </row>
        <row r="491">
          <cell r="AT491">
            <v>5.0615248607655143</v>
          </cell>
        </row>
        <row r="492">
          <cell r="AT492">
            <v>5</v>
          </cell>
        </row>
        <row r="493">
          <cell r="AT493">
            <v>7</v>
          </cell>
        </row>
        <row r="494">
          <cell r="AT494">
            <v>5.4285714285714288</v>
          </cell>
        </row>
        <row r="495">
          <cell r="AT495">
            <v>5</v>
          </cell>
        </row>
        <row r="496">
          <cell r="AT496">
            <v>5</v>
          </cell>
        </row>
        <row r="497">
          <cell r="AT497">
            <v>5</v>
          </cell>
        </row>
        <row r="498">
          <cell r="AT498">
            <v>2.0877192982456139</v>
          </cell>
        </row>
        <row r="499">
          <cell r="AT499">
            <v>3.1075949367088609</v>
          </cell>
        </row>
        <row r="500">
          <cell r="AT500">
            <v>3.1075949367088609</v>
          </cell>
        </row>
        <row r="501">
          <cell r="AT501">
            <v>4.2644230769230766</v>
          </cell>
        </row>
        <row r="502">
          <cell r="AT502">
            <v>6.5774999999999997</v>
          </cell>
        </row>
        <row r="503">
          <cell r="AT503">
            <v>5</v>
          </cell>
        </row>
        <row r="504">
          <cell r="AT504">
            <v>2.2564102564102564</v>
          </cell>
        </row>
        <row r="505">
          <cell r="AT505">
            <v>3.7254901960784315</v>
          </cell>
        </row>
        <row r="506">
          <cell r="AT506">
            <v>5.333333333333333</v>
          </cell>
        </row>
        <row r="507">
          <cell r="AT507">
            <v>13.5</v>
          </cell>
        </row>
        <row r="508">
          <cell r="AT508">
            <v>14</v>
          </cell>
        </row>
        <row r="509">
          <cell r="AT509">
            <v>7.56</v>
          </cell>
        </row>
        <row r="510">
          <cell r="AT510">
            <v>7.56</v>
          </cell>
        </row>
        <row r="511">
          <cell r="AT511">
            <v>2</v>
          </cell>
        </row>
        <row r="512">
          <cell r="AT512">
            <v>5</v>
          </cell>
        </row>
        <row r="513">
          <cell r="AT513">
            <v>5.8368769139523522</v>
          </cell>
        </row>
        <row r="514">
          <cell r="AT514">
            <v>7.9285653431216367</v>
          </cell>
        </row>
        <row r="515">
          <cell r="AT515">
            <v>5.235287699308758</v>
          </cell>
        </row>
        <row r="516">
          <cell r="AT516">
            <v>6.1588570652545487</v>
          </cell>
        </row>
        <row r="517">
          <cell r="AT517">
            <v>5.8714282465093559</v>
          </cell>
        </row>
        <row r="518">
          <cell r="AT518">
            <v>5.4357141232546784</v>
          </cell>
        </row>
        <row r="519">
          <cell r="AT519">
            <v>3.0727719605315964</v>
          </cell>
        </row>
        <row r="520">
          <cell r="AT520">
            <v>3.8410541770866389</v>
          </cell>
        </row>
        <row r="521">
          <cell r="AT521">
            <v>3.8431582981415238</v>
          </cell>
        </row>
        <row r="522">
          <cell r="AT522">
            <v>7.0155300112754411</v>
          </cell>
        </row>
        <row r="523">
          <cell r="AT523">
            <v>7.5514419444728578</v>
          </cell>
        </row>
        <row r="524">
          <cell r="AT524">
            <v>6.1753961603198864</v>
          </cell>
        </row>
        <row r="525">
          <cell r="AT525">
            <v>2.5430857962582105</v>
          </cell>
        </row>
        <row r="526">
          <cell r="AT526">
            <v>4.1270452479394404</v>
          </cell>
        </row>
        <row r="527">
          <cell r="AT527">
            <v>7.359813916986365</v>
          </cell>
        </row>
        <row r="528">
          <cell r="AT528">
            <v>14.330261719241335</v>
          </cell>
        </row>
        <row r="529">
          <cell r="AT529">
            <v>15.993912359388801</v>
          </cell>
        </row>
        <row r="530">
          <cell r="AT530">
            <v>8.1432237698094756</v>
          </cell>
        </row>
        <row r="531">
          <cell r="AT531">
            <v>8.6634094974145697</v>
          </cell>
        </row>
        <row r="532">
          <cell r="AT532">
            <v>2.4947246497564404</v>
          </cell>
        </row>
        <row r="533">
          <cell r="AT533">
            <v>6.5202895108029892</v>
          </cell>
        </row>
        <row r="534">
          <cell r="AT534">
            <v>6.1873977286486648</v>
          </cell>
        </row>
        <row r="535">
          <cell r="AT535">
            <v>7.6811120463965121</v>
          </cell>
        </row>
        <row r="536">
          <cell r="AT536">
            <v>4.207967175198112</v>
          </cell>
        </row>
        <row r="537">
          <cell r="AT537">
            <v>6.8528909394162678</v>
          </cell>
        </row>
        <row r="538">
          <cell r="AT538">
            <v>5.7701442945066326</v>
          </cell>
        </row>
        <row r="539">
          <cell r="AT539">
            <v>5.3850721472533163</v>
          </cell>
        </row>
        <row r="540">
          <cell r="AT540">
            <v>4.2603555100334427</v>
          </cell>
        </row>
        <row r="541">
          <cell r="AT541">
            <v>3.8140050831659198</v>
          </cell>
        </row>
        <row r="542">
          <cell r="AT542">
            <v>3.8158646474293705</v>
          </cell>
        </row>
        <row r="543">
          <cell r="AT543">
            <v>9.1712410872775614</v>
          </cell>
        </row>
        <row r="544">
          <cell r="AT544">
            <v>7.208059012859052</v>
          </cell>
        </row>
        <row r="545">
          <cell r="AT545">
            <v>7.3203333932256847</v>
          </cell>
        </row>
        <row r="546">
          <cell r="AT546">
            <v>2.4205885146230406</v>
          </cell>
        </row>
        <row r="547">
          <cell r="AT547">
            <v>3.7882963559557665</v>
          </cell>
        </row>
        <row r="548">
          <cell r="AT548">
            <v>8.5346625721538683</v>
          </cell>
        </row>
        <row r="549">
          <cell r="AT549">
            <v>14.831794170204738</v>
          </cell>
        </row>
        <row r="550">
          <cell r="AT550">
            <v>18.786370941707418</v>
          </cell>
        </row>
        <row r="551">
          <cell r="AT551">
            <v>7.8633538814939987</v>
          </cell>
        </row>
        <row r="552">
          <cell r="AT552">
            <v>8.3265192511186683</v>
          </cell>
        </row>
        <row r="553">
          <cell r="AT553">
            <v>3.1860702016224005</v>
          </cell>
        </row>
        <row r="554">
          <cell r="AT554">
            <v>7.5581578046107643</v>
          </cell>
        </row>
        <row r="555">
          <cell r="AT555">
            <v>6.3620683047513449</v>
          </cell>
        </row>
        <row r="556">
          <cell r="AT556">
            <v>7.0084494046586467</v>
          </cell>
        </row>
        <row r="557">
          <cell r="AT557">
            <v>2.8790866015800498</v>
          </cell>
        </row>
        <row r="558">
          <cell r="AT558">
            <v>6.8096553499635188</v>
          </cell>
        </row>
        <row r="559">
          <cell r="AT559">
            <v>5.3171598653166425</v>
          </cell>
        </row>
        <row r="560">
          <cell r="AT560">
            <v>5.1585799326583217</v>
          </cell>
        </row>
        <row r="561">
          <cell r="AT561">
            <v>4.7636837009378628</v>
          </cell>
        </row>
        <row r="562">
          <cell r="AT562">
            <v>3.5119813929701524</v>
          </cell>
        </row>
        <row r="563">
          <cell r="AT563">
            <v>3.5127471964118584</v>
          </cell>
        </row>
        <row r="564">
          <cell r="AT564">
            <v>10.382577779383164</v>
          </cell>
        </row>
        <row r="565">
          <cell r="AT565">
            <v>6.3829910313850498</v>
          </cell>
        </row>
        <row r="566">
          <cell r="AT566">
            <v>7.3218330932222644</v>
          </cell>
        </row>
        <row r="567">
          <cell r="AT567">
            <v>2.150147908345903</v>
          </cell>
        </row>
        <row r="568">
          <cell r="AT568">
            <v>3.1818781053354268</v>
          </cell>
        </row>
        <row r="569">
          <cell r="AT569">
            <v>8.3587132601239524</v>
          </cell>
        </row>
        <row r="570">
          <cell r="AT570">
            <v>14.933574411607683</v>
          </cell>
        </row>
        <row r="571">
          <cell r="AT571">
            <v>18.880922357179536</v>
          </cell>
        </row>
        <row r="572">
          <cell r="AT572">
            <v>7.2714179453956538</v>
          </cell>
        </row>
        <row r="573">
          <cell r="AT573">
            <v>7.4634803205067701</v>
          </cell>
        </row>
        <row r="574">
          <cell r="AT574">
            <v>3.2131274183599876</v>
          </cell>
        </row>
        <row r="575">
          <cell r="AT575">
            <v>7.8308437739899439</v>
          </cell>
        </row>
        <row r="576">
          <cell r="AT576">
            <v>6.604651162790697</v>
          </cell>
        </row>
        <row r="577">
          <cell r="AT577">
            <v>6.5</v>
          </cell>
        </row>
        <row r="578">
          <cell r="AT578">
            <v>1.666666666666667</v>
          </cell>
        </row>
        <row r="579">
          <cell r="AT579">
            <v>6.666666666666667</v>
          </cell>
        </row>
        <row r="580">
          <cell r="AT580">
            <v>5</v>
          </cell>
        </row>
        <row r="581">
          <cell r="AT581">
            <v>5</v>
          </cell>
        </row>
        <row r="582">
          <cell r="AT582">
            <v>5.0196078431372548</v>
          </cell>
        </row>
        <row r="583">
          <cell r="AT583">
            <v>3.3161512027491411</v>
          </cell>
        </row>
        <row r="584">
          <cell r="AT584">
            <v>3.3161512027491411</v>
          </cell>
        </row>
        <row r="585">
          <cell r="AT585">
            <v>11.466139954853274</v>
          </cell>
        </row>
        <row r="586">
          <cell r="AT586">
            <v>5.7403100775193803</v>
          </cell>
        </row>
        <row r="587">
          <cell r="AT587">
            <v>7</v>
          </cell>
        </row>
        <row r="588">
          <cell r="AT588">
            <v>1.9368421052631579</v>
          </cell>
        </row>
        <row r="589">
          <cell r="AT589">
            <v>2.6788321167883211</v>
          </cell>
        </row>
        <row r="590">
          <cell r="AT590">
            <v>8</v>
          </cell>
        </row>
        <row r="591">
          <cell r="AT591">
            <v>15</v>
          </cell>
        </row>
        <row r="592">
          <cell r="AT592">
            <v>18</v>
          </cell>
        </row>
        <row r="593">
          <cell r="AT593">
            <v>6.8</v>
          </cell>
        </row>
        <row r="594">
          <cell r="AT594">
            <v>6.8</v>
          </cell>
        </row>
        <row r="595">
          <cell r="AT595">
            <v>3</v>
          </cell>
        </row>
        <row r="596">
          <cell r="AT596">
            <v>8</v>
          </cell>
        </row>
        <row r="597">
          <cell r="AT597">
            <v>6.4293999681594816</v>
          </cell>
        </row>
        <row r="598">
          <cell r="AT598">
            <v>6.0762391551026429</v>
          </cell>
        </row>
        <row r="599">
          <cell r="AT599">
            <v>1.3661338988303378</v>
          </cell>
        </row>
        <row r="600">
          <cell r="AT600">
            <v>6.2277592387094431</v>
          </cell>
        </row>
        <row r="601">
          <cell r="AT601">
            <v>4.6494976107375683</v>
          </cell>
        </row>
        <row r="602">
          <cell r="AT602">
            <v>4.8247488053687846</v>
          </cell>
        </row>
        <row r="603">
          <cell r="AT603">
            <v>4.7313940141955104</v>
          </cell>
        </row>
        <row r="604">
          <cell r="AT604">
            <v>3.0421133232680759</v>
          </cell>
        </row>
        <row r="605">
          <cell r="AT605">
            <v>3.0412670121001866</v>
          </cell>
        </row>
        <row r="606">
          <cell r="AT606">
            <v>10.90393988343618</v>
          </cell>
        </row>
        <row r="607">
          <cell r="AT607">
            <v>5.2630643377234296</v>
          </cell>
        </row>
        <row r="608">
          <cell r="AT608">
            <v>6.4490478388447094</v>
          </cell>
        </row>
        <row r="609">
          <cell r="AT609">
            <v>1.7894027580744793</v>
          </cell>
        </row>
        <row r="610">
          <cell r="AT610">
            <v>2.4120745892330215</v>
          </cell>
        </row>
        <row r="611">
          <cell r="AT611">
            <v>7.1958499714065915</v>
          </cell>
        </row>
        <row r="612">
          <cell r="AT612">
            <v>14.7476076423089</v>
          </cell>
        </row>
        <row r="613">
          <cell r="AT613">
            <v>16.863619926513898</v>
          </cell>
        </row>
        <row r="614">
          <cell r="AT614">
            <v>6.4889970231762311</v>
          </cell>
        </row>
        <row r="615">
          <cell r="AT615">
            <v>6.2784420936790379</v>
          </cell>
        </row>
        <row r="616">
          <cell r="AT616">
            <v>2.7201964410170931</v>
          </cell>
        </row>
        <row r="617">
          <cell r="AT617">
            <v>7.5444756474759016</v>
          </cell>
        </row>
        <row r="618">
          <cell r="AT618">
            <v>6.3022311141983121</v>
          </cell>
        </row>
        <row r="619">
          <cell r="AT619">
            <v>5.7687423582185273</v>
          </cell>
        </row>
        <row r="620">
          <cell r="AT620">
            <v>1.1480560264144168</v>
          </cell>
        </row>
        <row r="621">
          <cell r="AT621">
            <v>5.8811507165077002</v>
          </cell>
        </row>
        <row r="622">
          <cell r="AT622">
            <v>4.3951599028152302</v>
          </cell>
        </row>
        <row r="623">
          <cell r="AT623">
            <v>4.6975799514076151</v>
          </cell>
        </row>
        <row r="624">
          <cell r="AT624">
            <v>4.484832761626782</v>
          </cell>
        </row>
        <row r="625">
          <cell r="AT625">
            <v>2.8432611377015835</v>
          </cell>
        </row>
        <row r="626">
          <cell r="AT626">
            <v>2.8418007113401207</v>
          </cell>
        </row>
        <row r="627">
          <cell r="AT627">
            <v>10.459966229153292</v>
          </cell>
        </row>
        <row r="628">
          <cell r="AT628">
            <v>4.9164908987866234</v>
          </cell>
        </row>
        <row r="629">
          <cell r="AT629">
            <v>5.993310333645776</v>
          </cell>
        </row>
        <row r="630">
          <cell r="AT630">
            <v>1.6824152259767808</v>
          </cell>
        </row>
        <row r="631">
          <cell r="AT631">
            <v>2.2185053006692104</v>
          </cell>
        </row>
        <row r="632">
          <cell r="AT632">
            <v>6.5608065991569511</v>
          </cell>
        </row>
        <row r="633">
          <cell r="AT633">
            <v>14.550585042073052</v>
          </cell>
        </row>
        <row r="634">
          <cell r="AT634">
            <v>15.891469161432079</v>
          </cell>
        </row>
        <row r="635">
          <cell r="AT635">
            <v>6.2633215735770653</v>
          </cell>
        </row>
        <row r="636">
          <cell r="AT636">
            <v>5.8997140811578381</v>
          </cell>
        </row>
        <row r="637">
          <cell r="AT637">
            <v>2.4808300087077053</v>
          </cell>
        </row>
        <row r="638">
          <cell r="AT638">
            <v>7.1847446116600127</v>
          </cell>
        </row>
        <row r="639">
          <cell r="AT639">
            <v>6.6763096437662934</v>
          </cell>
        </row>
        <row r="640">
          <cell r="AT640">
            <v>6.6732716202373377</v>
          </cell>
        </row>
        <row r="641">
          <cell r="AT641">
            <v>1.7895515444095027</v>
          </cell>
        </row>
        <row r="642">
          <cell r="AT642">
            <v>6.2212801373238964</v>
          </cell>
        </row>
        <row r="643">
          <cell r="AT643">
            <v>5.143316961951192</v>
          </cell>
        </row>
        <row r="644">
          <cell r="AT644">
            <v>5.0716584809755965</v>
          </cell>
        </row>
        <row r="645">
          <cell r="AT645">
            <v>4.3059186493071699</v>
          </cell>
        </row>
        <row r="646">
          <cell r="AT646">
            <v>3.4282025825683173</v>
          </cell>
        </row>
        <row r="647">
          <cell r="AT647">
            <v>3.4285486308383502</v>
          </cell>
        </row>
        <row r="648">
          <cell r="AT648">
            <v>10.895640813572886</v>
          </cell>
        </row>
        <row r="649">
          <cell r="AT649">
            <v>5.9295407309258019</v>
          </cell>
        </row>
        <row r="650">
          <cell r="AT650">
            <v>5.9821461516736143</v>
          </cell>
        </row>
        <row r="651">
          <cell r="AT651">
            <v>1.9971285967635832</v>
          </cell>
        </row>
        <row r="652">
          <cell r="AT652">
            <v>2.787906632677605</v>
          </cell>
        </row>
        <row r="653">
          <cell r="AT653">
            <v>7.1839791945347571</v>
          </cell>
        </row>
        <row r="654">
          <cell r="AT654">
            <v>14.794845302073236</v>
          </cell>
        </row>
        <row r="655">
          <cell r="AT655">
            <v>15.186040026223731</v>
          </cell>
        </row>
        <row r="656">
          <cell r="AT656">
            <v>6.9271660426907591</v>
          </cell>
        </row>
        <row r="657">
          <cell r="AT657">
            <v>7.0073494602345408</v>
          </cell>
        </row>
        <row r="658">
          <cell r="AT658">
            <v>2.3071367283987523</v>
          </cell>
        </row>
        <row r="659">
          <cell r="AT659">
            <v>7.5377511967468065</v>
          </cell>
        </row>
        <row r="660">
          <cell r="AT660">
            <v>6.8691052296206339</v>
          </cell>
        </row>
        <row r="661">
          <cell r="AT661">
            <v>7.1394551491201925</v>
          </cell>
        </row>
        <row r="662">
          <cell r="AT662">
            <v>2.120170637565236</v>
          </cell>
        </row>
        <row r="663">
          <cell r="AT663">
            <v>6.8613468700635245</v>
          </cell>
        </row>
        <row r="664">
          <cell r="AT664">
            <v>5.5289081336598729</v>
          </cell>
        </row>
        <row r="665">
          <cell r="AT665">
            <v>5.264454066829936</v>
          </cell>
        </row>
        <row r="666">
          <cell r="AT666">
            <v>4.8322104729003703</v>
          </cell>
        </row>
        <row r="667">
          <cell r="AT667">
            <v>3.7296743849831944</v>
          </cell>
        </row>
        <row r="668">
          <cell r="AT668">
            <v>3.7309514686037804</v>
          </cell>
        </row>
        <row r="669">
          <cell r="AT669">
            <v>11.715507448148736</v>
          </cell>
        </row>
        <row r="670">
          <cell r="AT670">
            <v>6.4560506579035231</v>
          </cell>
        </row>
        <row r="671">
          <cell r="AT671">
            <v>6.9010415823225086</v>
          </cell>
        </row>
        <row r="672">
          <cell r="AT672">
            <v>2.1593280920596891</v>
          </cell>
        </row>
        <row r="673">
          <cell r="AT673">
            <v>3.0813692473793406</v>
          </cell>
        </row>
        <row r="674">
          <cell r="AT674">
            <v>8.356685895988992</v>
          </cell>
        </row>
        <row r="675">
          <cell r="AT675">
            <v>15.150090665989183</v>
          </cell>
        </row>
        <row r="676">
          <cell r="AT676">
            <v>17.261122763807641</v>
          </cell>
        </row>
        <row r="677">
          <cell r="AT677">
            <v>7.2693035171048823</v>
          </cell>
        </row>
        <row r="678">
          <cell r="AT678">
            <v>7.5826076432435094</v>
          </cell>
        </row>
        <row r="679">
          <cell r="AT679">
            <v>2.8180710088449086</v>
          </cell>
        </row>
        <row r="680">
          <cell r="AT680">
            <v>8.2020507077506934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few notes"/>
      <sheetName val="Sheet1"/>
      <sheetName val="MECS_data"/>
      <sheetName val="MECS_data_SIC"/>
      <sheetName val="MECS_Total_Fuel"/>
      <sheetName val="MECS_EnergyPrices"/>
      <sheetName val="MECS vs CM"/>
      <sheetName val="MECS vs CM_Elec"/>
      <sheetName val="Energy vs Fuel Expen"/>
      <sheetName val="Quantity Shares_1998 forward"/>
      <sheetName val="Plot Prices_1998forward"/>
      <sheetName val="Quantity Shares_1985-1998"/>
      <sheetName val="Plot Prices_1985forw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9">
          <cell r="AH9">
            <v>2.7294452083457879</v>
          </cell>
        </row>
        <row r="10">
          <cell r="AH10">
            <v>2.7241463414634151</v>
          </cell>
        </row>
        <row r="11">
          <cell r="AH11">
            <v>3.0717419354838711</v>
          </cell>
        </row>
        <row r="12">
          <cell r="AH12">
            <v>3.3820689655172407</v>
          </cell>
        </row>
        <row r="13">
          <cell r="AH13">
            <v>3.6429032258064509</v>
          </cell>
        </row>
        <row r="14">
          <cell r="AH14">
            <v>3.9314000000000009</v>
          </cell>
        </row>
        <row r="15">
          <cell r="AH15">
            <v>2.65978955453149</v>
          </cell>
        </row>
        <row r="16">
          <cell r="AH16">
            <v>2.3521324036124911</v>
          </cell>
        </row>
        <row r="17">
          <cell r="AH17">
            <v>3.9250810810810819</v>
          </cell>
        </row>
        <row r="18">
          <cell r="AH18">
            <v>2.604663258596597</v>
          </cell>
        </row>
        <row r="19">
          <cell r="AH19">
            <v>2.5221103459932728</v>
          </cell>
        </row>
        <row r="20">
          <cell r="AH20">
            <v>3.6219444444444444</v>
          </cell>
        </row>
        <row r="21">
          <cell r="AH21">
            <v>2.4528425841674255</v>
          </cell>
        </row>
        <row r="22">
          <cell r="AH22">
            <v>3.465817637770547</v>
          </cell>
        </row>
        <row r="23">
          <cell r="AH23">
            <v>3.8542851153039837</v>
          </cell>
        </row>
        <row r="24">
          <cell r="AH24">
            <v>3.8266256157635472</v>
          </cell>
        </row>
        <row r="25">
          <cell r="AH25">
            <v>3.7528106508875729</v>
          </cell>
        </row>
        <row r="26">
          <cell r="AH26">
            <v>3.4267809258344499</v>
          </cell>
        </row>
        <row r="27">
          <cell r="AH27">
            <v>3.2876459510357821</v>
          </cell>
        </row>
        <row r="28">
          <cell r="AH28">
            <v>4.3333333333333339</v>
          </cell>
        </row>
        <row r="29">
          <cell r="AH29">
            <v>4.0496815286624201</v>
          </cell>
        </row>
        <row r="30">
          <cell r="AH30">
            <v>2.7916192284790733</v>
          </cell>
        </row>
        <row r="31">
          <cell r="AH31">
            <v>2.8263877895293077</v>
          </cell>
        </row>
        <row r="32">
          <cell r="AH32">
            <v>3.1743521728693467</v>
          </cell>
        </row>
        <row r="33">
          <cell r="AH33">
            <v>3.3703170930978588</v>
          </cell>
        </row>
        <row r="34">
          <cell r="AH34">
            <v>3.7756560693247319</v>
          </cell>
        </row>
        <row r="35">
          <cell r="AH35">
            <v>3.8130598456035845</v>
          </cell>
        </row>
        <row r="36">
          <cell r="AH36">
            <v>2.6188896714245948</v>
          </cell>
        </row>
        <row r="37">
          <cell r="AH37">
            <v>2.4091825667623565</v>
          </cell>
        </row>
        <row r="38">
          <cell r="AH38">
            <v>3.934943595666669</v>
          </cell>
        </row>
        <row r="39">
          <cell r="AH39">
            <v>2.6549177203561225</v>
          </cell>
        </row>
        <row r="40">
          <cell r="AH40">
            <v>2.5422391647865688</v>
          </cell>
        </row>
        <row r="41">
          <cell r="AH41">
            <v>3.5390252571032335</v>
          </cell>
        </row>
        <row r="42">
          <cell r="AH42">
            <v>2.4668198532503367</v>
          </cell>
        </row>
        <row r="43">
          <cell r="AH43">
            <v>3.3856408063158896</v>
          </cell>
        </row>
        <row r="44">
          <cell r="AH44">
            <v>3.9150801698976907</v>
          </cell>
        </row>
        <row r="45">
          <cell r="AH45">
            <v>3.8198175257828426</v>
          </cell>
        </row>
        <row r="46">
          <cell r="AH46">
            <v>3.6426444416821115</v>
          </cell>
        </row>
        <row r="47">
          <cell r="AH47">
            <v>3.5620388996764829</v>
          </cell>
        </row>
        <row r="48">
          <cell r="AH48">
            <v>3.3204964568776592</v>
          </cell>
        </row>
        <row r="49">
          <cell r="AH49">
            <v>4.1091266569404041</v>
          </cell>
        </row>
        <row r="50">
          <cell r="AH50">
            <v>4.0137308834781402</v>
          </cell>
        </row>
        <row r="51">
          <cell r="AH51">
            <v>3.8382518667382883</v>
          </cell>
        </row>
        <row r="52">
          <cell r="AH52">
            <v>3.762256742536243</v>
          </cell>
        </row>
        <row r="53">
          <cell r="AH53">
            <v>4.4091935392202553</v>
          </cell>
        </row>
        <row r="54">
          <cell r="AH54">
            <v>4.6574187624661603</v>
          </cell>
        </row>
        <row r="55">
          <cell r="AH55">
            <v>5.4767505366607381</v>
          </cell>
        </row>
        <row r="56">
          <cell r="AH56">
            <v>5.363215535473473</v>
          </cell>
        </row>
        <row r="57">
          <cell r="AH57">
            <v>3.4284089953539043</v>
          </cell>
        </row>
        <row r="58">
          <cell r="AH58">
            <v>3.1021906536095059</v>
          </cell>
        </row>
        <row r="59">
          <cell r="AH59">
            <v>5.4719503148845519</v>
          </cell>
        </row>
        <row r="60">
          <cell r="AH60">
            <v>3.5878050904626924</v>
          </cell>
        </row>
        <row r="61">
          <cell r="AH61">
            <v>3.3530516053778978</v>
          </cell>
        </row>
        <row r="62">
          <cell r="AH62">
            <v>4.6876030986458721</v>
          </cell>
        </row>
        <row r="63">
          <cell r="AH63">
            <v>3.3221029126079453</v>
          </cell>
        </row>
        <row r="64">
          <cell r="AH64">
            <v>4.0820078864065339</v>
          </cell>
        </row>
        <row r="65">
          <cell r="AH65">
            <v>5.5235048900795576</v>
          </cell>
        </row>
        <row r="66">
          <cell r="AH66">
            <v>5.359666197065839</v>
          </cell>
        </row>
        <row r="67">
          <cell r="AH67">
            <v>4.691380525788861</v>
          </cell>
        </row>
        <row r="68">
          <cell r="AH68">
            <v>5.2424931972993107</v>
          </cell>
        </row>
        <row r="69">
          <cell r="AH69">
            <v>4.5404972461848656</v>
          </cell>
        </row>
        <row r="70">
          <cell r="AH70">
            <v>5.3985798068688036</v>
          </cell>
        </row>
        <row r="71">
          <cell r="AH71">
            <v>5.6354701915439911</v>
          </cell>
        </row>
        <row r="72">
          <cell r="AH72">
            <v>4.5010495155760228</v>
          </cell>
        </row>
        <row r="73">
          <cell r="AH73">
            <v>4.40420230717974</v>
          </cell>
        </row>
        <row r="74">
          <cell r="AH74">
            <v>4.9879178609410451</v>
          </cell>
        </row>
        <row r="75">
          <cell r="AH75">
            <v>5.1840744774046144</v>
          </cell>
        </row>
        <row r="76">
          <cell r="AH76">
            <v>6.5904264956061054</v>
          </cell>
        </row>
        <row r="77">
          <cell r="AH77">
            <v>6.0610621831009084</v>
          </cell>
        </row>
        <row r="78">
          <cell r="AH78">
            <v>4.136061249462812</v>
          </cell>
        </row>
        <row r="79">
          <cell r="AH79">
            <v>3.5627236790895291</v>
          </cell>
        </row>
        <row r="80">
          <cell r="AH80">
            <v>6.4024649115733503</v>
          </cell>
        </row>
        <row r="81">
          <cell r="AH81">
            <v>4.1618143993005949</v>
          </cell>
        </row>
        <row r="82">
          <cell r="AH82">
            <v>3.8434920145034903</v>
          </cell>
        </row>
        <row r="83">
          <cell r="AH83">
            <v>5.4845953413316284</v>
          </cell>
        </row>
        <row r="84">
          <cell r="AH84">
            <v>3.8649361710719834</v>
          </cell>
        </row>
        <row r="85">
          <cell r="AH85">
            <v>4.6419357050932373</v>
          </cell>
        </row>
        <row r="86">
          <cell r="AH86">
            <v>6.4453655654228692</v>
          </cell>
        </row>
        <row r="87">
          <cell r="AH87">
            <v>6.5464616908802906</v>
          </cell>
        </row>
        <row r="88">
          <cell r="AH88">
            <v>5.8753201246207531</v>
          </cell>
        </row>
        <row r="89">
          <cell r="AH89">
            <v>6.2541675895379774</v>
          </cell>
        </row>
        <row r="90">
          <cell r="AH90">
            <v>5.2358302894030349</v>
          </cell>
        </row>
        <row r="91">
          <cell r="AH91">
            <v>6.3049699845590288</v>
          </cell>
        </row>
        <row r="92">
          <cell r="AH92">
            <v>6.5461127651876918</v>
          </cell>
        </row>
        <row r="93">
          <cell r="AH93">
            <v>3.827804014167651</v>
          </cell>
        </row>
        <row r="94">
          <cell r="AH94">
            <v>3.9507792207792205</v>
          </cell>
        </row>
        <row r="95">
          <cell r="AH95">
            <v>4.1500280112044816</v>
          </cell>
        </row>
        <row r="96">
          <cell r="AH96">
            <v>4.1221478060046186</v>
          </cell>
        </row>
        <row r="97">
          <cell r="AH97">
            <v>5.2902259887005645</v>
          </cell>
        </row>
        <row r="98">
          <cell r="AH98">
            <v>4.6800000000000006</v>
          </cell>
        </row>
        <row r="99">
          <cell r="AH99">
            <v>3.6885996701793897</v>
          </cell>
        </row>
        <row r="100">
          <cell r="AH100">
            <v>3.3328254564629884</v>
          </cell>
        </row>
        <row r="101">
          <cell r="AH101">
            <v>5.1046250000000013</v>
          </cell>
        </row>
        <row r="102">
          <cell r="AH102">
            <v>3.4873962983728553</v>
          </cell>
        </row>
        <row r="103">
          <cell r="AH103">
            <v>3.2581750301965524</v>
          </cell>
        </row>
        <row r="104">
          <cell r="AH104">
            <v>4.6640000000000006</v>
          </cell>
        </row>
        <row r="105">
          <cell r="AH105">
            <v>3.2483251833740829</v>
          </cell>
        </row>
        <row r="106">
          <cell r="AH106">
            <v>4.1178130232182832</v>
          </cell>
        </row>
        <row r="107">
          <cell r="AH107">
            <v>5.1512187958883997</v>
          </cell>
        </row>
        <row r="108">
          <cell r="AH108">
            <v>5.5240944017563125</v>
          </cell>
        </row>
        <row r="109">
          <cell r="AH109">
            <v>5.4719364161849713</v>
          </cell>
        </row>
        <row r="110">
          <cell r="AH110">
            <v>4.9912811387900344</v>
          </cell>
        </row>
        <row r="111">
          <cell r="AH111">
            <v>4.2397828042668033</v>
          </cell>
        </row>
        <row r="112">
          <cell r="AH112">
            <v>5.107868852459017</v>
          </cell>
        </row>
        <row r="113">
          <cell r="AH113">
            <v>5.1095833333333331</v>
          </cell>
        </row>
        <row r="114">
          <cell r="AH114">
            <v>4.8897098638501806</v>
          </cell>
        </row>
        <row r="115">
          <cell r="AH115">
            <v>5.0866863252037575</v>
          </cell>
        </row>
        <row r="116">
          <cell r="AH116">
            <v>5.4520456799847983</v>
          </cell>
        </row>
        <row r="117">
          <cell r="AH117">
            <v>5.8654047738510906</v>
          </cell>
        </row>
        <row r="118">
          <cell r="AH118">
            <v>7.2434482820959998</v>
          </cell>
        </row>
        <row r="119">
          <cell r="AH119">
            <v>6.5913975784902723</v>
          </cell>
        </row>
        <row r="120">
          <cell r="AH120">
            <v>4.5330195979179795</v>
          </cell>
        </row>
        <row r="121">
          <cell r="AH121">
            <v>4.1265097131073629</v>
          </cell>
        </row>
        <row r="122">
          <cell r="AH122">
            <v>6.7267859867184292</v>
          </cell>
        </row>
        <row r="123">
          <cell r="AH123">
            <v>4.6772768348988505</v>
          </cell>
        </row>
        <row r="124">
          <cell r="AH124">
            <v>4.5587237764371071</v>
          </cell>
        </row>
        <row r="125">
          <cell r="AH125">
            <v>5.9104036464746894</v>
          </cell>
        </row>
        <row r="126">
          <cell r="AH126">
            <v>4.2425270416811367</v>
          </cell>
        </row>
        <row r="127">
          <cell r="AH127">
            <v>5.1100281394029654</v>
          </cell>
        </row>
        <row r="128">
          <cell r="AH128">
            <v>7.0726126467283441</v>
          </cell>
        </row>
        <row r="129">
          <cell r="AH129">
            <v>7.6411996130229269</v>
          </cell>
        </row>
        <row r="130">
          <cell r="AH130">
            <v>6.2180425537284778</v>
          </cell>
        </row>
        <row r="131">
          <cell r="AH131">
            <v>7.1435252697699685</v>
          </cell>
        </row>
        <row r="132">
          <cell r="AH132">
            <v>5.6844676408691175</v>
          </cell>
        </row>
        <row r="133">
          <cell r="AH133">
            <v>7.1033903945587751</v>
          </cell>
        </row>
        <row r="134">
          <cell r="AH134">
            <v>7.1167104784494803</v>
          </cell>
        </row>
        <row r="135">
          <cell r="AH135">
            <v>5.4122181973697554</v>
          </cell>
        </row>
        <row r="136">
          <cell r="AH136">
            <v>5.808642900437837</v>
          </cell>
        </row>
        <row r="137">
          <cell r="AH137">
            <v>5.9317652905904872</v>
          </cell>
        </row>
        <row r="138">
          <cell r="AH138">
            <v>6.7357420406398969</v>
          </cell>
        </row>
        <row r="139">
          <cell r="AH139">
            <v>7.8402352329989231</v>
          </cell>
        </row>
        <row r="140">
          <cell r="AH140">
            <v>7.3977248144999654</v>
          </cell>
        </row>
        <row r="141">
          <cell r="AH141">
            <v>4.9868952110579334</v>
          </cell>
        </row>
        <row r="142">
          <cell r="AH142">
            <v>4.7777016338559486</v>
          </cell>
        </row>
        <row r="143">
          <cell r="AH143">
            <v>7.0791934101142378</v>
          </cell>
        </row>
        <row r="144">
          <cell r="AH144">
            <v>5.2210882014705078</v>
          </cell>
        </row>
        <row r="145">
          <cell r="AH145">
            <v>5.3938236376950384</v>
          </cell>
        </row>
        <row r="146">
          <cell r="AH146">
            <v>6.8950405800736361</v>
          </cell>
        </row>
        <row r="147">
          <cell r="AH147">
            <v>4.6700075878409582</v>
          </cell>
        </row>
        <row r="148">
          <cell r="AH148">
            <v>6.0077559131692118</v>
          </cell>
        </row>
        <row r="149">
          <cell r="AH149">
            <v>7.7225229806966347</v>
          </cell>
        </row>
        <row r="150">
          <cell r="AH150">
            <v>9.1500973534920469</v>
          </cell>
        </row>
        <row r="151">
          <cell r="AH151">
            <v>7.5391762800189301</v>
          </cell>
        </row>
        <row r="152">
          <cell r="AH152">
            <v>7.9681775236040782</v>
          </cell>
        </row>
        <row r="153">
          <cell r="AH153">
            <v>6.1587263339709315</v>
          </cell>
        </row>
        <row r="154">
          <cell r="AH154">
            <v>7.7989904337871963</v>
          </cell>
        </row>
        <row r="155">
          <cell r="AH155">
            <v>7.7931721721380258</v>
          </cell>
        </row>
        <row r="156">
          <cell r="AH156">
            <v>6.8936886379186708</v>
          </cell>
        </row>
        <row r="157">
          <cell r="AH157">
            <v>7.31218567896126</v>
          </cell>
        </row>
        <row r="158">
          <cell r="AH158">
            <v>7.465423687445961</v>
          </cell>
        </row>
        <row r="159">
          <cell r="AH159">
            <v>9.0829232210812023</v>
          </cell>
        </row>
        <row r="160">
          <cell r="AH160">
            <v>10.187842183654453</v>
          </cell>
        </row>
        <row r="161">
          <cell r="AH161">
            <v>9.8299557689544486</v>
          </cell>
        </row>
        <row r="162">
          <cell r="AH162">
            <v>6.3359976546041983</v>
          </cell>
        </row>
        <row r="163">
          <cell r="AH163">
            <v>6.0509942228160529</v>
          </cell>
        </row>
        <row r="164">
          <cell r="AH164">
            <v>8.9857040270447079</v>
          </cell>
        </row>
        <row r="165">
          <cell r="AH165">
            <v>6.5981972656705565</v>
          </cell>
        </row>
        <row r="166">
          <cell r="AH166">
            <v>6.991532376972506</v>
          </cell>
        </row>
        <row r="167">
          <cell r="AH167">
            <v>8.9437386780586845</v>
          </cell>
        </row>
        <row r="168">
          <cell r="AH168">
            <v>5.931207977958417</v>
          </cell>
        </row>
        <row r="169">
          <cell r="AH169">
            <v>7.6879762724259439</v>
          </cell>
        </row>
        <row r="170">
          <cell r="AH170">
            <v>9.9409504094035661</v>
          </cell>
        </row>
        <row r="171">
          <cell r="AH171">
            <v>11.961938024635906</v>
          </cell>
        </row>
        <row r="172">
          <cell r="AH172">
            <v>9.3207832515757154</v>
          </cell>
        </row>
        <row r="173">
          <cell r="AH173">
            <v>10.411750490061559</v>
          </cell>
        </row>
        <row r="174">
          <cell r="AH174">
            <v>7.9408705929807937</v>
          </cell>
        </row>
        <row r="175">
          <cell r="AH175">
            <v>10.001272327225667</v>
          </cell>
        </row>
        <row r="176">
          <cell r="AH176">
            <v>10.143664250617315</v>
          </cell>
        </row>
        <row r="177">
          <cell r="AH177">
            <v>6.5919570728409669</v>
          </cell>
        </row>
        <row r="178">
          <cell r="AH178">
            <v>7.4080281690140843</v>
          </cell>
        </row>
        <row r="179">
          <cell r="AH179">
            <v>6.9360304659498206</v>
          </cell>
        </row>
        <row r="180">
          <cell r="AH180">
            <v>8.7536923076923081</v>
          </cell>
        </row>
        <row r="181">
          <cell r="AH181">
            <v>9.1531506849315072</v>
          </cell>
        </row>
        <row r="182">
          <cell r="AH182">
            <v>9.7142857142857153</v>
          </cell>
        </row>
        <row r="183">
          <cell r="AH183">
            <v>6.3688024997702417</v>
          </cell>
        </row>
        <row r="184">
          <cell r="AH184">
            <v>6.4217463235294119</v>
          </cell>
        </row>
        <row r="185">
          <cell r="AH185">
            <v>7.8990086741016112</v>
          </cell>
        </row>
        <row r="186">
          <cell r="AH186">
            <v>6.399584900462612</v>
          </cell>
        </row>
        <row r="187">
          <cell r="AH187">
            <v>7.2735340804859234</v>
          </cell>
        </row>
        <row r="188">
          <cell r="AH188">
            <v>9.1138961038961028</v>
          </cell>
        </row>
        <row r="189">
          <cell r="AH189">
            <v>5.7562002096436062</v>
          </cell>
        </row>
        <row r="190">
          <cell r="AH190">
            <v>7.8333772776535939</v>
          </cell>
        </row>
        <row r="191">
          <cell r="AH191">
            <v>9.0801584158415825</v>
          </cell>
        </row>
        <row r="192">
          <cell r="AH192">
            <v>12.192043010752688</v>
          </cell>
        </row>
        <row r="193">
          <cell r="AH193">
            <v>9.824258474576272</v>
          </cell>
        </row>
        <row r="194">
          <cell r="AH194">
            <v>9.7635103926097013</v>
          </cell>
        </row>
        <row r="195">
          <cell r="AH195">
            <v>7.1941281138790041</v>
          </cell>
        </row>
        <row r="196">
          <cell r="AH196">
            <v>9.2324663677130054</v>
          </cell>
        </row>
        <row r="197">
          <cell r="AH197">
            <v>9.6178461538461555</v>
          </cell>
        </row>
        <row r="198">
          <cell r="AH198">
            <v>6.5986510727785879</v>
          </cell>
        </row>
        <row r="199">
          <cell r="AH199">
            <v>7.4734947102454514</v>
          </cell>
        </row>
        <row r="200">
          <cell r="AH200">
            <v>7.2529635686441623</v>
          </cell>
        </row>
        <row r="201">
          <cell r="AH201">
            <v>8.6085057771191273</v>
          </cell>
        </row>
        <row r="202">
          <cell r="AH202">
            <v>9.7977426628539348</v>
          </cell>
        </row>
        <row r="203">
          <cell r="AH203">
            <v>10.955251293078076</v>
          </cell>
        </row>
        <row r="204">
          <cell r="AH204">
            <v>6.3640897141117563</v>
          </cell>
        </row>
        <row r="205">
          <cell r="AH205">
            <v>6.3716690770500763</v>
          </cell>
        </row>
        <row r="206">
          <cell r="AH206">
            <v>8.288856767781775</v>
          </cell>
        </row>
        <row r="207">
          <cell r="AH207">
            <v>6.4197590451830067</v>
          </cell>
        </row>
        <row r="208">
          <cell r="AH208">
            <v>7.0982987140956375</v>
          </cell>
        </row>
        <row r="209">
          <cell r="AH209">
            <v>9.0958069490325766</v>
          </cell>
        </row>
        <row r="210">
          <cell r="AH210">
            <v>5.7760342192726313</v>
          </cell>
        </row>
        <row r="211">
          <cell r="AH211">
            <v>7.6679424198990889</v>
          </cell>
        </row>
        <row r="212">
          <cell r="AH212">
            <v>9.1818069642397599</v>
          </cell>
        </row>
        <row r="213">
          <cell r="AH213">
            <v>11.715726651963051</v>
          </cell>
        </row>
        <row r="214">
          <cell r="AH214">
            <v>9.426626267638806</v>
          </cell>
        </row>
        <row r="215">
          <cell r="AH215">
            <v>9.6884891658904859</v>
          </cell>
        </row>
        <row r="216">
          <cell r="AH216">
            <v>7.6306208740724042</v>
          </cell>
        </row>
        <row r="217">
          <cell r="AH217">
            <v>9.680741701678464</v>
          </cell>
        </row>
        <row r="218">
          <cell r="AH218">
            <v>10.255060407479718</v>
          </cell>
        </row>
        <row r="219">
          <cell r="AH219">
            <v>8.2895421610832809</v>
          </cell>
        </row>
        <row r="220">
          <cell r="AH220">
            <v>9.0545319498355603</v>
          </cell>
        </row>
        <row r="221">
          <cell r="AH221">
            <v>9.5610589552471072</v>
          </cell>
        </row>
        <row r="222">
          <cell r="AH222">
            <v>10.685531110635733</v>
          </cell>
        </row>
        <row r="223">
          <cell r="AH223">
            <v>13.224199862553998</v>
          </cell>
        </row>
        <row r="224">
          <cell r="AH224">
            <v>14.763305401051426</v>
          </cell>
        </row>
        <row r="225">
          <cell r="AH225">
            <v>7.4636703960678865</v>
          </cell>
        </row>
        <row r="226">
          <cell r="AH226">
            <v>7.39588520357976</v>
          </cell>
        </row>
        <row r="227">
          <cell r="AH227">
            <v>11.060670930610922</v>
          </cell>
        </row>
        <row r="228">
          <cell r="AH228">
            <v>7.9023866393008015</v>
          </cell>
        </row>
        <row r="229">
          <cell r="AH229">
            <v>8.1966122465655964</v>
          </cell>
        </row>
        <row r="230">
          <cell r="AH230">
            <v>11.038536485931155</v>
          </cell>
        </row>
        <row r="231">
          <cell r="AH231">
            <v>7.0765607525702041</v>
          </cell>
        </row>
        <row r="232">
          <cell r="AH232">
            <v>9.2641482706524201</v>
          </cell>
        </row>
        <row r="233">
          <cell r="AH233">
            <v>11.795998313347196</v>
          </cell>
        </row>
        <row r="234">
          <cell r="AH234">
            <v>13.734673031162531</v>
          </cell>
        </row>
        <row r="235">
          <cell r="AH235">
            <v>10.821452354085695</v>
          </cell>
        </row>
        <row r="236">
          <cell r="AH236">
            <v>12.217016434540454</v>
          </cell>
        </row>
        <row r="237">
          <cell r="AH237">
            <v>10.255455941665833</v>
          </cell>
        </row>
        <row r="238">
          <cell r="AH238">
            <v>12.571075723513831</v>
          </cell>
        </row>
        <row r="239">
          <cell r="AH239">
            <v>13.452956962512124</v>
          </cell>
        </row>
        <row r="240">
          <cell r="AH240">
            <v>5.5121705538545998</v>
          </cell>
        </row>
        <row r="241">
          <cell r="AH241">
            <v>6.579029505624244</v>
          </cell>
        </row>
        <row r="242">
          <cell r="AH242">
            <v>6.4703762627547938</v>
          </cell>
        </row>
        <row r="243">
          <cell r="AH243">
            <v>6.332424108208901</v>
          </cell>
        </row>
        <row r="244">
          <cell r="AH244">
            <v>8.8479985336753053</v>
          </cell>
        </row>
        <row r="245">
          <cell r="AH245">
            <v>9.9828130871641267</v>
          </cell>
        </row>
        <row r="246">
          <cell r="AH246">
            <v>5.8370215122919662</v>
          </cell>
        </row>
        <row r="247">
          <cell r="AH247">
            <v>5.4389204258005073</v>
          </cell>
        </row>
        <row r="248">
          <cell r="AH248">
            <v>6.8456762399994959</v>
          </cell>
        </row>
        <row r="249">
          <cell r="AH249">
            <v>5.1840954107619677</v>
          </cell>
        </row>
        <row r="250">
          <cell r="AH250">
            <v>5.5255730164263133</v>
          </cell>
        </row>
        <row r="251">
          <cell r="AH251">
            <v>7.6599518711200929</v>
          </cell>
        </row>
        <row r="252">
          <cell r="AH252">
            <v>5.0183551036069218</v>
          </cell>
        </row>
        <row r="253">
          <cell r="AH253">
            <v>7.2566381784884468</v>
          </cell>
        </row>
        <row r="254">
          <cell r="AH254">
            <v>7.1174055689334139</v>
          </cell>
        </row>
        <row r="255">
          <cell r="AH255">
            <v>9.0411959350729099</v>
          </cell>
        </row>
        <row r="256">
          <cell r="AH256">
            <v>8.5891646608032115</v>
          </cell>
        </row>
        <row r="257">
          <cell r="AH257">
            <v>7.1179249092397745</v>
          </cell>
        </row>
        <row r="258">
          <cell r="AH258">
            <v>6.6784025454850466</v>
          </cell>
        </row>
        <row r="259">
          <cell r="AH259">
            <v>8.1975159262722013</v>
          </cell>
        </row>
        <row r="260">
          <cell r="AH260">
            <v>8.5231460816951845</v>
          </cell>
        </row>
        <row r="261">
          <cell r="AH261">
            <v>5.5682827102803731</v>
          </cell>
        </row>
        <row r="262">
          <cell r="AH262">
            <v>6.58</v>
          </cell>
        </row>
        <row r="263">
          <cell r="AH263">
            <v>7.1000291545189507</v>
          </cell>
        </row>
        <row r="264">
          <cell r="AH264">
            <v>6.4473275862068959</v>
          </cell>
        </row>
        <row r="265">
          <cell r="AH265">
            <v>9.5801908223534742</v>
          </cell>
        </row>
        <row r="266">
          <cell r="AH266">
            <v>10.378170637970793</v>
          </cell>
        </row>
        <row r="267">
          <cell r="AH267">
            <v>4.5535007579058657</v>
          </cell>
        </row>
        <row r="268">
          <cell r="AH268">
            <v>4.6964345272883952</v>
          </cell>
        </row>
        <row r="269">
          <cell r="AH269">
            <v>7.3792665726375182</v>
          </cell>
        </row>
        <row r="270">
          <cell r="AH270">
            <v>4.9334885794833436</v>
          </cell>
        </row>
        <row r="271">
          <cell r="AH271">
            <v>5.1089482401656312</v>
          </cell>
        </row>
        <row r="272">
          <cell r="AH272">
            <v>6.8835365853658539</v>
          </cell>
        </row>
        <row r="273">
          <cell r="AH273">
            <v>4.9280674899236772</v>
          </cell>
        </row>
        <row r="274">
          <cell r="AH274">
            <v>6.9931962708747619</v>
          </cell>
        </row>
        <row r="275">
          <cell r="AH275">
            <v>7.416188540456834</v>
          </cell>
        </row>
        <row r="276">
          <cell r="AH276">
            <v>7.9942931258106356</v>
          </cell>
        </row>
        <row r="277">
          <cell r="AH277">
            <v>6.6876470588235275</v>
          </cell>
        </row>
        <row r="278">
          <cell r="AH278">
            <v>7.3841775456919061</v>
          </cell>
        </row>
        <row r="279">
          <cell r="AH279">
            <v>7.421701631701632</v>
          </cell>
        </row>
        <row r="280">
          <cell r="AH280">
            <v>8.5506134969325185</v>
          </cell>
        </row>
        <row r="281">
          <cell r="AH281">
            <v>8.9980459770114916</v>
          </cell>
        </row>
        <row r="282">
          <cell r="AH282">
            <v>5.703560920129771</v>
          </cell>
        </row>
        <row r="283">
          <cell r="AH283">
            <v>6.74733137638332</v>
          </cell>
        </row>
        <row r="284">
          <cell r="AH284">
            <v>7.4156474194084048</v>
          </cell>
        </row>
        <row r="285">
          <cell r="AH285">
            <v>6.3403748698436146</v>
          </cell>
        </row>
        <row r="286">
          <cell r="AH286">
            <v>9.3036091981216256</v>
          </cell>
        </row>
        <row r="287">
          <cell r="AH287">
            <v>11.02056495922093</v>
          </cell>
        </row>
        <row r="288">
          <cell r="AH288">
            <v>5.4410452114278423</v>
          </cell>
        </row>
        <row r="289">
          <cell r="AH289">
            <v>5.0487737581037448</v>
          </cell>
        </row>
        <row r="290">
          <cell r="AH290">
            <v>7.043380317150719</v>
          </cell>
        </row>
        <row r="291">
          <cell r="AH291">
            <v>5.0205608446528469</v>
          </cell>
        </row>
        <row r="292">
          <cell r="AH292">
            <v>5.0492059381474901</v>
          </cell>
        </row>
        <row r="293">
          <cell r="AH293">
            <v>6.8294863546199398</v>
          </cell>
        </row>
        <row r="294">
          <cell r="AH294">
            <v>5.2106198163087081</v>
          </cell>
        </row>
        <row r="295">
          <cell r="AH295">
            <v>7.8408549235200704</v>
          </cell>
        </row>
        <row r="296">
          <cell r="AH296">
            <v>7.2430790337839106</v>
          </cell>
        </row>
        <row r="297">
          <cell r="AH297">
            <v>7.970215482756184</v>
          </cell>
        </row>
        <row r="298">
          <cell r="AH298">
            <v>6.5434297033687105</v>
          </cell>
        </row>
        <row r="299">
          <cell r="AH299">
            <v>7.1318209751217294</v>
          </cell>
        </row>
        <row r="300">
          <cell r="AH300">
            <v>7.3579222150876316</v>
          </cell>
        </row>
        <row r="301">
          <cell r="AH301">
            <v>8.4408423829797599</v>
          </cell>
        </row>
        <row r="302">
          <cell r="AH302">
            <v>8.9256629347616556</v>
          </cell>
        </row>
        <row r="303">
          <cell r="AH303">
            <v>4.9673665570355174</v>
          </cell>
        </row>
        <row r="304">
          <cell r="AH304">
            <v>5.9657345410382927</v>
          </cell>
        </row>
        <row r="305">
          <cell r="AH305">
            <v>6.4084124388227144</v>
          </cell>
        </row>
        <row r="306">
          <cell r="AH306">
            <v>5.2421520824364061</v>
          </cell>
        </row>
        <row r="307">
          <cell r="AH307">
            <v>7.6175630976436075</v>
          </cell>
        </row>
        <row r="308">
          <cell r="AH308">
            <v>10.139703129487787</v>
          </cell>
        </row>
        <row r="309">
          <cell r="AH309">
            <v>5.7355872010941349</v>
          </cell>
        </row>
        <row r="310">
          <cell r="AH310">
            <v>4.7583384263984234</v>
          </cell>
        </row>
        <row r="311">
          <cell r="AH311">
            <v>5.6070620152248765</v>
          </cell>
        </row>
        <row r="312">
          <cell r="AH312">
            <v>4.2961199103914476</v>
          </cell>
        </row>
        <row r="313">
          <cell r="AH313">
            <v>4.3455133194994477</v>
          </cell>
        </row>
        <row r="314">
          <cell r="AH314">
            <v>5.7479505762090293</v>
          </cell>
        </row>
        <row r="315">
          <cell r="AH315">
            <v>4.8058575435294255</v>
          </cell>
        </row>
        <row r="316">
          <cell r="AH316">
            <v>7.0914637417316717</v>
          </cell>
        </row>
        <row r="317">
          <cell r="AH317">
            <v>5.8863417982892665</v>
          </cell>
        </row>
        <row r="318">
          <cell r="AH318">
            <v>6.6467296826339739</v>
          </cell>
        </row>
        <row r="319">
          <cell r="AH319">
            <v>5.473821091285159</v>
          </cell>
        </row>
        <row r="320">
          <cell r="AH320">
            <v>5.6211948447432087</v>
          </cell>
        </row>
        <row r="321">
          <cell r="AH321">
            <v>6.2287651825758497</v>
          </cell>
        </row>
        <row r="322">
          <cell r="AH322">
            <v>6.9270932179917448</v>
          </cell>
        </row>
        <row r="323">
          <cell r="AH323">
            <v>7.576300925218475</v>
          </cell>
        </row>
        <row r="324">
          <cell r="AH324">
            <v>5.3134026278978181</v>
          </cell>
        </row>
        <row r="325">
          <cell r="AH325">
            <v>6.2284540600021892</v>
          </cell>
        </row>
        <row r="326">
          <cell r="AH326">
            <v>6.7680405904067449</v>
          </cell>
        </row>
        <row r="327">
          <cell r="AH327">
            <v>5.8447125914088502</v>
          </cell>
        </row>
        <row r="328">
          <cell r="AH328">
            <v>8.2583846439878972</v>
          </cell>
        </row>
        <row r="329">
          <cell r="AH329">
            <v>10.081956478475213</v>
          </cell>
        </row>
        <row r="330">
          <cell r="AH330">
            <v>5.5439717591889224</v>
          </cell>
        </row>
        <row r="331">
          <cell r="AH331">
            <v>4.7321187537936371</v>
          </cell>
        </row>
        <row r="332">
          <cell r="AH332">
            <v>6.1803538522874106</v>
          </cell>
        </row>
        <row r="333">
          <cell r="AH333">
            <v>4.5653700059700038</v>
          </cell>
        </row>
        <row r="334">
          <cell r="AH334">
            <v>4.6319390380760197</v>
          </cell>
        </row>
        <row r="335">
          <cell r="AH335">
            <v>5.9808420558153115</v>
          </cell>
        </row>
        <row r="336">
          <cell r="AH336">
            <v>5.0278220411419143</v>
          </cell>
        </row>
        <row r="337">
          <cell r="AH337">
            <v>7.6715657144707929</v>
          </cell>
        </row>
        <row r="338">
          <cell r="AH338">
            <v>6.5130040031745633</v>
          </cell>
        </row>
        <row r="339">
          <cell r="AH339">
            <v>7.0476061357676025</v>
          </cell>
        </row>
        <row r="340">
          <cell r="AH340">
            <v>5.4183856622190536</v>
          </cell>
        </row>
        <row r="341">
          <cell r="AH341">
            <v>6.4093846441150832</v>
          </cell>
        </row>
        <row r="342">
          <cell r="AH342">
            <v>6.7850088017830794</v>
          </cell>
        </row>
        <row r="343">
          <cell r="AH343">
            <v>7.4324221557237351</v>
          </cell>
        </row>
        <row r="344">
          <cell r="AH344">
            <v>8.4278938379598767</v>
          </cell>
        </row>
        <row r="345">
          <cell r="AH345">
            <v>5.858920334777757</v>
          </cell>
        </row>
        <row r="346">
          <cell r="AH346">
            <v>6.7326679884307277</v>
          </cell>
        </row>
        <row r="347">
          <cell r="AH347">
            <v>7.2973941355549048</v>
          </cell>
        </row>
        <row r="348">
          <cell r="AH348">
            <v>6.5771385060355474</v>
          </cell>
        </row>
        <row r="349">
          <cell r="AH349">
            <v>9.1677654970279292</v>
          </cell>
        </row>
        <row r="350">
          <cell r="AH350">
            <v>10.610137304311213</v>
          </cell>
        </row>
        <row r="351">
          <cell r="AH351">
            <v>5.2517940586456024</v>
          </cell>
        </row>
        <row r="352">
          <cell r="AH352">
            <v>4.8695586407393092</v>
          </cell>
        </row>
        <row r="353">
          <cell r="AH353">
            <v>7.070310112662165</v>
          </cell>
        </row>
        <row r="354">
          <cell r="AH354">
            <v>4.9759662017344128</v>
          </cell>
        </row>
        <row r="355">
          <cell r="AH355">
            <v>5.112262281320449</v>
          </cell>
        </row>
        <row r="356">
          <cell r="AH356">
            <v>6.8263882092778569</v>
          </cell>
        </row>
        <row r="357">
          <cell r="AH357">
            <v>5.2704833512332563</v>
          </cell>
        </row>
        <row r="358">
          <cell r="AH358">
            <v>8.3529270608195123</v>
          </cell>
        </row>
        <row r="359">
          <cell r="AH359">
            <v>7.4747244048342738</v>
          </cell>
        </row>
        <row r="360">
          <cell r="AH360">
            <v>8.1014600745472354</v>
          </cell>
        </row>
        <row r="361">
          <cell r="AH361">
            <v>6.4183066440311203</v>
          </cell>
        </row>
        <row r="362">
          <cell r="AH362">
            <v>7.4309377913150367</v>
          </cell>
        </row>
        <row r="363">
          <cell r="AH363">
            <v>7.5719575894903288</v>
          </cell>
        </row>
        <row r="364">
          <cell r="AH364">
            <v>8.3622582261018827</v>
          </cell>
        </row>
        <row r="365">
          <cell r="AH365">
            <v>9.4796242763224186</v>
          </cell>
        </row>
        <row r="366">
          <cell r="AH366">
            <v>4.5235772360942539</v>
          </cell>
        </row>
        <row r="367">
          <cell r="AH367">
            <v>5.3370293214450015</v>
          </cell>
        </row>
        <row r="368">
          <cell r="AH368">
            <v>5.3514881011804558</v>
          </cell>
        </row>
        <row r="369">
          <cell r="AH369">
            <v>4.8754598874897832</v>
          </cell>
        </row>
        <row r="370">
          <cell r="AH370">
            <v>6.7125792176134622</v>
          </cell>
        </row>
        <row r="371">
          <cell r="AH371">
            <v>7.6084322478407929</v>
          </cell>
        </row>
        <row r="372">
          <cell r="AH372">
            <v>4.1970570680321977</v>
          </cell>
        </row>
        <row r="373">
          <cell r="AH373">
            <v>3.9604608497292153</v>
          </cell>
        </row>
        <row r="374">
          <cell r="AH374">
            <v>5.1222147749737328</v>
          </cell>
        </row>
        <row r="375">
          <cell r="AH375">
            <v>3.857972818370087</v>
          </cell>
        </row>
        <row r="376">
          <cell r="AH376">
            <v>4.0867972725071624</v>
          </cell>
        </row>
        <row r="377">
          <cell r="AH377">
            <v>5.411948122681558</v>
          </cell>
        </row>
        <row r="378">
          <cell r="AH378">
            <v>4.1364225259591461</v>
          </cell>
        </row>
        <row r="379">
          <cell r="AH379">
            <v>7.4961793639581442</v>
          </cell>
        </row>
        <row r="380">
          <cell r="AH380">
            <v>5.4107293271052734</v>
          </cell>
        </row>
        <row r="381">
          <cell r="AH381">
            <v>6.1123652780141482</v>
          </cell>
        </row>
        <row r="382">
          <cell r="AH382">
            <v>5.622927566792713</v>
          </cell>
        </row>
        <row r="383">
          <cell r="AH383">
            <v>5.2265378072298585</v>
          </cell>
        </row>
        <row r="384">
          <cell r="AH384">
            <v>5.6998611346803871</v>
          </cell>
        </row>
        <row r="385">
          <cell r="AH385">
            <v>6.2575409810577822</v>
          </cell>
        </row>
        <row r="386">
          <cell r="AH386">
            <v>6.9896585150022892</v>
          </cell>
        </row>
      </sheetData>
      <sheetData sheetId="10"/>
      <sheetData sheetId="11"/>
      <sheetData sheetId="1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dual_Prices"/>
      <sheetName val="Predicted Residual Prices"/>
      <sheetName val="Resid-311"/>
      <sheetName val="Resid-312"/>
      <sheetName val="Resid-313"/>
      <sheetName val="Resid-314"/>
      <sheetName val="Resid-315"/>
      <sheetName val="Resid-316"/>
      <sheetName val="Resid-321"/>
      <sheetName val="Resid-322"/>
      <sheetName val="Resid-323"/>
      <sheetName val="Resid-324"/>
      <sheetName val="Resid-325"/>
      <sheetName val="Resid-326"/>
      <sheetName val="Resid-327"/>
      <sheetName val="Resid-331"/>
      <sheetName val="Resid-332"/>
      <sheetName val="Resid-333"/>
      <sheetName val="Resid-334"/>
      <sheetName val="Resid-335"/>
      <sheetName val="Resid-336"/>
      <sheetName val="Resid-337"/>
      <sheetName val="Resid-339"/>
      <sheetName val="Gas-312a"/>
      <sheetName val="Sheet2"/>
    </sheetNames>
    <sheetDataSet>
      <sheetData sheetId="0"/>
      <sheetData sheetId="1">
        <row r="9">
          <cell r="AP9">
            <v>4.29</v>
          </cell>
        </row>
        <row r="10">
          <cell r="AP10">
            <v>4.43</v>
          </cell>
        </row>
        <row r="11">
          <cell r="AP11">
            <v>4.7699999999999996</v>
          </cell>
        </row>
        <row r="12">
          <cell r="AP12">
            <v>4.7699999999999996</v>
          </cell>
        </row>
        <row r="13">
          <cell r="AP13">
            <v>4.97</v>
          </cell>
        </row>
        <row r="14">
          <cell r="AP14">
            <v>4.38</v>
          </cell>
        </row>
        <row r="15">
          <cell r="AP15">
            <v>4.6500000000000004</v>
          </cell>
        </row>
        <row r="16">
          <cell r="AP16">
            <v>4.24</v>
          </cell>
        </row>
        <row r="17">
          <cell r="AP17">
            <v>4.6399999999999997</v>
          </cell>
        </row>
        <row r="18">
          <cell r="AP18">
            <v>4</v>
          </cell>
        </row>
        <row r="19">
          <cell r="AP19">
            <v>4.33</v>
          </cell>
        </row>
        <row r="20">
          <cell r="AP20">
            <v>4.5599999999999996</v>
          </cell>
        </row>
        <row r="21">
          <cell r="AP21">
            <v>4.34</v>
          </cell>
        </row>
        <row r="22">
          <cell r="AP22">
            <v>4.18</v>
          </cell>
        </row>
        <row r="23">
          <cell r="AP23">
            <v>4.6900000000000004</v>
          </cell>
        </row>
        <row r="24">
          <cell r="AP24">
            <v>4.6399999999999997</v>
          </cell>
        </row>
        <row r="25">
          <cell r="AP25">
            <v>4.6659999999999995</v>
          </cell>
        </row>
        <row r="26">
          <cell r="AP26">
            <v>4.75</v>
          </cell>
        </row>
        <row r="27">
          <cell r="AP27">
            <v>4.84</v>
          </cell>
        </row>
        <row r="28">
          <cell r="AP28">
            <v>4.88</v>
          </cell>
        </row>
        <row r="29">
          <cell r="AP29">
            <v>4.95</v>
          </cell>
        </row>
        <row r="30">
          <cell r="AP30">
            <v>3.0821778384810279</v>
          </cell>
        </row>
        <row r="31">
          <cell r="AP31">
            <v>3.1567655541517241</v>
          </cell>
        </row>
        <row r="32">
          <cell r="AP32">
            <v>2.8702483814413711</v>
          </cell>
        </row>
        <row r="33">
          <cell r="AP33">
            <v>2.578867994027759</v>
          </cell>
        </row>
        <row r="34">
          <cell r="AP34">
            <v>2.7442271122515418</v>
          </cell>
        </row>
        <row r="35">
          <cell r="AP35">
            <v>2.2882199526444738</v>
          </cell>
        </row>
        <row r="36">
          <cell r="AP36">
            <v>3.227149286381136</v>
          </cell>
        </row>
        <row r="37">
          <cell r="AP37">
            <v>2.6498622850573219</v>
          </cell>
        </row>
        <row r="38">
          <cell r="AP38">
            <v>3.521389097576312</v>
          </cell>
        </row>
        <row r="39">
          <cell r="AP39">
            <v>3.2076942976603604</v>
          </cell>
        </row>
        <row r="40">
          <cell r="AP40">
            <v>3.0883871444376663</v>
          </cell>
        </row>
        <row r="41">
          <cell r="AP41">
            <v>2.691386486450726</v>
          </cell>
        </row>
        <row r="42">
          <cell r="AP42">
            <v>3.1028231108682549</v>
          </cell>
        </row>
        <row r="43">
          <cell r="AP43">
            <v>2.8715016678328227</v>
          </cell>
        </row>
        <row r="44">
          <cell r="AP44">
            <v>3.5642803139758854</v>
          </cell>
        </row>
        <row r="45">
          <cell r="AP45">
            <v>3.4474835414024154</v>
          </cell>
        </row>
        <row r="46">
          <cell r="AP46">
            <v>2.6132330997919131</v>
          </cell>
        </row>
        <row r="47">
          <cell r="AP47">
            <v>3.2723101192693478</v>
          </cell>
        </row>
        <row r="48">
          <cell r="AP48">
            <v>3.6280270557347376</v>
          </cell>
        </row>
        <row r="49">
          <cell r="AP49">
            <v>2.7202525554473702</v>
          </cell>
        </row>
        <row r="50">
          <cell r="AP50">
            <v>2.642224427972609</v>
          </cell>
        </row>
        <row r="51">
          <cell r="AP51">
            <v>2.7019797668074661</v>
          </cell>
        </row>
        <row r="52">
          <cell r="AP52">
            <v>2.7125905022476129</v>
          </cell>
        </row>
        <row r="53">
          <cell r="AP53">
            <v>3.3100544871107251</v>
          </cell>
        </row>
        <row r="54">
          <cell r="AP54">
            <v>3.3870289726850631</v>
          </cell>
        </row>
        <row r="55">
          <cell r="AP55">
            <v>3.6848052521026315</v>
          </cell>
        </row>
        <row r="56">
          <cell r="AP56">
            <v>3.0595836730077388</v>
          </cell>
        </row>
        <row r="57">
          <cell r="AP57">
            <v>2.8874584483255537</v>
          </cell>
        </row>
        <row r="58">
          <cell r="AP58">
            <v>2.7885069468446835</v>
          </cell>
        </row>
        <row r="59">
          <cell r="AP59">
            <v>3.0831072873789154</v>
          </cell>
        </row>
        <row r="60">
          <cell r="AP60">
            <v>2.9409244042314437</v>
          </cell>
        </row>
        <row r="61">
          <cell r="AP61">
            <v>2.6318199362179096</v>
          </cell>
        </row>
        <row r="62">
          <cell r="AP62">
            <v>3.1778646981128564</v>
          </cell>
        </row>
        <row r="63">
          <cell r="AP63">
            <v>2.7411415216898778</v>
          </cell>
        </row>
        <row r="64">
          <cell r="AP64">
            <v>2.5709718576130638</v>
          </cell>
        </row>
        <row r="65">
          <cell r="AP65">
            <v>3.3489569712874609</v>
          </cell>
        </row>
        <row r="66">
          <cell r="AP66">
            <v>3.214485468626584</v>
          </cell>
        </row>
        <row r="67">
          <cell r="AP67">
            <v>3.266167021340654</v>
          </cell>
        </row>
        <row r="68">
          <cell r="AP68">
            <v>2.8820398242015499</v>
          </cell>
        </row>
        <row r="69">
          <cell r="AP69">
            <v>3.0370665123386038</v>
          </cell>
        </row>
        <row r="70">
          <cell r="AP70">
            <v>3.6628743171929599</v>
          </cell>
        </row>
        <row r="71">
          <cell r="AP71">
            <v>3.5039145265397957</v>
          </cell>
        </row>
        <row r="72">
          <cell r="AP72">
            <v>2.65</v>
          </cell>
        </row>
        <row r="73">
          <cell r="AP73">
            <v>2.61</v>
          </cell>
        </row>
        <row r="74">
          <cell r="AP74">
            <v>2.78</v>
          </cell>
        </row>
        <row r="75">
          <cell r="AP75">
            <v>2.78</v>
          </cell>
        </row>
        <row r="76">
          <cell r="AP76">
            <v>3.13</v>
          </cell>
        </row>
        <row r="77">
          <cell r="AP77">
            <v>2.48</v>
          </cell>
        </row>
        <row r="78">
          <cell r="AP78">
            <v>2.65</v>
          </cell>
        </row>
        <row r="79">
          <cell r="AP79">
            <v>2.36</v>
          </cell>
        </row>
        <row r="80">
          <cell r="AP80">
            <v>3.11</v>
          </cell>
        </row>
        <row r="81">
          <cell r="AP81">
            <v>3.03</v>
          </cell>
        </row>
        <row r="82">
          <cell r="AP82">
            <v>2.4900000000000002</v>
          </cell>
        </row>
        <row r="83">
          <cell r="AP83">
            <v>2.6</v>
          </cell>
        </row>
        <row r="84">
          <cell r="AP84">
            <v>2.7</v>
          </cell>
        </row>
        <row r="85">
          <cell r="AP85">
            <v>2.29</v>
          </cell>
        </row>
        <row r="86">
          <cell r="AP86">
            <v>3.17</v>
          </cell>
        </row>
        <row r="87">
          <cell r="AP87">
            <v>3.02</v>
          </cell>
        </row>
        <row r="88">
          <cell r="AP88">
            <v>2.6469999999999998</v>
          </cell>
        </row>
        <row r="89">
          <cell r="AP89">
            <v>2.71</v>
          </cell>
        </row>
        <row r="90">
          <cell r="AP90">
            <v>2.88</v>
          </cell>
        </row>
        <row r="91">
          <cell r="AP91">
            <v>3.14</v>
          </cell>
        </row>
        <row r="92">
          <cell r="AP92">
            <v>2.87</v>
          </cell>
        </row>
        <row r="93">
          <cell r="AP93">
            <v>2.6469874047274664</v>
          </cell>
        </row>
        <row r="94">
          <cell r="AP94">
            <v>2.5255731207691698</v>
          </cell>
        </row>
        <row r="95">
          <cell r="AP95">
            <v>3.1196905193144979</v>
          </cell>
        </row>
        <row r="96">
          <cell r="AP96">
            <v>3.2596995612348896</v>
          </cell>
        </row>
        <row r="97">
          <cell r="AP97">
            <v>3.6229392084772618</v>
          </cell>
        </row>
        <row r="98">
          <cell r="AP98">
            <v>2.9769691273699959</v>
          </cell>
        </row>
        <row r="99">
          <cell r="AP99">
            <v>2.6600301171461536</v>
          </cell>
        </row>
        <row r="100">
          <cell r="AP100">
            <v>2.6163357011278059</v>
          </cell>
        </row>
        <row r="101">
          <cell r="AP101">
            <v>3.1977638783689368</v>
          </cell>
        </row>
        <row r="102">
          <cell r="AP102">
            <v>2.9335040079615542</v>
          </cell>
        </row>
        <row r="103">
          <cell r="AP103">
            <v>2.3796245322097151</v>
          </cell>
        </row>
        <row r="104">
          <cell r="AP104">
            <v>2.9221144940538082</v>
          </cell>
        </row>
        <row r="105">
          <cell r="AP105">
            <v>2.7783855329854217</v>
          </cell>
        </row>
        <row r="106">
          <cell r="AP106">
            <v>2.2726550568759349</v>
          </cell>
        </row>
        <row r="107">
          <cell r="AP107">
            <v>3.180013657377617</v>
          </cell>
        </row>
        <row r="108">
          <cell r="AP108">
            <v>3.0538524617810312</v>
          </cell>
        </row>
        <row r="109">
          <cell r="AP109">
            <v>3.3114002914116822</v>
          </cell>
        </row>
        <row r="110">
          <cell r="AP110">
            <v>2.9283180793349026</v>
          </cell>
        </row>
        <row r="111">
          <cell r="AP111">
            <v>2.8275051403029448</v>
          </cell>
        </row>
        <row r="112">
          <cell r="AP112">
            <v>3.6825506518655566</v>
          </cell>
        </row>
        <row r="113">
          <cell r="AP113">
            <v>3.394157913669285</v>
          </cell>
        </row>
        <row r="114">
          <cell r="AP114">
            <v>3.0943177042480401</v>
          </cell>
        </row>
        <row r="115">
          <cell r="AP115">
            <v>2.8971432917579234</v>
          </cell>
        </row>
        <row r="116">
          <cell r="AP116">
            <v>3.5811076442115057</v>
          </cell>
        </row>
        <row r="117">
          <cell r="AP117">
            <v>3.7925820542591984</v>
          </cell>
        </row>
        <row r="118">
          <cell r="AP118">
            <v>4.1715817430938849</v>
          </cell>
        </row>
        <row r="119">
          <cell r="AP119">
            <v>3.5258902353749941</v>
          </cell>
        </row>
        <row r="120">
          <cell r="AP120">
            <v>3.0585021681050035</v>
          </cell>
        </row>
        <row r="121">
          <cell r="AP121">
            <v>3.0536967698015438</v>
          </cell>
        </row>
        <row r="122">
          <cell r="AP122">
            <v>3.7783546353497393</v>
          </cell>
        </row>
        <row r="123">
          <cell r="AP123">
            <v>3.2112318317079303</v>
          </cell>
        </row>
        <row r="124">
          <cell r="AP124">
            <v>2.6943871179425791</v>
          </cell>
        </row>
        <row r="125">
          <cell r="AP125">
            <v>3.3120108019095729</v>
          </cell>
        </row>
        <row r="126">
          <cell r="AP126">
            <v>3.3194890726547448</v>
          </cell>
        </row>
        <row r="127">
          <cell r="AP127">
            <v>2.5692884678321786</v>
          </cell>
        </row>
        <row r="128">
          <cell r="AP128">
            <v>3.4865029140952624</v>
          </cell>
        </row>
        <row r="129">
          <cell r="AP129">
            <v>3.4009409846136398</v>
          </cell>
        </row>
        <row r="130">
          <cell r="AP130">
            <v>4.0329138841296208</v>
          </cell>
        </row>
        <row r="131">
          <cell r="AP131">
            <v>3.6140918816554706</v>
          </cell>
        </row>
        <row r="132">
          <cell r="AP132">
            <v>3.2248197969789043</v>
          </cell>
        </row>
        <row r="133">
          <cell r="AP133">
            <v>4.2814762200175291</v>
          </cell>
        </row>
        <row r="134">
          <cell r="AP134">
            <v>3.9750357639421385</v>
          </cell>
        </row>
        <row r="135">
          <cell r="AP135">
            <v>2.8540000000000001</v>
          </cell>
        </row>
        <row r="136">
          <cell r="AP136">
            <v>2.577</v>
          </cell>
        </row>
        <row r="137">
          <cell r="AP137">
            <v>2.8090000000000002</v>
          </cell>
        </row>
        <row r="138">
          <cell r="AP138">
            <v>2.8090000000000002</v>
          </cell>
        </row>
        <row r="139">
          <cell r="AP139">
            <v>3.121</v>
          </cell>
        </row>
        <row r="140">
          <cell r="AP140">
            <v>2.6259999999999999</v>
          </cell>
        </row>
        <row r="141">
          <cell r="AP141">
            <v>2.68</v>
          </cell>
        </row>
        <row r="142">
          <cell r="AP142">
            <v>2.5219999999999998</v>
          </cell>
        </row>
        <row r="143">
          <cell r="AP143">
            <v>3.7170000000000001</v>
          </cell>
        </row>
        <row r="144">
          <cell r="AP144">
            <v>3</v>
          </cell>
        </row>
        <row r="145">
          <cell r="AP145">
            <v>2.3580000000000001</v>
          </cell>
        </row>
        <row r="146">
          <cell r="AP146">
            <v>2.4940000000000002</v>
          </cell>
        </row>
        <row r="147">
          <cell r="AP147">
            <v>3.141</v>
          </cell>
        </row>
        <row r="148">
          <cell r="AP148">
            <v>2.1720000000000002</v>
          </cell>
        </row>
        <row r="149">
          <cell r="AP149">
            <v>3.1589999999999998</v>
          </cell>
        </row>
        <row r="150">
          <cell r="AP150">
            <v>3.0790000000000002</v>
          </cell>
        </row>
        <row r="151">
          <cell r="AP151">
            <v>3.3769999999999998</v>
          </cell>
        </row>
        <row r="152">
          <cell r="AP152">
            <v>3.47</v>
          </cell>
        </row>
        <row r="153">
          <cell r="AP153">
            <v>3.0350000000000001</v>
          </cell>
        </row>
        <row r="154">
          <cell r="AP154">
            <v>3.3119999999999998</v>
          </cell>
        </row>
        <row r="155">
          <cell r="AP155">
            <v>2.9529999999999998</v>
          </cell>
        </row>
        <row r="156">
          <cell r="AP156">
            <v>2.6047305036135144</v>
          </cell>
        </row>
        <row r="157">
          <cell r="AP157">
            <v>2.4580280944171533</v>
          </cell>
        </row>
        <row r="158">
          <cell r="AP158">
            <v>2.7776440334822907</v>
          </cell>
        </row>
        <row r="159">
          <cell r="AP159">
            <v>2.8077945674560971</v>
          </cell>
        </row>
        <row r="160">
          <cell r="AP160">
            <v>3.0803979417458676</v>
          </cell>
        </row>
        <row r="161">
          <cell r="AP161">
            <v>2.4529016101771934</v>
          </cell>
        </row>
        <row r="162">
          <cell r="AP162">
            <v>2.4571331544922845</v>
          </cell>
        </row>
        <row r="163">
          <cell r="AP163">
            <v>2.4116786575425961</v>
          </cell>
        </row>
        <row r="164">
          <cell r="AP164">
            <v>3.3626952970771584</v>
          </cell>
        </row>
        <row r="165">
          <cell r="AP165">
            <v>2.8071172972572245</v>
          </cell>
        </row>
        <row r="166">
          <cell r="AP166">
            <v>2.4815244464242379</v>
          </cell>
        </row>
        <row r="167">
          <cell r="AP167">
            <v>2.5068749672572204</v>
          </cell>
        </row>
        <row r="168">
          <cell r="AP168">
            <v>2.7983545173205018</v>
          </cell>
        </row>
        <row r="169">
          <cell r="AP169">
            <v>2.1568491409818762</v>
          </cell>
        </row>
        <row r="170">
          <cell r="AP170">
            <v>3.2008889748478007</v>
          </cell>
        </row>
        <row r="171">
          <cell r="AP171">
            <v>2.9508962074151563</v>
          </cell>
        </row>
        <row r="172">
          <cell r="AP172">
            <v>3.3213368319041638</v>
          </cell>
        </row>
        <row r="173">
          <cell r="AP173">
            <v>3.237818823812713</v>
          </cell>
        </row>
        <row r="174">
          <cell r="AP174">
            <v>2.6909425313738353</v>
          </cell>
        </row>
        <row r="175">
          <cell r="AP175">
            <v>3.3215243215969448</v>
          </cell>
        </row>
        <row r="176">
          <cell r="AP176">
            <v>2.921556779147763</v>
          </cell>
        </row>
        <row r="177">
          <cell r="AP177">
            <v>2.6592879504044244</v>
          </cell>
        </row>
        <row r="178">
          <cell r="AP178">
            <v>2.6526618396100781</v>
          </cell>
        </row>
        <row r="179">
          <cell r="AP179">
            <v>2.7835736175062862</v>
          </cell>
        </row>
        <row r="180">
          <cell r="AP180">
            <v>2.7801102088197829</v>
          </cell>
        </row>
        <row r="181">
          <cell r="AP181">
            <v>3.0106731461545571</v>
          </cell>
        </row>
        <row r="182">
          <cell r="AP182">
            <v>2.2493157076857431</v>
          </cell>
        </row>
        <row r="183">
          <cell r="AP183">
            <v>2.489048164203524</v>
          </cell>
        </row>
        <row r="184">
          <cell r="AP184">
            <v>2.3921164872493108</v>
          </cell>
        </row>
        <row r="185">
          <cell r="AP185">
            <v>3.3405218460622104</v>
          </cell>
        </row>
        <row r="186">
          <cell r="AP186">
            <v>2.8722013237567294</v>
          </cell>
        </row>
        <row r="187">
          <cell r="AP187">
            <v>2.9049878318318507</v>
          </cell>
        </row>
        <row r="188">
          <cell r="AP188">
            <v>2.519372241179457</v>
          </cell>
        </row>
        <row r="189">
          <cell r="AP189">
            <v>2.7630274077181762</v>
          </cell>
        </row>
        <row r="190">
          <cell r="AP190">
            <v>2.3507593526051149</v>
          </cell>
        </row>
        <row r="191">
          <cell r="AP191">
            <v>3.442102151229145</v>
          </cell>
        </row>
        <row r="192">
          <cell r="AP192">
            <v>3.0276902267134109</v>
          </cell>
        </row>
        <row r="193">
          <cell r="AP193">
            <v>3.2416270730174039</v>
          </cell>
        </row>
        <row r="194">
          <cell r="AP194">
            <v>3.3127688721414419</v>
          </cell>
        </row>
        <row r="195">
          <cell r="AP195">
            <v>2.6522095885997654</v>
          </cell>
        </row>
        <row r="196">
          <cell r="AP196">
            <v>3.3040140044342747</v>
          </cell>
        </row>
        <row r="197">
          <cell r="AP197">
            <v>2.8612200636840068</v>
          </cell>
        </row>
        <row r="198">
          <cell r="AP198">
            <v>2.79</v>
          </cell>
        </row>
        <row r="199">
          <cell r="AP199">
            <v>2.92</v>
          </cell>
        </row>
        <row r="200">
          <cell r="AP200">
            <v>2.94</v>
          </cell>
        </row>
        <row r="201">
          <cell r="AP201">
            <v>2.94</v>
          </cell>
        </row>
        <row r="202">
          <cell r="AP202">
            <v>3.14</v>
          </cell>
        </row>
        <row r="203">
          <cell r="AP203">
            <v>2.23</v>
          </cell>
        </row>
        <row r="204">
          <cell r="AP204">
            <v>2.61</v>
          </cell>
        </row>
        <row r="205">
          <cell r="AP205">
            <v>2.4900000000000002</v>
          </cell>
        </row>
        <row r="206">
          <cell r="AP206">
            <v>3.39</v>
          </cell>
        </row>
        <row r="207">
          <cell r="AP207">
            <v>2.99</v>
          </cell>
        </row>
        <row r="208">
          <cell r="AP208">
            <v>3.39</v>
          </cell>
        </row>
        <row r="209">
          <cell r="AP209">
            <v>2.68</v>
          </cell>
        </row>
        <row r="210">
          <cell r="AP210">
            <v>2.81</v>
          </cell>
        </row>
        <row r="211">
          <cell r="AP211">
            <v>2.62</v>
          </cell>
        </row>
        <row r="212">
          <cell r="AP212">
            <v>3.75</v>
          </cell>
        </row>
        <row r="213">
          <cell r="AP213">
            <v>3.18</v>
          </cell>
        </row>
        <row r="214">
          <cell r="AP214">
            <v>3.3330000000000002</v>
          </cell>
        </row>
        <row r="215">
          <cell r="AP215">
            <v>3.48</v>
          </cell>
        </row>
        <row r="216">
          <cell r="AP216">
            <v>2.68</v>
          </cell>
        </row>
        <row r="217">
          <cell r="AP217">
            <v>3.48</v>
          </cell>
        </row>
        <row r="218">
          <cell r="AP218">
            <v>3</v>
          </cell>
        </row>
        <row r="219">
          <cell r="AP219">
            <v>2.9613336501777194</v>
          </cell>
        </row>
        <row r="220">
          <cell r="AP220">
            <v>3.0555537286352381</v>
          </cell>
        </row>
        <row r="221">
          <cell r="AP221">
            <v>3.2764878205968331</v>
          </cell>
        </row>
        <row r="222">
          <cell r="AP222">
            <v>3.3580803167240862</v>
          </cell>
        </row>
        <row r="223">
          <cell r="AP223">
            <v>3.5254250652800563</v>
          </cell>
        </row>
        <row r="224">
          <cell r="AP224">
            <v>2.7550137935104901</v>
          </cell>
        </row>
        <row r="225">
          <cell r="AP225">
            <v>2.8301958692275533</v>
          </cell>
        </row>
        <row r="226">
          <cell r="AP226">
            <v>2.7453089931922436</v>
          </cell>
        </row>
        <row r="227">
          <cell r="AP227">
            <v>3.3704258079466292</v>
          </cell>
        </row>
        <row r="228">
          <cell r="AP228">
            <v>2.9544009104268776</v>
          </cell>
        </row>
        <row r="229">
          <cell r="AP229">
            <v>3.3944694540960767</v>
          </cell>
        </row>
        <row r="230">
          <cell r="AP230">
            <v>3.0080829766388923</v>
          </cell>
        </row>
        <row r="231">
          <cell r="AP231">
            <v>3.039937875242789</v>
          </cell>
        </row>
        <row r="232">
          <cell r="AP232">
            <v>2.7201453099040789</v>
          </cell>
        </row>
        <row r="233">
          <cell r="AP233">
            <v>3.7073447751184503</v>
          </cell>
        </row>
        <row r="234">
          <cell r="AP234">
            <v>3.1672189465824436</v>
          </cell>
        </row>
        <row r="235">
          <cell r="AP235">
            <v>3.5341344273841955</v>
          </cell>
        </row>
        <row r="236">
          <cell r="AP236">
            <v>3.5769945983002964</v>
          </cell>
        </row>
        <row r="237">
          <cell r="AP237">
            <v>2.8713537832818594</v>
          </cell>
        </row>
        <row r="238">
          <cell r="AP238">
            <v>3.7281734580371935</v>
          </cell>
        </row>
        <row r="239">
          <cell r="AP239">
            <v>3.3787526295356467</v>
          </cell>
        </row>
        <row r="240">
          <cell r="AP240">
            <v>3.3174656999997332</v>
          </cell>
        </row>
        <row r="241">
          <cell r="AP241">
            <v>3.3782650476594083</v>
          </cell>
        </row>
        <row r="242">
          <cell r="AP242">
            <v>3.8332777082391076</v>
          </cell>
        </row>
        <row r="243">
          <cell r="AP243">
            <v>4.0312280710113635</v>
          </cell>
        </row>
        <row r="244">
          <cell r="AP244">
            <v>4.1799042413844418</v>
          </cell>
        </row>
        <row r="245">
          <cell r="AP245">
            <v>3.5235168337379967</v>
          </cell>
        </row>
        <row r="246">
          <cell r="AP246">
            <v>3.2401439518514343</v>
          </cell>
        </row>
        <row r="247">
          <cell r="AP247">
            <v>3.1872099927807369</v>
          </cell>
        </row>
        <row r="248">
          <cell r="AP248">
            <v>3.533861068710384</v>
          </cell>
        </row>
        <row r="249">
          <cell r="AP249">
            <v>3.0596142172970362</v>
          </cell>
        </row>
        <row r="250">
          <cell r="AP250">
            <v>3.5747763434274447</v>
          </cell>
        </row>
        <row r="251">
          <cell r="AP251">
            <v>3.5439159622114991</v>
          </cell>
        </row>
        <row r="252">
          <cell r="AP252">
            <v>3.4611181623612008</v>
          </cell>
        </row>
        <row r="253">
          <cell r="AP253">
            <v>2.9848405683937402</v>
          </cell>
        </row>
        <row r="254">
          <cell r="AP254">
            <v>3.8162859969349663</v>
          </cell>
        </row>
        <row r="255">
          <cell r="AP255">
            <v>3.3142434594104886</v>
          </cell>
        </row>
        <row r="256">
          <cell r="AP256">
            <v>3.9660965039645242</v>
          </cell>
        </row>
        <row r="257">
          <cell r="AP257">
            <v>3.8828881945001661</v>
          </cell>
        </row>
        <row r="258">
          <cell r="AP258">
            <v>3.2312429134229199</v>
          </cell>
        </row>
        <row r="259">
          <cell r="AP259">
            <v>4.2399112331916227</v>
          </cell>
        </row>
        <row r="260">
          <cell r="AP260">
            <v>4.0270252579209922</v>
          </cell>
        </row>
        <row r="261">
          <cell r="AP261">
            <v>3.3336741324488934</v>
          </cell>
        </row>
        <row r="262">
          <cell r="AP262">
            <v>3.3585173537700923</v>
          </cell>
        </row>
        <row r="263">
          <cell r="AP263">
            <v>3.6610147701706888</v>
          </cell>
        </row>
        <row r="264">
          <cell r="AP264">
            <v>3.7915028908619606</v>
          </cell>
        </row>
        <row r="265">
          <cell r="AP265">
            <v>3.8714529155912309</v>
          </cell>
        </row>
        <row r="266">
          <cell r="AP266">
            <v>3.4205846751888123</v>
          </cell>
        </row>
        <row r="267">
          <cell r="AP267">
            <v>3.2444622457672301</v>
          </cell>
        </row>
        <row r="268">
          <cell r="AP268">
            <v>3.0716381661736714</v>
          </cell>
        </row>
        <row r="269">
          <cell r="AP269">
            <v>3.3942172998227451</v>
          </cell>
        </row>
        <row r="270">
          <cell r="AP270">
            <v>2.9316303481095329</v>
          </cell>
        </row>
        <row r="271">
          <cell r="AP271">
            <v>3.4315592383916247</v>
          </cell>
        </row>
        <row r="272">
          <cell r="AP272">
            <v>3.3564214156842569</v>
          </cell>
        </row>
        <row r="273">
          <cell r="AP273">
            <v>3.5261091436383425</v>
          </cell>
        </row>
        <row r="274">
          <cell r="AP274">
            <v>2.8809760773832251</v>
          </cell>
        </row>
        <row r="275">
          <cell r="AP275">
            <v>3.5905709297446364</v>
          </cell>
        </row>
        <row r="276">
          <cell r="AP276">
            <v>3.1084896774021864</v>
          </cell>
        </row>
        <row r="277">
          <cell r="AP277">
            <v>3.5734651351499296</v>
          </cell>
        </row>
        <row r="278">
          <cell r="AP278">
            <v>3.7677431719744954</v>
          </cell>
        </row>
        <row r="279">
          <cell r="AP279">
            <v>3.3120233041910256</v>
          </cell>
        </row>
        <row r="280">
          <cell r="AP280">
            <v>3.8083661891896314</v>
          </cell>
        </row>
        <row r="281">
          <cell r="AP281">
            <v>3.7106999956863662</v>
          </cell>
        </row>
        <row r="282">
          <cell r="AP282">
            <v>2.7</v>
          </cell>
        </row>
        <row r="283">
          <cell r="AP283">
            <v>2.68</v>
          </cell>
        </row>
        <row r="284">
          <cell r="AP284">
            <v>2.82</v>
          </cell>
        </row>
        <row r="285">
          <cell r="AP285">
            <v>2.8</v>
          </cell>
        </row>
        <row r="286">
          <cell r="AP286">
            <v>2.77</v>
          </cell>
        </row>
        <row r="287">
          <cell r="AP287">
            <v>2.6</v>
          </cell>
        </row>
        <row r="288">
          <cell r="AP288">
            <v>2.6</v>
          </cell>
        </row>
        <row r="289">
          <cell r="AP289">
            <v>2.37</v>
          </cell>
        </row>
        <row r="290">
          <cell r="AP290">
            <v>2.6</v>
          </cell>
        </row>
        <row r="291">
          <cell r="AP291">
            <v>2.2999999999999998</v>
          </cell>
        </row>
        <row r="292">
          <cell r="AP292">
            <v>2.67</v>
          </cell>
        </row>
        <row r="293">
          <cell r="AP293">
            <v>2.5499999999999998</v>
          </cell>
        </row>
        <row r="294">
          <cell r="AP294">
            <v>2.92</v>
          </cell>
        </row>
        <row r="295">
          <cell r="AP295">
            <v>2.2200000000000002</v>
          </cell>
        </row>
        <row r="296">
          <cell r="AP296">
            <v>2.85</v>
          </cell>
        </row>
        <row r="297">
          <cell r="AP297">
            <v>2.36</v>
          </cell>
        </row>
        <row r="298">
          <cell r="AP298">
            <v>2.5</v>
          </cell>
        </row>
        <row r="299">
          <cell r="AP299">
            <v>2.93</v>
          </cell>
        </row>
        <row r="300">
          <cell r="AP300">
            <v>2.79</v>
          </cell>
        </row>
        <row r="301">
          <cell r="AP301">
            <v>2.6</v>
          </cell>
        </row>
        <row r="302">
          <cell r="AP302">
            <v>2.6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illate_Prices"/>
      <sheetName val="Predicted Distillate Prices"/>
      <sheetName val="Dist-311"/>
      <sheetName val="Dist-312"/>
      <sheetName val="Dist-313"/>
      <sheetName val="Dist-314"/>
      <sheetName val="Dist-315"/>
      <sheetName val="Dist-316"/>
      <sheetName val="Dist-321"/>
      <sheetName val="Dist-322"/>
      <sheetName val="Dist-323"/>
      <sheetName val="Dist-324"/>
      <sheetName val="Dist-325"/>
      <sheetName val="Dist-326"/>
      <sheetName val="Dist-327"/>
      <sheetName val="Dist-331"/>
      <sheetName val="Dist-332"/>
      <sheetName val="Dist-333"/>
      <sheetName val="Dist-334"/>
      <sheetName val="Dist-335"/>
      <sheetName val="Dist-336"/>
      <sheetName val="Dist-337"/>
      <sheetName val="Dist-339"/>
      <sheetName val="Gas-312a"/>
      <sheetName val="Sheet2"/>
    </sheetNames>
    <sheetDataSet>
      <sheetData sheetId="0"/>
      <sheetData sheetId="1">
        <row r="9">
          <cell r="AP9">
            <v>6.58</v>
          </cell>
        </row>
        <row r="10">
          <cell r="AP10">
            <v>6.36</v>
          </cell>
        </row>
        <row r="11">
          <cell r="AP11">
            <v>6.02</v>
          </cell>
        </row>
        <row r="12">
          <cell r="AP12">
            <v>6.02</v>
          </cell>
        </row>
        <row r="13">
          <cell r="AP13">
            <v>6.48</v>
          </cell>
        </row>
        <row r="14">
          <cell r="AP14">
            <v>6.44</v>
          </cell>
        </row>
        <row r="15">
          <cell r="AP15">
            <v>6.23</v>
          </cell>
        </row>
        <row r="16">
          <cell r="AP16">
            <v>5.95</v>
          </cell>
        </row>
        <row r="17">
          <cell r="AP17">
            <v>5.99</v>
          </cell>
        </row>
        <row r="18">
          <cell r="AP18">
            <v>5.34</v>
          </cell>
        </row>
        <row r="19">
          <cell r="AP19">
            <v>5.83</v>
          </cell>
        </row>
        <row r="20">
          <cell r="AP20">
            <v>6.16</v>
          </cell>
        </row>
        <row r="21">
          <cell r="AP21">
            <v>6.44</v>
          </cell>
        </row>
        <row r="22">
          <cell r="AP22">
            <v>6.06</v>
          </cell>
        </row>
        <row r="23">
          <cell r="AP23">
            <v>6.54</v>
          </cell>
        </row>
        <row r="24">
          <cell r="AP24">
            <v>6.23</v>
          </cell>
        </row>
        <row r="25">
          <cell r="AP25">
            <v>6.109</v>
          </cell>
        </row>
        <row r="26">
          <cell r="AP26">
            <v>6.1</v>
          </cell>
        </row>
        <row r="27">
          <cell r="AP27">
            <v>6.17</v>
          </cell>
        </row>
        <row r="28">
          <cell r="AP28">
            <v>6.59</v>
          </cell>
        </row>
        <row r="29">
          <cell r="AP29">
            <v>6.61</v>
          </cell>
        </row>
        <row r="30">
          <cell r="AP30">
            <v>4.824934084359592</v>
          </cell>
        </row>
        <row r="31">
          <cell r="AP31">
            <v>3.9824000000000006</v>
          </cell>
        </row>
        <row r="32">
          <cell r="AP32">
            <v>3.8257309880952231</v>
          </cell>
        </row>
        <row r="33">
          <cell r="AP33">
            <v>4.9535465311862819</v>
          </cell>
        </row>
        <row r="34">
          <cell r="AP34">
            <v>6.2929756814624724</v>
          </cell>
        </row>
        <row r="35">
          <cell r="AP35">
            <v>4.4170808108986765</v>
          </cell>
        </row>
        <row r="36">
          <cell r="AP36">
            <v>5.719406545979588</v>
          </cell>
        </row>
        <row r="37">
          <cell r="AP37">
            <v>4.3638179555566774</v>
          </cell>
        </row>
        <row r="38">
          <cell r="AP38">
            <v>3.9340188568090442</v>
          </cell>
        </row>
        <row r="39">
          <cell r="AP39">
            <v>4.0800901250593089</v>
          </cell>
        </row>
        <row r="40">
          <cell r="AP40">
            <v>4.4072911682183529</v>
          </cell>
        </row>
        <row r="41">
          <cell r="AP41">
            <v>4.9333983355892297</v>
          </cell>
        </row>
        <row r="42">
          <cell r="AP42">
            <v>5.4879174861529929</v>
          </cell>
        </row>
        <row r="43">
          <cell r="AP43">
            <v>4.919192177824427</v>
          </cell>
        </row>
        <row r="44">
          <cell r="AP44">
            <v>4.1490745079318065</v>
          </cell>
        </row>
        <row r="45">
          <cell r="AP45">
            <v>4.3109730480828219</v>
          </cell>
        </row>
        <row r="46">
          <cell r="AP46">
            <v>3.9388903134040487</v>
          </cell>
        </row>
        <row r="47">
          <cell r="AP47">
            <v>4.6794786956520742</v>
          </cell>
        </row>
        <row r="48">
          <cell r="AP48">
            <v>3.9093973524873276</v>
          </cell>
        </row>
        <row r="49">
          <cell r="AP49">
            <v>5.041889061802185</v>
          </cell>
        </row>
        <row r="50">
          <cell r="AP50">
            <v>4.8489434518158179</v>
          </cell>
        </row>
        <row r="51">
          <cell r="AP51">
            <v>4.9956155561381284</v>
          </cell>
        </row>
        <row r="52">
          <cell r="AP52">
            <v>4.1676000000000002</v>
          </cell>
        </row>
        <row r="53">
          <cell r="AP53">
            <v>4.3527169933606444</v>
          </cell>
        </row>
        <row r="54">
          <cell r="AP54">
            <v>3.933046697921724</v>
          </cell>
        </row>
        <row r="55">
          <cell r="AP55">
            <v>4.4777266639019606</v>
          </cell>
        </row>
        <row r="56">
          <cell r="AP56">
            <v>4.9047411787852786</v>
          </cell>
        </row>
        <row r="57">
          <cell r="AP57">
            <v>4.5937696861876054</v>
          </cell>
        </row>
        <row r="58">
          <cell r="AP58">
            <v>4.2026581547913251</v>
          </cell>
        </row>
        <row r="59">
          <cell r="AP59">
            <v>4.7001953791383135</v>
          </cell>
        </row>
        <row r="60">
          <cell r="AP60">
            <v>4.377890700786816</v>
          </cell>
        </row>
        <row r="61">
          <cell r="AP61">
            <v>4.288652061823357</v>
          </cell>
        </row>
        <row r="62">
          <cell r="AP62">
            <v>6.6843190709630509</v>
          </cell>
        </row>
        <row r="63">
          <cell r="AP63">
            <v>4.6434820269218671</v>
          </cell>
        </row>
        <row r="64">
          <cell r="AP64">
            <v>4.1023472299181423</v>
          </cell>
        </row>
        <row r="65">
          <cell r="AP65">
            <v>4.9757529895669217</v>
          </cell>
        </row>
        <row r="66">
          <cell r="AP66">
            <v>4.422368138271275</v>
          </cell>
        </row>
        <row r="67">
          <cell r="AP67">
            <v>4.496049595688616</v>
          </cell>
        </row>
        <row r="68">
          <cell r="AP68">
            <v>4.3609114385740773</v>
          </cell>
        </row>
        <row r="69">
          <cell r="AP69">
            <v>4.6330424311013543</v>
          </cell>
        </row>
        <row r="70">
          <cell r="AP70">
            <v>5.0410552765129246</v>
          </cell>
        </row>
        <row r="71">
          <cell r="AP71">
            <v>5.0137252565732977</v>
          </cell>
        </row>
        <row r="72">
          <cell r="AP72">
            <v>4.9862000000000002</v>
          </cell>
        </row>
        <row r="73">
          <cell r="AP73">
            <v>3.54</v>
          </cell>
        </row>
        <row r="74">
          <cell r="AP74">
            <v>4.01</v>
          </cell>
        </row>
        <row r="75">
          <cell r="AP75">
            <v>4.01</v>
          </cell>
        </row>
        <row r="76">
          <cell r="AP76">
            <v>5.13</v>
          </cell>
        </row>
        <row r="77">
          <cell r="AP77">
            <v>4.59</v>
          </cell>
        </row>
        <row r="78">
          <cell r="AP78">
            <v>5.22</v>
          </cell>
        </row>
        <row r="79">
          <cell r="AP79">
            <v>3.96</v>
          </cell>
        </row>
        <row r="80">
          <cell r="AP80">
            <v>4.5599999999999996</v>
          </cell>
        </row>
        <row r="81">
          <cell r="AP81">
            <v>4.5599999999999996</v>
          </cell>
        </row>
        <row r="82">
          <cell r="AP82">
            <v>4.3</v>
          </cell>
        </row>
        <row r="83">
          <cell r="AP83">
            <v>7.46</v>
          </cell>
        </row>
        <row r="84">
          <cell r="AP84">
            <v>5.04</v>
          </cell>
        </row>
        <row r="85">
          <cell r="AP85">
            <v>4.18</v>
          </cell>
        </row>
        <row r="86">
          <cell r="AP86">
            <v>4.7699999999999996</v>
          </cell>
        </row>
        <row r="87">
          <cell r="AP87">
            <v>4.3600000000000003</v>
          </cell>
        </row>
        <row r="88">
          <cell r="AP88">
            <v>4.181</v>
          </cell>
        </row>
        <row r="89">
          <cell r="AP89">
            <v>4.37</v>
          </cell>
        </row>
        <row r="90">
          <cell r="AP90">
            <v>4.4000000000000004</v>
          </cell>
        </row>
        <row r="91">
          <cell r="AP91">
            <v>5.22</v>
          </cell>
        </row>
        <row r="92">
          <cell r="AP92">
            <v>4.9800000000000004</v>
          </cell>
        </row>
        <row r="93">
          <cell r="AP93">
            <v>5.4491273405003922</v>
          </cell>
        </row>
        <row r="94">
          <cell r="AP94">
            <v>4.3926899999999991</v>
          </cell>
        </row>
        <row r="95">
          <cell r="AP95">
            <v>4.5001327238523077</v>
          </cell>
        </row>
        <row r="96">
          <cell r="AP96">
            <v>3.8331133363174588</v>
          </cell>
        </row>
        <row r="97">
          <cell r="AP97">
            <v>4.8470466839734518</v>
          </cell>
        </row>
        <row r="98">
          <cell r="AP98">
            <v>4.993162991145863</v>
          </cell>
        </row>
        <row r="99">
          <cell r="AP99">
            <v>5.0686780096345583</v>
          </cell>
        </row>
        <row r="100">
          <cell r="AP100">
            <v>4.2261832229512937</v>
          </cell>
        </row>
        <row r="101">
          <cell r="AP101">
            <v>5.3866130050299796</v>
          </cell>
        </row>
        <row r="102">
          <cell r="AP102">
            <v>4.8352188224852508</v>
          </cell>
        </row>
        <row r="103">
          <cell r="AP103">
            <v>4.6217514059706355</v>
          </cell>
        </row>
        <row r="104">
          <cell r="AP104">
            <v>7.1375493388232272</v>
          </cell>
        </row>
        <row r="105">
          <cell r="AP105">
            <v>4.9876540363150479</v>
          </cell>
        </row>
        <row r="106">
          <cell r="AP106">
            <v>4.4665601715298786</v>
          </cell>
        </row>
        <row r="107">
          <cell r="AP107">
            <v>5.4789538684579462</v>
          </cell>
        </row>
        <row r="108">
          <cell r="AP108">
            <v>4.9436461814854891</v>
          </cell>
        </row>
        <row r="109">
          <cell r="AP109">
            <v>4.8331450017866908</v>
          </cell>
        </row>
        <row r="110">
          <cell r="AP110">
            <v>4.5910410646806712</v>
          </cell>
        </row>
        <row r="111">
          <cell r="AP111">
            <v>5.0939573104789639</v>
          </cell>
        </row>
        <row r="112">
          <cell r="AP112">
            <v>5.4055195673100531</v>
          </cell>
        </row>
        <row r="113">
          <cell r="AP113">
            <v>5.4685479969792636</v>
          </cell>
        </row>
        <row r="114">
          <cell r="AP114">
            <v>6.4507752892961729</v>
          </cell>
        </row>
        <row r="115">
          <cell r="AP115">
            <v>5.5803099999999999</v>
          </cell>
        </row>
        <row r="116">
          <cell r="AP116">
            <v>5.3321453239971142</v>
          </cell>
        </row>
        <row r="117">
          <cell r="AP117">
            <v>4.4003586964242629</v>
          </cell>
        </row>
        <row r="118">
          <cell r="AP118">
            <v>5.6654508772105627</v>
          </cell>
        </row>
        <row r="119">
          <cell r="AP119">
            <v>5.7102472106853002</v>
          </cell>
        </row>
        <row r="120">
          <cell r="AP120">
            <v>5.8836545281512276</v>
          </cell>
        </row>
        <row r="121">
          <cell r="AP121">
            <v>4.920910103609577</v>
          </cell>
        </row>
        <row r="122">
          <cell r="AP122">
            <v>6.5766474395342369</v>
          </cell>
        </row>
        <row r="123">
          <cell r="AP123">
            <v>5.5651469772148001</v>
          </cell>
        </row>
        <row r="124">
          <cell r="AP124">
            <v>5.4770907635771895</v>
          </cell>
        </row>
        <row r="125">
          <cell r="AP125">
            <v>7.1589773580985314</v>
          </cell>
        </row>
        <row r="126">
          <cell r="AP126">
            <v>5.802995326826319</v>
          </cell>
        </row>
        <row r="127">
          <cell r="AP127">
            <v>5.4688215939216196</v>
          </cell>
        </row>
        <row r="128">
          <cell r="AP128">
            <v>6.5953437333715543</v>
          </cell>
        </row>
        <row r="129">
          <cell r="AP129">
            <v>6.1084349123020774</v>
          </cell>
        </row>
        <row r="130">
          <cell r="AP130">
            <v>5.8326989504198172</v>
          </cell>
        </row>
        <row r="131">
          <cell r="AP131">
            <v>5.4069690499125933</v>
          </cell>
        </row>
        <row r="132">
          <cell r="AP132">
            <v>6.167058162096172</v>
          </cell>
        </row>
        <row r="133">
          <cell r="AP133">
            <v>6.2369367636100153</v>
          </cell>
        </row>
        <row r="134">
          <cell r="AP134">
            <v>6.4840763785613955</v>
          </cell>
        </row>
        <row r="135">
          <cell r="AP135">
            <v>6.0640000000000001</v>
          </cell>
        </row>
        <row r="136">
          <cell r="AP136">
            <v>5.1529999999999996</v>
          </cell>
        </row>
        <row r="137">
          <cell r="AP137">
            <v>4.468</v>
          </cell>
        </row>
        <row r="138">
          <cell r="AP138">
            <v>4.468</v>
          </cell>
        </row>
        <row r="139">
          <cell r="AP139">
            <v>6.6669999999999998</v>
          </cell>
        </row>
        <row r="140">
          <cell r="AP140">
            <v>4.8639999999999999</v>
          </cell>
        </row>
        <row r="141">
          <cell r="AP141">
            <v>6.4210000000000003</v>
          </cell>
        </row>
        <row r="142">
          <cell r="AP142">
            <v>4.5659999999999998</v>
          </cell>
        </row>
        <row r="143">
          <cell r="AP143">
            <v>6.0019999999999998</v>
          </cell>
        </row>
        <row r="144">
          <cell r="AP144">
            <v>5.1639999999999997</v>
          </cell>
        </row>
        <row r="145">
          <cell r="AP145">
            <v>5.2839999999999998</v>
          </cell>
        </row>
        <row r="146">
          <cell r="AP146">
            <v>5.3719999999999999</v>
          </cell>
        </row>
        <row r="147">
          <cell r="AP147">
            <v>6.01</v>
          </cell>
        </row>
        <row r="148">
          <cell r="AP148">
            <v>5.835</v>
          </cell>
        </row>
        <row r="149">
          <cell r="AP149">
            <v>5.7060000000000004</v>
          </cell>
        </row>
        <row r="150">
          <cell r="AP150">
            <v>5.7990000000000004</v>
          </cell>
        </row>
        <row r="151">
          <cell r="AP151">
            <v>5.1280000000000001</v>
          </cell>
        </row>
        <row r="152">
          <cell r="AP152">
            <v>5.2450000000000001</v>
          </cell>
        </row>
        <row r="153">
          <cell r="AP153">
            <v>5.3780000000000001</v>
          </cell>
        </row>
        <row r="154">
          <cell r="AP154">
            <v>5.8209999999999997</v>
          </cell>
        </row>
        <row r="155">
          <cell r="AP155">
            <v>6.1180000000000003</v>
          </cell>
        </row>
        <row r="156">
          <cell r="AP156">
            <v>5.7735280095882295</v>
          </cell>
        </row>
        <row r="157">
          <cell r="AP157">
            <v>4.8039099999999992</v>
          </cell>
        </row>
        <row r="158">
          <cell r="AP158">
            <v>4.3930266657954062</v>
          </cell>
        </row>
        <row r="159">
          <cell r="AP159">
            <v>4.2263537144682104</v>
          </cell>
        </row>
        <row r="160">
          <cell r="AP160">
            <v>5.8442465624655275</v>
          </cell>
        </row>
        <row r="161">
          <cell r="AP161">
            <v>4.4128702875115389</v>
          </cell>
        </row>
        <row r="162">
          <cell r="AP162">
            <v>6.0637477172982761</v>
          </cell>
        </row>
        <row r="163">
          <cell r="AP163">
            <v>4.4958527677824049</v>
          </cell>
        </row>
        <row r="164">
          <cell r="AP164">
            <v>5.8324000523587998</v>
          </cell>
        </row>
        <row r="165">
          <cell r="AP165">
            <v>4.8428815042032314</v>
          </cell>
        </row>
        <row r="166">
          <cell r="AP166">
            <v>5.0299443032211366</v>
          </cell>
        </row>
        <row r="167">
          <cell r="AP167">
            <v>5.0757792113953366</v>
          </cell>
        </row>
        <row r="168">
          <cell r="AP168">
            <v>5.6157429709071236</v>
          </cell>
        </row>
        <row r="169">
          <cell r="AP169">
            <v>5.241666375868915</v>
          </cell>
        </row>
        <row r="170">
          <cell r="AP170">
            <v>5.587377850964697</v>
          </cell>
        </row>
        <row r="171">
          <cell r="AP171">
            <v>5.5123300179591119</v>
          </cell>
        </row>
        <row r="172">
          <cell r="AP172">
            <v>5.1371271518597652</v>
          </cell>
        </row>
        <row r="173">
          <cell r="AP173">
            <v>5.1181603680031875</v>
          </cell>
        </row>
        <row r="174">
          <cell r="AP174">
            <v>4.9342424358026511</v>
          </cell>
        </row>
        <row r="175">
          <cell r="AP175">
            <v>5.6056269299873316</v>
          </cell>
        </row>
        <row r="176">
          <cell r="AP176">
            <v>5.2882611658352889</v>
          </cell>
        </row>
        <row r="177">
          <cell r="AP177">
            <v>5.6695297514448972</v>
          </cell>
        </row>
        <row r="178">
          <cell r="AP178">
            <v>4.5490899999999996</v>
          </cell>
        </row>
        <row r="179">
          <cell r="AP179">
            <v>4.4267142259510646</v>
          </cell>
        </row>
        <row r="180">
          <cell r="AP180">
            <v>4.2753829777099321</v>
          </cell>
        </row>
        <row r="181">
          <cell r="AP181">
            <v>5.4499246403879065</v>
          </cell>
        </row>
        <row r="182">
          <cell r="AP182">
            <v>4.0504127640938776</v>
          </cell>
        </row>
        <row r="183">
          <cell r="AP183">
            <v>6.0865535969375646</v>
          </cell>
        </row>
        <row r="184">
          <cell r="AP184">
            <v>4.5808519046852529</v>
          </cell>
        </row>
        <row r="185">
          <cell r="AP185">
            <v>5.772441989310674</v>
          </cell>
        </row>
        <row r="186">
          <cell r="AP186">
            <v>4.6787660484264615</v>
          </cell>
        </row>
        <row r="187">
          <cell r="AP187">
            <v>4.9675059709886646</v>
          </cell>
        </row>
        <row r="188">
          <cell r="AP188">
            <v>4.8905456330637644</v>
          </cell>
        </row>
        <row r="189">
          <cell r="AP189">
            <v>5.5548449529289607</v>
          </cell>
        </row>
        <row r="190">
          <cell r="AP190">
            <v>4.9094891161972685</v>
          </cell>
        </row>
        <row r="191">
          <cell r="AP191">
            <v>5.5960822490781821</v>
          </cell>
        </row>
        <row r="192">
          <cell r="AP192">
            <v>5.4269292776415714</v>
          </cell>
        </row>
        <row r="193">
          <cell r="AP193">
            <v>5.257673878270074</v>
          </cell>
        </row>
        <row r="194">
          <cell r="AP194">
            <v>5.2138275315517078</v>
          </cell>
        </row>
        <row r="195">
          <cell r="AP195">
            <v>4.598515739335828</v>
          </cell>
        </row>
        <row r="196">
          <cell r="AP196">
            <v>5.6277107267950273</v>
          </cell>
        </row>
        <row r="197">
          <cell r="AP197">
            <v>4.6236670874532688</v>
          </cell>
        </row>
        <row r="198">
          <cell r="AP198">
            <v>5.47</v>
          </cell>
        </row>
        <row r="199">
          <cell r="AP199">
            <v>4.17</v>
          </cell>
        </row>
        <row r="200">
          <cell r="AP200">
            <v>4.32</v>
          </cell>
        </row>
        <row r="201">
          <cell r="AP201">
            <v>4.32</v>
          </cell>
        </row>
        <row r="202">
          <cell r="AP202">
            <v>5.15</v>
          </cell>
        </row>
        <row r="203">
          <cell r="AP203">
            <v>3.57</v>
          </cell>
        </row>
        <row r="204">
          <cell r="AP204">
            <v>6.14</v>
          </cell>
        </row>
        <row r="205">
          <cell r="AP205">
            <v>4.59</v>
          </cell>
        </row>
        <row r="206">
          <cell r="AP206">
            <v>5.57</v>
          </cell>
        </row>
        <row r="207">
          <cell r="AP207">
            <v>4.4400000000000004</v>
          </cell>
        </row>
        <row r="208">
          <cell r="AP208">
            <v>4.84</v>
          </cell>
        </row>
        <row r="209">
          <cell r="AP209">
            <v>4.5599999999999996</v>
          </cell>
        </row>
        <row r="210">
          <cell r="AP210">
            <v>5.49</v>
          </cell>
        </row>
        <row r="211">
          <cell r="AP211">
            <v>4.57</v>
          </cell>
        </row>
        <row r="212">
          <cell r="AP212">
            <v>5.44</v>
          </cell>
        </row>
        <row r="213">
          <cell r="AP213">
            <v>5.24</v>
          </cell>
        </row>
        <row r="214">
          <cell r="AP214">
            <v>5.2349999999999994</v>
          </cell>
        </row>
        <row r="215">
          <cell r="AP215">
            <v>5.25</v>
          </cell>
        </row>
        <row r="216">
          <cell r="AP216">
            <v>4.12</v>
          </cell>
        </row>
        <row r="217">
          <cell r="AP217">
            <v>5.57</v>
          </cell>
        </row>
        <row r="218">
          <cell r="AP218">
            <v>3.88</v>
          </cell>
        </row>
        <row r="219">
          <cell r="AP219">
            <v>5.2241691713780298</v>
          </cell>
        </row>
        <row r="220">
          <cell r="AP220">
            <v>4.6449999999999996</v>
          </cell>
        </row>
        <row r="221">
          <cell r="AP221">
            <v>4.3325101275422071</v>
          </cell>
        </row>
        <row r="222">
          <cell r="AP222">
            <v>4.2868967159093563</v>
          </cell>
        </row>
        <row r="223">
          <cell r="AP223">
            <v>4.8950935170221328</v>
          </cell>
        </row>
        <row r="224">
          <cell r="AP224">
            <v>4.0033775467311523</v>
          </cell>
        </row>
        <row r="225">
          <cell r="AP225">
            <v>5.5986904665239656</v>
          </cell>
        </row>
        <row r="226">
          <cell r="AP226">
            <v>4.583597299606291</v>
          </cell>
        </row>
        <row r="227">
          <cell r="AP227">
            <v>5.4338417395994743</v>
          </cell>
        </row>
        <row r="228">
          <cell r="AP228">
            <v>4.3678456193373236</v>
          </cell>
        </row>
        <row r="229">
          <cell r="AP229">
            <v>4.8470738808360334</v>
          </cell>
        </row>
        <row r="230">
          <cell r="AP230">
            <v>5.0148678556398458</v>
          </cell>
        </row>
        <row r="231">
          <cell r="AP231">
            <v>5.2230106066443547</v>
          </cell>
        </row>
        <row r="232">
          <cell r="AP232">
            <v>4.651216363946741</v>
          </cell>
        </row>
        <row r="233">
          <cell r="AP233">
            <v>5.5603955752465541</v>
          </cell>
        </row>
        <row r="234">
          <cell r="AP234">
            <v>5.3134354307922784</v>
          </cell>
        </row>
        <row r="235">
          <cell r="AP235">
            <v>5.2816059232465795</v>
          </cell>
        </row>
        <row r="236">
          <cell r="AP236">
            <v>5.3339364156821505</v>
          </cell>
        </row>
        <row r="237">
          <cell r="AP237">
            <v>4.4998595070462581</v>
          </cell>
        </row>
        <row r="238">
          <cell r="AP238">
            <v>5.5834124609133919</v>
          </cell>
        </row>
        <row r="239">
          <cell r="AP239">
            <v>4.083097753533</v>
          </cell>
        </row>
        <row r="240">
          <cell r="AP240">
            <v>5.8437875741095198</v>
          </cell>
        </row>
        <row r="241">
          <cell r="AP241">
            <v>6.02</v>
          </cell>
        </row>
        <row r="242">
          <cell r="AP242">
            <v>5.2972470074785392</v>
          </cell>
        </row>
        <row r="243">
          <cell r="AP243">
            <v>4.760058717453874</v>
          </cell>
        </row>
        <row r="244">
          <cell r="AP244">
            <v>4.9282016474261621</v>
          </cell>
        </row>
        <row r="245">
          <cell r="AP245">
            <v>5.3152466416248423</v>
          </cell>
        </row>
        <row r="246">
          <cell r="AP246">
            <v>5.5270232133183193</v>
          </cell>
        </row>
        <row r="247">
          <cell r="AP247">
            <v>5.2407927117830937</v>
          </cell>
        </row>
        <row r="248">
          <cell r="AP248">
            <v>6.2829447292831651</v>
          </cell>
        </row>
        <row r="249">
          <cell r="AP249">
            <v>5.0086753363968519</v>
          </cell>
        </row>
        <row r="250">
          <cell r="AP250">
            <v>5.5512573181295926</v>
          </cell>
        </row>
        <row r="251">
          <cell r="AP251">
            <v>6.4994810450528036</v>
          </cell>
        </row>
        <row r="252">
          <cell r="AP252">
            <v>5.5553385029147009</v>
          </cell>
        </row>
        <row r="253">
          <cell r="AP253">
            <v>5.28562026372642</v>
          </cell>
        </row>
        <row r="254">
          <cell r="AP254">
            <v>6.8045941517794759</v>
          </cell>
        </row>
        <row r="255">
          <cell r="AP255">
            <v>6.3065491320652978</v>
          </cell>
        </row>
        <row r="256">
          <cell r="AP256">
            <v>6.2822427503883613</v>
          </cell>
        </row>
        <row r="257">
          <cell r="AP257">
            <v>6.1029676221949991</v>
          </cell>
        </row>
        <row r="258">
          <cell r="AP258">
            <v>5.9224642682469097</v>
          </cell>
        </row>
        <row r="259">
          <cell r="AP259">
            <v>6.4349588569529557</v>
          </cell>
        </row>
        <row r="260">
          <cell r="AP260">
            <v>5.1436095815694696</v>
          </cell>
        </row>
        <row r="261">
          <cell r="AP261">
            <v>5.4362666069329153</v>
          </cell>
        </row>
        <row r="262">
          <cell r="AP262">
            <v>6.0449999999999999</v>
          </cell>
        </row>
        <row r="263">
          <cell r="AP263">
            <v>4.8336437588236842</v>
          </cell>
        </row>
        <row r="264">
          <cell r="AP264">
            <v>5.1596955336960777</v>
          </cell>
        </row>
        <row r="265">
          <cell r="AP265">
            <v>5.7339462942099448</v>
          </cell>
        </row>
        <row r="266">
          <cell r="AP266">
            <v>5.3093784142747271</v>
          </cell>
        </row>
        <row r="267">
          <cell r="AP267">
            <v>5.7155469448363334</v>
          </cell>
        </row>
        <row r="268">
          <cell r="AP268">
            <v>5.1320500733739616</v>
          </cell>
        </row>
        <row r="269">
          <cell r="AP269">
            <v>5.6541558438405319</v>
          </cell>
        </row>
        <row r="270">
          <cell r="AP270">
            <v>4.8201296136005842</v>
          </cell>
        </row>
        <row r="271">
          <cell r="AP271">
            <v>5.5486793143525457</v>
          </cell>
        </row>
        <row r="272">
          <cell r="AP272">
            <v>6.4394762338060954</v>
          </cell>
        </row>
        <row r="273">
          <cell r="AP273">
            <v>5.779208198021685</v>
          </cell>
        </row>
        <row r="274">
          <cell r="AP274">
            <v>5.7063046332032847</v>
          </cell>
        </row>
        <row r="275">
          <cell r="AP275">
            <v>6.3630882263828461</v>
          </cell>
        </row>
        <row r="276">
          <cell r="AP276">
            <v>6.2151769467971709</v>
          </cell>
        </row>
        <row r="277">
          <cell r="AP277">
            <v>5.8518332216873414</v>
          </cell>
        </row>
        <row r="278">
          <cell r="AP278">
            <v>6.2648520634477327</v>
          </cell>
        </row>
        <row r="279">
          <cell r="AP279">
            <v>5.7809511482159728</v>
          </cell>
        </row>
        <row r="280">
          <cell r="AP280">
            <v>6.449237630344312</v>
          </cell>
        </row>
        <row r="281">
          <cell r="AP281">
            <v>5.1774089426771663</v>
          </cell>
        </row>
        <row r="282">
          <cell r="AP282">
            <v>4.0999999999999996</v>
          </cell>
        </row>
        <row r="283">
          <cell r="AP283">
            <v>5.38</v>
          </cell>
        </row>
        <row r="284">
          <cell r="AP284">
            <v>3.64</v>
          </cell>
        </row>
        <row r="285">
          <cell r="AP285">
            <v>4.5</v>
          </cell>
        </row>
        <row r="286">
          <cell r="AP286">
            <v>5.14</v>
          </cell>
        </row>
        <row r="287">
          <cell r="AP287">
            <v>4.63</v>
          </cell>
        </row>
        <row r="288">
          <cell r="AP288">
            <v>4.5999999999999996</v>
          </cell>
        </row>
        <row r="289">
          <cell r="AP289">
            <v>4.29</v>
          </cell>
        </row>
        <row r="290">
          <cell r="AP290">
            <v>4.2699999999999996</v>
          </cell>
        </row>
        <row r="291">
          <cell r="AP291">
            <v>3.85</v>
          </cell>
        </row>
        <row r="292">
          <cell r="AP292">
            <v>4.68</v>
          </cell>
        </row>
        <row r="293">
          <cell r="AP293">
            <v>5.59</v>
          </cell>
        </row>
        <row r="294">
          <cell r="AP294">
            <v>4.7699999999999996</v>
          </cell>
        </row>
        <row r="295">
          <cell r="AP295">
            <v>5.0999999999999996</v>
          </cell>
        </row>
        <row r="296">
          <cell r="AP296">
            <v>5.0599999999999996</v>
          </cell>
        </row>
        <row r="297">
          <cell r="AP297">
            <v>5.13</v>
          </cell>
        </row>
        <row r="298">
          <cell r="AP298">
            <v>4.6900000000000004</v>
          </cell>
        </row>
        <row r="299">
          <cell r="AP299">
            <v>5.49</v>
          </cell>
        </row>
        <row r="300">
          <cell r="AP300">
            <v>4.84</v>
          </cell>
        </row>
        <row r="301">
          <cell r="AP301">
            <v>5.41</v>
          </cell>
        </row>
        <row r="302">
          <cell r="AP302">
            <v>4.3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Prices"/>
      <sheetName val="Predicted Gas Prices"/>
      <sheetName val="Gas-311"/>
      <sheetName val="Gas-312"/>
      <sheetName val="Gas-313"/>
      <sheetName val="Gas-314"/>
      <sheetName val="Gas-315"/>
      <sheetName val="Gas-316"/>
      <sheetName val="Gas-321"/>
      <sheetName val="Gas-322"/>
      <sheetName val="Gas-323"/>
      <sheetName val="Gas-324"/>
      <sheetName val="Gas-325"/>
      <sheetName val="Gas-326"/>
      <sheetName val="Gas-327"/>
      <sheetName val="Gas-331"/>
      <sheetName val="Gas-332"/>
      <sheetName val="Gas-333"/>
      <sheetName val="Gas-334"/>
      <sheetName val="Gas-335"/>
      <sheetName val="Gas-336"/>
      <sheetName val="Gas-337"/>
      <sheetName val="Gas-339"/>
      <sheetName val="Gas-312a"/>
      <sheetName val="Gas-313a"/>
      <sheetName val="Gas-314a"/>
      <sheetName val="Gas-315a"/>
      <sheetName val="Gas-316a"/>
      <sheetName val="Gas-321a"/>
      <sheetName val="Gas-322a"/>
      <sheetName val="Gas-323a"/>
      <sheetName val="Gas-324a"/>
      <sheetName val="Gas-325a"/>
      <sheetName val="Gas-326a"/>
      <sheetName val="Gas-327a"/>
      <sheetName val="Gas-331a"/>
      <sheetName val="Gas-332a"/>
      <sheetName val="Gas-333a"/>
      <sheetName val="Gas-334a"/>
      <sheetName val="Gas-335a"/>
      <sheetName val="Gas-336a"/>
      <sheetName val="Gas-337a"/>
      <sheetName val="Gas-339a"/>
      <sheetName val="Sheet2"/>
      <sheetName val="Sheet3"/>
    </sheetNames>
    <sheetDataSet>
      <sheetData sheetId="0"/>
      <sheetData sheetId="1">
        <row r="9">
          <cell r="AQ9">
            <v>4.21</v>
          </cell>
        </row>
        <row r="10">
          <cell r="AQ10">
            <v>4.6100000000000003</v>
          </cell>
        </row>
        <row r="11">
          <cell r="AQ11">
            <v>4.54</v>
          </cell>
        </row>
        <row r="12">
          <cell r="AQ12">
            <v>4.54</v>
          </cell>
        </row>
        <row r="13">
          <cell r="AQ13">
            <v>5.17</v>
          </cell>
        </row>
        <row r="14">
          <cell r="AQ14">
            <v>4.75</v>
          </cell>
        </row>
        <row r="15">
          <cell r="AQ15">
            <v>4.5599999999999996</v>
          </cell>
        </row>
        <row r="16">
          <cell r="AQ16">
            <v>3.88</v>
          </cell>
        </row>
        <row r="17">
          <cell r="AQ17">
            <v>4.95</v>
          </cell>
        </row>
        <row r="18">
          <cell r="AQ18">
            <v>3.24</v>
          </cell>
        </row>
        <row r="19">
          <cell r="AQ19">
            <v>3.02</v>
          </cell>
        </row>
        <row r="20">
          <cell r="AQ20">
            <v>4.34</v>
          </cell>
        </row>
        <row r="21">
          <cell r="AQ21">
            <v>4.18</v>
          </cell>
        </row>
        <row r="22">
          <cell r="AQ22">
            <v>4.12</v>
          </cell>
        </row>
        <row r="23">
          <cell r="AQ23">
            <v>4.6900000000000004</v>
          </cell>
        </row>
        <row r="24">
          <cell r="AQ24">
            <v>4.67</v>
          </cell>
        </row>
        <row r="25">
          <cell r="AQ25">
            <v>4.6839999999999993</v>
          </cell>
        </row>
        <row r="26">
          <cell r="AQ26">
            <v>4.72</v>
          </cell>
        </row>
        <row r="27">
          <cell r="AQ27">
            <v>4.6399999999999997</v>
          </cell>
        </row>
        <row r="28">
          <cell r="AQ28">
            <v>5.03</v>
          </cell>
        </row>
        <row r="29">
          <cell r="AQ29">
            <v>3.72</v>
          </cell>
        </row>
        <row r="30">
          <cell r="AQ30">
            <v>3.4300618601745683</v>
          </cell>
        </row>
        <row r="31">
          <cell r="AQ31">
            <v>3.8947400000000001</v>
          </cell>
        </row>
        <row r="32">
          <cell r="AQ32">
            <v>3.7130927565392353</v>
          </cell>
        </row>
        <row r="33">
          <cell r="AQ33">
            <v>3.713370029935712</v>
          </cell>
        </row>
        <row r="34">
          <cell r="AQ34">
            <v>4.3361176625083422</v>
          </cell>
        </row>
        <row r="35">
          <cell r="AQ35">
            <v>3.8523015658713637</v>
          </cell>
        </row>
        <row r="36">
          <cell r="AQ36">
            <v>3.8029368994454553</v>
          </cell>
        </row>
        <row r="37">
          <cell r="AQ37">
            <v>3.1383836442209754</v>
          </cell>
        </row>
        <row r="38">
          <cell r="AQ38">
            <v>4.1967514648868862</v>
          </cell>
        </row>
        <row r="39">
          <cell r="AQ39">
            <v>2.5487773357052745</v>
          </cell>
        </row>
        <row r="40">
          <cell r="AQ40">
            <v>2.3696478983056535</v>
          </cell>
        </row>
        <row r="41">
          <cell r="AQ41">
            <v>3.6190499685391408</v>
          </cell>
        </row>
        <row r="42">
          <cell r="AQ42">
            <v>3.3011366835157281</v>
          </cell>
        </row>
        <row r="43">
          <cell r="AQ43">
            <v>3.3759461060781399</v>
          </cell>
        </row>
        <row r="44">
          <cell r="AQ44">
            <v>3.8730320755254599</v>
          </cell>
        </row>
        <row r="45">
          <cell r="AQ45">
            <v>3.9008023534831522</v>
          </cell>
        </row>
        <row r="46">
          <cell r="AQ46">
            <v>4.092968242776319</v>
          </cell>
        </row>
        <row r="47">
          <cell r="AQ47">
            <v>3.8266214902121751</v>
          </cell>
        </row>
        <row r="48">
          <cell r="AQ48">
            <v>3.8495900721401584</v>
          </cell>
        </row>
        <row r="49">
          <cell r="AQ49">
            <v>4.128429710416019</v>
          </cell>
        </row>
        <row r="50">
          <cell r="AQ50">
            <v>3.2238733478376975</v>
          </cell>
        </row>
        <row r="51">
          <cell r="AQ51">
            <v>3.0143601584015993</v>
          </cell>
        </row>
        <row r="52">
          <cell r="AQ52">
            <v>3.5202599999999995</v>
          </cell>
        </row>
        <row r="53">
          <cell r="AQ53">
            <v>3.3832757364701025</v>
          </cell>
        </row>
        <row r="54">
          <cell r="AQ54">
            <v>3.3835174619952362</v>
          </cell>
        </row>
        <row r="55">
          <cell r="AQ55">
            <v>4.0645410391098364</v>
          </cell>
        </row>
        <row r="56">
          <cell r="AQ56">
            <v>3.4895064933237521</v>
          </cell>
        </row>
        <row r="57">
          <cell r="AQ57">
            <v>3.5253347328498839</v>
          </cell>
        </row>
        <row r="58">
          <cell r="AQ58">
            <v>2.6477538284196833</v>
          </cell>
        </row>
        <row r="59">
          <cell r="AQ59">
            <v>3.9339525591321567</v>
          </cell>
        </row>
        <row r="60">
          <cell r="AQ60">
            <v>2.1922748305783166</v>
          </cell>
        </row>
        <row r="61">
          <cell r="AQ61">
            <v>2.0381751780983155</v>
          </cell>
        </row>
        <row r="62">
          <cell r="AQ62">
            <v>3.2007090887204428</v>
          </cell>
        </row>
        <row r="63">
          <cell r="AQ63">
            <v>2.8671114676803784</v>
          </cell>
        </row>
        <row r="64">
          <cell r="AQ64">
            <v>2.9164159031669827</v>
          </cell>
        </row>
        <row r="65">
          <cell r="AQ65">
            <v>3.5610561684068105</v>
          </cell>
        </row>
        <row r="66">
          <cell r="AQ66">
            <v>3.5373195848258687</v>
          </cell>
        </row>
        <row r="67">
          <cell r="AQ67">
            <v>3.5989385157192966</v>
          </cell>
        </row>
        <row r="68">
          <cell r="AQ68">
            <v>3.4479802735183065</v>
          </cell>
        </row>
        <row r="69">
          <cell r="AQ69">
            <v>3.5074477551991121</v>
          </cell>
        </row>
        <row r="70">
          <cell r="AQ70">
            <v>3.8120079526703758</v>
          </cell>
        </row>
        <row r="71">
          <cell r="AQ71">
            <v>3.2951254827302998</v>
          </cell>
        </row>
        <row r="72">
          <cell r="AQ72">
            <v>2.91</v>
          </cell>
        </row>
        <row r="73">
          <cell r="AQ73">
            <v>3.46</v>
          </cell>
        </row>
        <row r="74">
          <cell r="AQ74">
            <v>3.4</v>
          </cell>
        </row>
        <row r="75">
          <cell r="AQ75">
            <v>3.4</v>
          </cell>
        </row>
        <row r="76">
          <cell r="AQ76">
            <v>4.18</v>
          </cell>
        </row>
        <row r="77">
          <cell r="AQ77">
            <v>3.5</v>
          </cell>
        </row>
        <row r="78">
          <cell r="AQ78">
            <v>3.58</v>
          </cell>
        </row>
        <row r="79">
          <cell r="AQ79">
            <v>2.48</v>
          </cell>
        </row>
        <row r="80">
          <cell r="AQ80">
            <v>4.01</v>
          </cell>
        </row>
        <row r="81">
          <cell r="AQ81">
            <v>2.09</v>
          </cell>
        </row>
        <row r="82">
          <cell r="AQ82">
            <v>1.97</v>
          </cell>
        </row>
        <row r="83">
          <cell r="AQ83">
            <v>3.15</v>
          </cell>
        </row>
        <row r="84">
          <cell r="AQ84">
            <v>2.75</v>
          </cell>
        </row>
        <row r="85">
          <cell r="AQ85">
            <v>2.78</v>
          </cell>
        </row>
        <row r="86">
          <cell r="AQ86">
            <v>3.6</v>
          </cell>
        </row>
        <row r="87">
          <cell r="AQ87">
            <v>3.6</v>
          </cell>
        </row>
        <row r="88">
          <cell r="AQ88">
            <v>3.5229999999999997</v>
          </cell>
        </row>
        <row r="89">
          <cell r="AQ89">
            <v>3.43</v>
          </cell>
        </row>
        <row r="90">
          <cell r="AQ90">
            <v>3.48</v>
          </cell>
        </row>
        <row r="91">
          <cell r="AQ91">
            <v>3.9</v>
          </cell>
        </row>
        <row r="92">
          <cell r="AQ92">
            <v>3.74</v>
          </cell>
        </row>
        <row r="93">
          <cell r="AQ93">
            <v>2.9294903000108672</v>
          </cell>
        </row>
        <row r="94">
          <cell r="AQ94">
            <v>3.24857</v>
          </cell>
        </row>
        <row r="95">
          <cell r="AQ95">
            <v>3.4833221895475415</v>
          </cell>
        </row>
        <row r="96">
          <cell r="AQ96">
            <v>3.4832540798260481</v>
          </cell>
        </row>
        <row r="97">
          <cell r="AQ97">
            <v>4.1597147895684632</v>
          </cell>
        </row>
        <row r="98">
          <cell r="AQ98">
            <v>3.4089746409987778</v>
          </cell>
        </row>
        <row r="99">
          <cell r="AQ99">
            <v>3.5393454488028855</v>
          </cell>
        </row>
        <row r="100">
          <cell r="AQ100">
            <v>2.4963000203372183</v>
          </cell>
        </row>
        <row r="101">
          <cell r="AQ101">
            <v>3.9835308965739387</v>
          </cell>
        </row>
        <row r="102">
          <cell r="AQ102">
            <v>2.1270275201783795</v>
          </cell>
        </row>
        <row r="103">
          <cell r="AQ103">
            <v>1.9947368933499978</v>
          </cell>
        </row>
        <row r="104">
          <cell r="AQ104">
            <v>3.2363589867667777</v>
          </cell>
        </row>
        <row r="105">
          <cell r="AQ105">
            <v>2.7763768864594693</v>
          </cell>
        </row>
        <row r="106">
          <cell r="AQ106">
            <v>2.7804612875071131</v>
          </cell>
        </row>
        <row r="107">
          <cell r="AQ107">
            <v>3.6374137619606692</v>
          </cell>
        </row>
        <row r="108">
          <cell r="AQ108">
            <v>3.6628532606008206</v>
          </cell>
        </row>
        <row r="109">
          <cell r="AQ109">
            <v>3.5522550523765863</v>
          </cell>
        </row>
        <row r="110">
          <cell r="AQ110">
            <v>3.5085810288145471</v>
          </cell>
        </row>
        <row r="111">
          <cell r="AQ111">
            <v>3.4530757207409555</v>
          </cell>
        </row>
        <row r="112">
          <cell r="AQ112">
            <v>3.9476931121593473</v>
          </cell>
        </row>
        <row r="113">
          <cell r="AQ113">
            <v>3.9090302904542273</v>
          </cell>
        </row>
        <row r="114">
          <cell r="AQ114">
            <v>2.9121736332183605</v>
          </cell>
        </row>
        <row r="115">
          <cell r="AQ115">
            <v>2.9944299999999995</v>
          </cell>
        </row>
        <row r="116">
          <cell r="AQ116">
            <v>3.5225927101067951</v>
          </cell>
        </row>
        <row r="117">
          <cell r="AQ117">
            <v>3.5224830804715723</v>
          </cell>
        </row>
        <row r="118">
          <cell r="AQ118">
            <v>4.0864020934390091</v>
          </cell>
        </row>
        <row r="119">
          <cell r="AQ119">
            <v>3.2650499962631687</v>
          </cell>
        </row>
        <row r="120">
          <cell r="AQ120">
            <v>3.4526437182192584</v>
          </cell>
        </row>
        <row r="121">
          <cell r="AQ121">
            <v>2.481143454429378</v>
          </cell>
        </row>
        <row r="122">
          <cell r="AQ122">
            <v>3.9104745746524161</v>
          </cell>
        </row>
        <row r="123">
          <cell r="AQ123">
            <v>2.1326324917275432</v>
          </cell>
        </row>
        <row r="124">
          <cell r="AQ124">
            <v>1.9880103799667115</v>
          </cell>
        </row>
        <row r="125">
          <cell r="AQ125">
            <v>3.2880350080249992</v>
          </cell>
        </row>
        <row r="126">
          <cell r="AQ126">
            <v>2.761497034363781</v>
          </cell>
        </row>
        <row r="127">
          <cell r="AQ127">
            <v>2.747162933691214</v>
          </cell>
        </row>
        <row r="128">
          <cell r="AQ128">
            <v>3.6287067024460877</v>
          </cell>
        </row>
        <row r="129">
          <cell r="AQ129">
            <v>3.6814021660891361</v>
          </cell>
        </row>
        <row r="130">
          <cell r="AQ130">
            <v>3.5532903771147284</v>
          </cell>
        </row>
        <row r="131">
          <cell r="AQ131">
            <v>3.5412128877161089</v>
          </cell>
        </row>
        <row r="132">
          <cell r="AQ132">
            <v>3.3832126945538143</v>
          </cell>
        </row>
        <row r="133">
          <cell r="AQ133">
            <v>3.9421980991124355</v>
          </cell>
        </row>
        <row r="134">
          <cell r="AQ134">
            <v>4.0312303840087882</v>
          </cell>
        </row>
        <row r="135">
          <cell r="AQ135">
            <v>2.6970000000000001</v>
          </cell>
        </row>
        <row r="136">
          <cell r="AQ136">
            <v>2.5539999999999998</v>
          </cell>
        </row>
        <row r="137">
          <cell r="AQ137">
            <v>3.3170000000000002</v>
          </cell>
        </row>
        <row r="138">
          <cell r="AQ138">
            <v>3.3170000000000002</v>
          </cell>
        </row>
        <row r="139">
          <cell r="AQ139">
            <v>3.7410000000000001</v>
          </cell>
        </row>
        <row r="140">
          <cell r="AQ140">
            <v>2.863</v>
          </cell>
        </row>
        <row r="141">
          <cell r="AQ141">
            <v>3.1339999999999999</v>
          </cell>
        </row>
        <row r="142">
          <cell r="AQ142">
            <v>2.2919999999999998</v>
          </cell>
        </row>
        <row r="143">
          <cell r="AQ143">
            <v>3.6</v>
          </cell>
        </row>
        <row r="144">
          <cell r="AQ144">
            <v>1.9670000000000001</v>
          </cell>
        </row>
        <row r="145">
          <cell r="AQ145">
            <v>1.8109999999999999</v>
          </cell>
        </row>
        <row r="146">
          <cell r="AQ146">
            <v>3.1349999999999998</v>
          </cell>
        </row>
        <row r="147">
          <cell r="AQ147">
            <v>2.5270000000000001</v>
          </cell>
        </row>
        <row r="148">
          <cell r="AQ148">
            <v>2.532</v>
          </cell>
        </row>
        <row r="149">
          <cell r="AQ149">
            <v>3.3730000000000002</v>
          </cell>
        </row>
        <row r="150">
          <cell r="AQ150">
            <v>3.45</v>
          </cell>
        </row>
        <row r="151">
          <cell r="AQ151">
            <v>3.3838999999999997</v>
          </cell>
        </row>
        <row r="152">
          <cell r="AQ152">
            <v>3.32</v>
          </cell>
        </row>
        <row r="153">
          <cell r="AQ153">
            <v>3.0950000000000002</v>
          </cell>
        </row>
        <row r="154">
          <cell r="AQ154">
            <v>3.6509999999999998</v>
          </cell>
        </row>
        <row r="155">
          <cell r="AQ155">
            <v>3.8780000000000001</v>
          </cell>
        </row>
        <row r="156">
          <cell r="AQ156">
            <v>2.7562548909993465</v>
          </cell>
        </row>
        <row r="157">
          <cell r="AQ157">
            <v>2.82274</v>
          </cell>
        </row>
        <row r="158">
          <cell r="AQ158">
            <v>3.4002465794768613</v>
          </cell>
        </row>
        <row r="159">
          <cell r="AQ159">
            <v>3.4002243976051432</v>
          </cell>
        </row>
        <row r="160">
          <cell r="AQ160">
            <v>3.8703445869993325</v>
          </cell>
        </row>
        <row r="161">
          <cell r="AQ161">
            <v>3.1351258747302908</v>
          </cell>
        </row>
        <row r="162">
          <cell r="AQ162">
            <v>3.2036730480443634</v>
          </cell>
        </row>
        <row r="163">
          <cell r="AQ163">
            <v>2.3407668299963049</v>
          </cell>
        </row>
        <row r="164">
          <cell r="AQ164">
            <v>3.7938438828090488</v>
          </cell>
        </row>
        <row r="165">
          <cell r="AQ165">
            <v>2.0631806023058346</v>
          </cell>
        </row>
        <row r="166">
          <cell r="AQ166">
            <v>1.9333072853077979</v>
          </cell>
        </row>
        <row r="167">
          <cell r="AQ167">
            <v>3.2306450949269001</v>
          </cell>
        </row>
        <row r="168">
          <cell r="AQ168">
            <v>2.9037470653187416</v>
          </cell>
        </row>
        <row r="169">
          <cell r="AQ169">
            <v>2.5741532727169503</v>
          </cell>
        </row>
        <row r="170">
          <cell r="AQ170">
            <v>3.4481914339579633</v>
          </cell>
        </row>
        <row r="171">
          <cell r="AQ171">
            <v>3.5143106796669183</v>
          </cell>
        </row>
        <row r="172">
          <cell r="AQ172">
            <v>3.3493386006180179</v>
          </cell>
        </row>
        <row r="173">
          <cell r="AQ173">
            <v>3.4366142807830253</v>
          </cell>
        </row>
        <row r="174">
          <cell r="AQ174">
            <v>3.1985587942287874</v>
          </cell>
        </row>
        <row r="175">
          <cell r="AQ175">
            <v>3.7688636231667183</v>
          </cell>
        </row>
        <row r="176">
          <cell r="AQ176">
            <v>4.0970781321729843</v>
          </cell>
        </row>
        <row r="177">
          <cell r="AQ177">
            <v>2.9152774181531056</v>
          </cell>
        </row>
        <row r="178">
          <cell r="AQ178">
            <v>3.2072599999999998</v>
          </cell>
        </row>
        <row r="179">
          <cell r="AQ179">
            <v>3.5732155522880875</v>
          </cell>
        </row>
        <row r="180">
          <cell r="AQ180">
            <v>3.5731168713972385</v>
          </cell>
        </row>
        <row r="181">
          <cell r="AQ181">
            <v>4.101734893445748</v>
          </cell>
        </row>
        <row r="182">
          <cell r="AQ182">
            <v>3.5093708786078324</v>
          </cell>
        </row>
        <row r="183">
          <cell r="AQ183">
            <v>3.3593595855306941</v>
          </cell>
        </row>
        <row r="184">
          <cell r="AQ184">
            <v>2.526319830019867</v>
          </cell>
        </row>
        <row r="185">
          <cell r="AQ185">
            <v>4.0792798376248722</v>
          </cell>
        </row>
        <row r="186">
          <cell r="AQ186">
            <v>2.231381084434152</v>
          </cell>
        </row>
        <row r="187">
          <cell r="AQ187">
            <v>2.1397115116892933</v>
          </cell>
        </row>
        <row r="188">
          <cell r="AQ188">
            <v>3.4825072194551732</v>
          </cell>
        </row>
        <row r="189">
          <cell r="AQ189">
            <v>3.3706472008410686</v>
          </cell>
        </row>
        <row r="190">
          <cell r="AQ190">
            <v>2.7445676135333321</v>
          </cell>
        </row>
        <row r="191">
          <cell r="AQ191">
            <v>3.6141304818386319</v>
          </cell>
        </row>
        <row r="192">
          <cell r="AQ192">
            <v>3.7463874086842663</v>
          </cell>
        </row>
        <row r="193">
          <cell r="AQ193">
            <v>3.5565741923876888</v>
          </cell>
        </row>
        <row r="194">
          <cell r="AQ194">
            <v>3.6472455824578209</v>
          </cell>
        </row>
        <row r="195">
          <cell r="AQ195">
            <v>3.3841173281716568</v>
          </cell>
        </row>
        <row r="196">
          <cell r="AQ196">
            <v>3.9925824004980939</v>
          </cell>
        </row>
        <row r="197">
          <cell r="AQ197">
            <v>4.4200591264618661</v>
          </cell>
        </row>
        <row r="198">
          <cell r="AQ198">
            <v>2.85</v>
          </cell>
        </row>
        <row r="199">
          <cell r="AQ199">
            <v>3.37</v>
          </cell>
        </row>
        <row r="200">
          <cell r="AQ200">
            <v>3.46</v>
          </cell>
        </row>
        <row r="201">
          <cell r="AQ201">
            <v>3.46</v>
          </cell>
        </row>
        <row r="202">
          <cell r="AQ202">
            <v>4.01</v>
          </cell>
        </row>
        <row r="203">
          <cell r="AQ203">
            <v>3.57</v>
          </cell>
        </row>
        <row r="204">
          <cell r="AQ204">
            <v>3.24</v>
          </cell>
        </row>
        <row r="205">
          <cell r="AQ205">
            <v>2.5299999999999998</v>
          </cell>
        </row>
        <row r="206">
          <cell r="AQ206">
            <v>4.08</v>
          </cell>
        </row>
        <row r="207">
          <cell r="AQ207">
            <v>2.2000000000000002</v>
          </cell>
        </row>
        <row r="208">
          <cell r="AQ208">
            <v>2.15</v>
          </cell>
        </row>
        <row r="209">
          <cell r="AQ209">
            <v>3.52</v>
          </cell>
        </row>
        <row r="210">
          <cell r="AQ210">
            <v>3.57</v>
          </cell>
        </row>
        <row r="211">
          <cell r="AQ211">
            <v>2.72</v>
          </cell>
        </row>
        <row r="212">
          <cell r="AQ212">
            <v>3.49</v>
          </cell>
        </row>
        <row r="213">
          <cell r="AQ213">
            <v>3.71</v>
          </cell>
        </row>
        <row r="214">
          <cell r="AQ214">
            <v>3.6230000000000002</v>
          </cell>
        </row>
        <row r="215">
          <cell r="AQ215">
            <v>3.56</v>
          </cell>
        </row>
        <row r="216">
          <cell r="AQ216">
            <v>3.31</v>
          </cell>
        </row>
        <row r="217">
          <cell r="AQ217">
            <v>3.88</v>
          </cell>
        </row>
        <row r="218">
          <cell r="AQ218">
            <v>4.42</v>
          </cell>
        </row>
        <row r="219">
          <cell r="AQ219">
            <v>2.5282537826969551</v>
          </cell>
        </row>
        <row r="220">
          <cell r="AQ220">
            <v>2.9912500000000004</v>
          </cell>
        </row>
        <row r="221">
          <cell r="AQ221">
            <v>3.0085733955012128</v>
          </cell>
        </row>
        <row r="222">
          <cell r="AQ222">
            <v>3.0513311175684503</v>
          </cell>
        </row>
        <row r="223">
          <cell r="AQ223">
            <v>3.4885805196391648</v>
          </cell>
        </row>
        <row r="224">
          <cell r="AQ224">
            <v>3.1365142759701774</v>
          </cell>
        </row>
        <row r="225">
          <cell r="AQ225">
            <v>2.7694157078178914</v>
          </cell>
        </row>
        <row r="226">
          <cell r="AQ226">
            <v>2.2570997792475045</v>
          </cell>
        </row>
        <row r="227">
          <cell r="AQ227">
            <v>3.6156920667217856</v>
          </cell>
        </row>
        <row r="228">
          <cell r="AQ228">
            <v>1.9717468943117225</v>
          </cell>
        </row>
        <row r="229">
          <cell r="AQ229">
            <v>1.9103092129527166</v>
          </cell>
        </row>
        <row r="230">
          <cell r="AQ230">
            <v>3.1435173330727944</v>
          </cell>
        </row>
        <row r="231">
          <cell r="AQ231">
            <v>3.0367328148062862</v>
          </cell>
        </row>
        <row r="232">
          <cell r="AQ232">
            <v>2.4350598234636704</v>
          </cell>
        </row>
        <row r="233">
          <cell r="AQ233">
            <v>3.0649753266102033</v>
          </cell>
        </row>
        <row r="234">
          <cell r="AQ234">
            <v>3.2524378465742725</v>
          </cell>
        </row>
        <row r="235">
          <cell r="AQ235">
            <v>3.3130333526751401</v>
          </cell>
        </row>
        <row r="236">
          <cell r="AQ236">
            <v>3.0852988210305483</v>
          </cell>
        </row>
        <row r="237">
          <cell r="AQ237">
            <v>2.9136317978225841</v>
          </cell>
        </row>
        <row r="238">
          <cell r="AQ238">
            <v>3.4661077436559156</v>
          </cell>
        </row>
        <row r="239">
          <cell r="AQ239">
            <v>3.8202220220286289</v>
          </cell>
        </row>
        <row r="240">
          <cell r="AQ240">
            <v>3.1577052709253088</v>
          </cell>
        </row>
        <row r="241">
          <cell r="AQ241">
            <v>3.5255000000000001</v>
          </cell>
        </row>
        <row r="242">
          <cell r="AQ242">
            <v>3.7705893695506369</v>
          </cell>
        </row>
        <row r="243">
          <cell r="AQ243">
            <v>3.8553583083869061</v>
          </cell>
        </row>
        <row r="244">
          <cell r="AQ244">
            <v>4.3326519479097145</v>
          </cell>
        </row>
        <row r="245">
          <cell r="AQ245">
            <v>4.0093320284405305</v>
          </cell>
        </row>
        <row r="246">
          <cell r="AQ246">
            <v>3.466385917128787</v>
          </cell>
        </row>
        <row r="247">
          <cell r="AQ247">
            <v>2.7541979679236959</v>
          </cell>
        </row>
        <row r="248">
          <cell r="AQ248">
            <v>4.3442071125942618</v>
          </cell>
        </row>
        <row r="249">
          <cell r="AQ249">
            <v>2.5846083261147492</v>
          </cell>
        </row>
        <row r="250">
          <cell r="AQ250">
            <v>2.4932533490511455</v>
          </cell>
        </row>
        <row r="251">
          <cell r="AQ251">
            <v>3.6697899796426312</v>
          </cell>
        </row>
        <row r="252">
          <cell r="AQ252">
            <v>3.5991360970702262</v>
          </cell>
        </row>
        <row r="253">
          <cell r="AQ253">
            <v>2.9773162973756091</v>
          </cell>
        </row>
        <row r="254">
          <cell r="AQ254">
            <v>3.8710566037287841</v>
          </cell>
        </row>
        <row r="255">
          <cell r="AQ255">
            <v>3.9331920619209044</v>
          </cell>
        </row>
        <row r="256">
          <cell r="AQ256">
            <v>3.6056794876216616</v>
          </cell>
        </row>
        <row r="257">
          <cell r="AQ257">
            <v>3.8697320914898539</v>
          </cell>
        </row>
        <row r="258">
          <cell r="AQ258">
            <v>3.614674939883201</v>
          </cell>
        </row>
        <row r="259">
          <cell r="AQ259">
            <v>4.4755585746533173</v>
          </cell>
        </row>
        <row r="260">
          <cell r="AQ260">
            <v>4.5739388768019191</v>
          </cell>
        </row>
        <row r="261">
          <cell r="AQ261">
            <v>3.3603681573646638</v>
          </cell>
        </row>
        <row r="262">
          <cell r="AQ262">
            <v>3.67875</v>
          </cell>
        </row>
        <row r="263">
          <cell r="AQ263">
            <v>3.9085491603466953</v>
          </cell>
        </row>
        <row r="264">
          <cell r="AQ264">
            <v>4.0357132329625029</v>
          </cell>
        </row>
        <row r="265">
          <cell r="AQ265">
            <v>4.4744709088841237</v>
          </cell>
        </row>
        <row r="266">
          <cell r="AQ266">
            <v>4.210336564425079</v>
          </cell>
        </row>
        <row r="267">
          <cell r="AQ267">
            <v>3.5628995256718516</v>
          </cell>
        </row>
        <row r="268">
          <cell r="AQ268">
            <v>3.0237900121065691</v>
          </cell>
        </row>
        <row r="269">
          <cell r="AQ269">
            <v>4.4592703406178114</v>
          </cell>
        </row>
        <row r="270">
          <cell r="AQ270">
            <v>2.7831449461772575</v>
          </cell>
        </row>
        <row r="271">
          <cell r="AQ271">
            <v>2.6979504223368505</v>
          </cell>
        </row>
        <row r="272">
          <cell r="AQ272">
            <v>3.9181266622239885</v>
          </cell>
        </row>
        <row r="273">
          <cell r="AQ273">
            <v>3.5980517103559442</v>
          </cell>
        </row>
        <row r="274">
          <cell r="AQ274">
            <v>3.2364520340394449</v>
          </cell>
        </row>
        <row r="275">
          <cell r="AQ275">
            <v>4.0439976777287701</v>
          </cell>
        </row>
        <row r="276">
          <cell r="AQ276">
            <v>4.2055330791152823</v>
          </cell>
        </row>
        <row r="277">
          <cell r="AQ277">
            <v>4.0088040189188074</v>
          </cell>
        </row>
        <row r="278">
          <cell r="AQ278">
            <v>4.0066105022429408</v>
          </cell>
        </row>
        <row r="279">
          <cell r="AQ279">
            <v>3.7513351049071151</v>
          </cell>
        </row>
        <row r="280">
          <cell r="AQ280">
            <v>4.7530043893036691</v>
          </cell>
        </row>
        <row r="281">
          <cell r="AQ281">
            <v>4.6315726747350983</v>
          </cell>
        </row>
        <row r="282">
          <cell r="AQ282">
            <v>2.95</v>
          </cell>
        </row>
        <row r="283">
          <cell r="AQ283">
            <v>3.22</v>
          </cell>
        </row>
        <row r="284">
          <cell r="AQ284">
            <v>3.33</v>
          </cell>
        </row>
        <row r="285">
          <cell r="AQ285">
            <v>3.5</v>
          </cell>
        </row>
        <row r="286">
          <cell r="AQ286">
            <v>3.81</v>
          </cell>
        </row>
        <row r="287">
          <cell r="AQ287">
            <v>3.64</v>
          </cell>
        </row>
        <row r="288">
          <cell r="AQ288">
            <v>2.97</v>
          </cell>
        </row>
        <row r="289">
          <cell r="AQ289">
            <v>2.7</v>
          </cell>
        </row>
        <row r="290">
          <cell r="AQ290">
            <v>3.87</v>
          </cell>
        </row>
        <row r="291">
          <cell r="AQ291">
            <v>2.4700000000000002</v>
          </cell>
        </row>
        <row r="292">
          <cell r="AQ292">
            <v>2.38</v>
          </cell>
        </row>
        <row r="293">
          <cell r="AQ293">
            <v>3.48</v>
          </cell>
        </row>
        <row r="294">
          <cell r="AQ294">
            <v>2.95</v>
          </cell>
        </row>
        <row r="295">
          <cell r="AQ295">
            <v>2.89</v>
          </cell>
        </row>
        <row r="296">
          <cell r="AQ296">
            <v>3.49</v>
          </cell>
        </row>
        <row r="297">
          <cell r="AQ297">
            <v>3.66</v>
          </cell>
        </row>
        <row r="298">
          <cell r="AQ298">
            <v>3.71</v>
          </cell>
        </row>
        <row r="299">
          <cell r="AQ299">
            <v>3.4</v>
          </cell>
        </row>
        <row r="300">
          <cell r="AQ300">
            <v>3.24</v>
          </cell>
        </row>
        <row r="301">
          <cell r="AQ301">
            <v>4.1900000000000004</v>
          </cell>
        </row>
        <row r="302">
          <cell r="AQ302">
            <v>3.89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G_Prices"/>
      <sheetName val="Gas_Prices_Jan13"/>
      <sheetName val="Predicted LPG Prices"/>
      <sheetName val="LPG-311"/>
      <sheetName val="LPG-312"/>
      <sheetName val="LPG-313"/>
      <sheetName val="LPG-314"/>
      <sheetName val="LPG-315"/>
      <sheetName val="LPG-316"/>
      <sheetName val="LPG-321"/>
      <sheetName val="LPG-322"/>
      <sheetName val="LPG-323"/>
      <sheetName val="LPG-324"/>
      <sheetName val="LPG-325"/>
      <sheetName val="LPG-326"/>
      <sheetName val="LPG-327"/>
      <sheetName val="LPG-331"/>
      <sheetName val="LPG-332"/>
      <sheetName val="LPG-333"/>
      <sheetName val="LPG-334"/>
      <sheetName val="LPG-335"/>
      <sheetName val="LPG-336"/>
      <sheetName val="LPG-337"/>
      <sheetName val="LPG-339"/>
      <sheetName val="Gas-312a"/>
      <sheetName val="Sheet2"/>
    </sheetNames>
    <sheetDataSet>
      <sheetData sheetId="0"/>
      <sheetData sheetId="1"/>
      <sheetData sheetId="2">
        <row r="9">
          <cell r="AP9">
            <v>6.73</v>
          </cell>
        </row>
        <row r="10">
          <cell r="AP10">
            <v>8.51</v>
          </cell>
        </row>
        <row r="11">
          <cell r="AP11">
            <v>6.79</v>
          </cell>
        </row>
        <row r="12">
          <cell r="AP12">
            <v>6.79</v>
          </cell>
        </row>
        <row r="13">
          <cell r="AP13">
            <v>7.68</v>
          </cell>
        </row>
        <row r="14">
          <cell r="AP14">
            <v>7.43</v>
          </cell>
        </row>
        <row r="15">
          <cell r="AP15">
            <v>6.92</v>
          </cell>
        </row>
        <row r="16">
          <cell r="AP16">
            <v>7.54</v>
          </cell>
        </row>
        <row r="17">
          <cell r="AP17">
            <v>9.9499999999999993</v>
          </cell>
        </row>
        <row r="18">
          <cell r="AP18">
            <v>5.08</v>
          </cell>
        </row>
        <row r="19">
          <cell r="AP19">
            <v>5.18</v>
          </cell>
        </row>
        <row r="20">
          <cell r="AP20">
            <v>8.1999999999999993</v>
          </cell>
        </row>
        <row r="21">
          <cell r="AP21">
            <v>6.92</v>
          </cell>
        </row>
        <row r="22">
          <cell r="AP22">
            <v>6.47</v>
          </cell>
        </row>
        <row r="23">
          <cell r="AP23">
            <v>8.85</v>
          </cell>
        </row>
        <row r="24">
          <cell r="AP24">
            <v>8.8699999999999992</v>
          </cell>
        </row>
        <row r="25">
          <cell r="AP25">
            <v>6.6579999999999995</v>
          </cell>
        </row>
        <row r="26">
          <cell r="AP26">
            <v>7.54</v>
          </cell>
        </row>
        <row r="27">
          <cell r="AP27">
            <v>7.06</v>
          </cell>
        </row>
        <row r="28">
          <cell r="AP28">
            <v>7.35</v>
          </cell>
        </row>
        <row r="29">
          <cell r="AP29">
            <v>10</v>
          </cell>
        </row>
        <row r="30">
          <cell r="AP30">
            <v>6.9863561784387667</v>
          </cell>
        </row>
        <row r="31">
          <cell r="AP31">
            <v>8.3648618957179295</v>
          </cell>
        </row>
        <row r="32">
          <cell r="AP32">
            <v>6.4236180780010219</v>
          </cell>
        </row>
        <row r="33">
          <cell r="AP33">
            <v>6.4219042687151964</v>
          </cell>
        </row>
        <row r="34">
          <cell r="AP34">
            <v>7.6892196784865749</v>
          </cell>
        </row>
        <row r="35">
          <cell r="AP35">
            <v>7.1130631234964303</v>
          </cell>
        </row>
        <row r="36">
          <cell r="AP36">
            <v>6.5778836757075894</v>
          </cell>
        </row>
        <row r="37">
          <cell r="AP37">
            <v>7.3462298321107742</v>
          </cell>
        </row>
        <row r="38">
          <cell r="AP38">
            <v>8.9010965392094494</v>
          </cell>
        </row>
        <row r="39">
          <cell r="AP39">
            <v>5.0446814996997436</v>
          </cell>
        </row>
        <row r="40">
          <cell r="AP40">
            <v>5.4670087152925433</v>
          </cell>
        </row>
        <row r="41">
          <cell r="AP41">
            <v>7.7927687159365497</v>
          </cell>
        </row>
        <row r="42">
          <cell r="AP42">
            <v>6.348947773008474</v>
          </cell>
        </row>
        <row r="43">
          <cell r="AP43">
            <v>6.0451882054747621</v>
          </cell>
        </row>
        <row r="44">
          <cell r="AP44">
            <v>8.0567265940124528</v>
          </cell>
        </row>
        <row r="45">
          <cell r="AP45">
            <v>8.2080957060809947</v>
          </cell>
        </row>
        <row r="46">
          <cell r="AP46">
            <v>6.5756724455195981</v>
          </cell>
        </row>
        <row r="47">
          <cell r="AP47">
            <v>7.285927888518378</v>
          </cell>
        </row>
        <row r="48">
          <cell r="AP48">
            <v>6.6096090029437482</v>
          </cell>
        </row>
        <row r="49">
          <cell r="AP49">
            <v>7.1347977991801468</v>
          </cell>
        </row>
        <row r="50">
          <cell r="AP50">
            <v>9.2599486380028857</v>
          </cell>
        </row>
        <row r="51">
          <cell r="AP51">
            <v>6.6839457851182154</v>
          </cell>
        </row>
        <row r="52">
          <cell r="AP52">
            <v>7.3576758913767515</v>
          </cell>
        </row>
        <row r="53">
          <cell r="AP53">
            <v>5.1474887468197776</v>
          </cell>
        </row>
        <row r="54">
          <cell r="AP54">
            <v>5.1482918103144479</v>
          </cell>
        </row>
        <row r="55">
          <cell r="AP55">
            <v>7.003205276302582</v>
          </cell>
        </row>
        <row r="56">
          <cell r="AP56">
            <v>7.4204451578021224</v>
          </cell>
        </row>
        <row r="57">
          <cell r="AP57">
            <v>5.9430206449717957</v>
          </cell>
        </row>
        <row r="58">
          <cell r="AP58">
            <v>6.3867124929107355</v>
          </cell>
        </row>
        <row r="59">
          <cell r="AP59">
            <v>7.9813241516290656</v>
          </cell>
        </row>
        <row r="60">
          <cell r="AP60">
            <v>4.1399757524070289</v>
          </cell>
        </row>
        <row r="61">
          <cell r="AP61">
            <v>5.1032366163727652</v>
          </cell>
        </row>
        <row r="62">
          <cell r="AP62">
            <v>7.7155104494047571</v>
          </cell>
        </row>
        <row r="63">
          <cell r="AP63">
            <v>5.8480048259679389</v>
          </cell>
        </row>
        <row r="64">
          <cell r="AP64">
            <v>5.5196715427695588</v>
          </cell>
        </row>
        <row r="65">
          <cell r="AP65">
            <v>7.4835586941835137</v>
          </cell>
        </row>
        <row r="66">
          <cell r="AP66">
            <v>7.6299662939790416</v>
          </cell>
        </row>
        <row r="67">
          <cell r="AP67">
            <v>5.4851919362819999</v>
          </cell>
        </row>
        <row r="68">
          <cell r="AP68">
            <v>6.283767581960289</v>
          </cell>
        </row>
        <row r="69">
          <cell r="AP69">
            <v>6.2184386433199883</v>
          </cell>
        </row>
        <row r="70">
          <cell r="AP70">
            <v>6.6762557466981098</v>
          </cell>
        </row>
        <row r="71">
          <cell r="AP71">
            <v>8.7396977952758501</v>
          </cell>
        </row>
        <row r="72">
          <cell r="AP72">
            <v>6.72</v>
          </cell>
        </row>
        <row r="73">
          <cell r="AP73">
            <v>7</v>
          </cell>
        </row>
        <row r="74">
          <cell r="AP74">
            <v>4.59</v>
          </cell>
        </row>
        <row r="75">
          <cell r="AP75">
            <v>4.59</v>
          </cell>
        </row>
        <row r="76">
          <cell r="AP76">
            <v>6.77</v>
          </cell>
        </row>
        <row r="77">
          <cell r="AP77">
            <v>6.79</v>
          </cell>
        </row>
        <row r="78">
          <cell r="AP78">
            <v>5.38</v>
          </cell>
        </row>
        <row r="79">
          <cell r="AP79">
            <v>5.98</v>
          </cell>
        </row>
        <row r="80">
          <cell r="AP80">
            <v>6.62</v>
          </cell>
        </row>
        <row r="81">
          <cell r="AP81">
            <v>3.92</v>
          </cell>
        </row>
        <row r="82">
          <cell r="AP82">
            <v>5.25</v>
          </cell>
        </row>
        <row r="83">
          <cell r="AP83">
            <v>7</v>
          </cell>
        </row>
        <row r="84">
          <cell r="AP84">
            <v>5.01</v>
          </cell>
        </row>
        <row r="85">
          <cell r="AP85">
            <v>4.87</v>
          </cell>
        </row>
        <row r="86">
          <cell r="AP86">
            <v>6.37</v>
          </cell>
        </row>
        <row r="87">
          <cell r="AP87">
            <v>6.67</v>
          </cell>
        </row>
        <row r="88">
          <cell r="AP88">
            <v>5.1889999999999992</v>
          </cell>
        </row>
        <row r="89">
          <cell r="AP89">
            <v>5.81</v>
          </cell>
        </row>
        <row r="90">
          <cell r="AP90">
            <v>5.5</v>
          </cell>
        </row>
        <row r="91">
          <cell r="AP91">
            <v>6.19</v>
          </cell>
        </row>
        <row r="92">
          <cell r="AP92">
            <v>7.65</v>
          </cell>
        </row>
        <row r="93">
          <cell r="AP93">
            <v>5.9866310835259178</v>
          </cell>
        </row>
        <row r="94">
          <cell r="AP94">
            <v>5.7897212478379174</v>
          </cell>
        </row>
        <row r="95">
          <cell r="AP95">
            <v>4.1797327533698967</v>
          </cell>
        </row>
        <row r="96">
          <cell r="AP96">
            <v>3.8238627872007283</v>
          </cell>
        </row>
        <row r="97">
          <cell r="AP97">
            <v>5.933505731744134</v>
          </cell>
        </row>
        <row r="98">
          <cell r="AP98">
            <v>7.2504690878547171</v>
          </cell>
        </row>
        <row r="99">
          <cell r="AP99">
            <v>4.9727007170954325</v>
          </cell>
        </row>
        <row r="100">
          <cell r="AP100">
            <v>5.1401549371869848</v>
          </cell>
        </row>
        <row r="101">
          <cell r="AP101">
            <v>7.0873329106742045</v>
          </cell>
        </row>
        <row r="102">
          <cell r="AP102">
            <v>2.9004742550613463</v>
          </cell>
        </row>
        <row r="103">
          <cell r="AP103">
            <v>4.1655689728140528</v>
          </cell>
        </row>
        <row r="104">
          <cell r="AP104">
            <v>7.0047931314849539</v>
          </cell>
        </row>
        <row r="105">
          <cell r="AP105">
            <v>5.542192353905115</v>
          </cell>
        </row>
        <row r="106">
          <cell r="AP106">
            <v>4.4287056507223372</v>
          </cell>
        </row>
        <row r="107">
          <cell r="AP107">
            <v>6.5375162686979191</v>
          </cell>
        </row>
        <row r="108">
          <cell r="AP108">
            <v>6.4889104915563491</v>
          </cell>
        </row>
        <row r="109">
          <cell r="AP109">
            <v>4.5600326589246256</v>
          </cell>
        </row>
        <row r="110">
          <cell r="AP110">
            <v>5.1021959162065036</v>
          </cell>
        </row>
        <row r="111">
          <cell r="AP111">
            <v>5.5390265244685608</v>
          </cell>
        </row>
        <row r="112">
          <cell r="AP112">
            <v>6.1638868015231543</v>
          </cell>
        </row>
        <row r="113">
          <cell r="AP113">
            <v>7.9389279400114932</v>
          </cell>
        </row>
        <row r="114">
          <cell r="AP114">
            <v>7.1683792687220542</v>
          </cell>
        </row>
        <row r="115">
          <cell r="AP115">
            <v>7.3205074179735288</v>
          </cell>
        </row>
        <row r="116">
          <cell r="AP116">
            <v>6.627042077011664</v>
          </cell>
        </row>
        <row r="117">
          <cell r="AP117">
            <v>5.890840785109428</v>
          </cell>
        </row>
        <row r="118">
          <cell r="AP118">
            <v>7.4141201193916846</v>
          </cell>
        </row>
        <row r="119">
          <cell r="AP119">
            <v>6.2751698634063615</v>
          </cell>
        </row>
        <row r="120">
          <cell r="AP120">
            <v>5.661145512344258</v>
          </cell>
        </row>
        <row r="121">
          <cell r="AP121">
            <v>6.7675167847800495</v>
          </cell>
        </row>
        <row r="122">
          <cell r="AP122">
            <v>7.4993784385637303</v>
          </cell>
        </row>
        <row r="123">
          <cell r="AP123">
            <v>4.6232041453020054</v>
          </cell>
        </row>
        <row r="124">
          <cell r="AP124">
            <v>5.1544562911148617</v>
          </cell>
        </row>
        <row r="125">
          <cell r="AP125">
            <v>6.4051052356085307</v>
          </cell>
        </row>
        <row r="126">
          <cell r="AP126">
            <v>6.1774646483879403</v>
          </cell>
        </row>
        <row r="127">
          <cell r="AP127">
            <v>4.518917208893539</v>
          </cell>
        </row>
        <row r="128">
          <cell r="AP128">
            <v>6.4076322955325562</v>
          </cell>
        </row>
        <row r="129">
          <cell r="AP129">
            <v>6.3812158680887139</v>
          </cell>
        </row>
        <row r="130">
          <cell r="AP130">
            <v>7.1237836277961266</v>
          </cell>
        </row>
        <row r="131">
          <cell r="AP131">
            <v>6.8173389111125688</v>
          </cell>
        </row>
        <row r="132">
          <cell r="AP132">
            <v>5.7100791598573766</v>
          </cell>
        </row>
        <row r="133">
          <cell r="AP133">
            <v>7.1762860778081272</v>
          </cell>
        </row>
        <row r="134">
          <cell r="AP134">
            <v>7.9773840517458696</v>
          </cell>
        </row>
        <row r="135">
          <cell r="AP135">
            <v>7.5960000000000001</v>
          </cell>
        </row>
        <row r="136">
          <cell r="AP136">
            <v>7.2510000000000003</v>
          </cell>
        </row>
        <row r="137">
          <cell r="AP137">
            <v>7.2510000000000003</v>
          </cell>
        </row>
        <row r="138">
          <cell r="AP138">
            <v>6.1539999999999999</v>
          </cell>
        </row>
        <row r="139">
          <cell r="AP139">
            <v>7.86</v>
          </cell>
        </row>
        <row r="140">
          <cell r="AP140">
            <v>8.2919999999999998</v>
          </cell>
        </row>
        <row r="141">
          <cell r="AP141">
            <v>6.399</v>
          </cell>
        </row>
        <row r="142">
          <cell r="AP142">
            <v>7.0640000000000001</v>
          </cell>
        </row>
        <row r="143">
          <cell r="AP143">
            <v>9.5489999999999995</v>
          </cell>
        </row>
        <row r="144">
          <cell r="AP144">
            <v>4.6029999999999998</v>
          </cell>
        </row>
        <row r="145">
          <cell r="AP145">
            <v>4.8289999999999997</v>
          </cell>
        </row>
        <row r="146">
          <cell r="AP146">
            <v>7.9589999999999996</v>
          </cell>
        </row>
        <row r="147">
          <cell r="AP147">
            <v>8.0649999999999995</v>
          </cell>
        </row>
        <row r="148">
          <cell r="AP148">
            <v>5.23</v>
          </cell>
        </row>
        <row r="149">
          <cell r="AP149">
            <v>8.1920000000000002</v>
          </cell>
        </row>
        <row r="150">
          <cell r="AP150">
            <v>7.7130000000000001</v>
          </cell>
        </row>
        <row r="151">
          <cell r="AP151">
            <v>7.6521999999999997</v>
          </cell>
        </row>
        <row r="152">
          <cell r="AP152">
            <v>7.2789999999999999</v>
          </cell>
        </row>
        <row r="153">
          <cell r="AP153">
            <v>7.1109999999999998</v>
          </cell>
        </row>
        <row r="154">
          <cell r="AP154">
            <v>8.548</v>
          </cell>
        </row>
        <row r="155">
          <cell r="AP155">
            <v>10.032999999999999</v>
          </cell>
        </row>
        <row r="156">
          <cell r="AP156">
            <v>7.2712165986833197</v>
          </cell>
        </row>
        <row r="157">
          <cell r="AP157">
            <v>6.876417633926641</v>
          </cell>
        </row>
        <row r="158">
          <cell r="AP158">
            <v>6.5067489336366613</v>
          </cell>
        </row>
        <row r="159">
          <cell r="AP159">
            <v>5.7729766543327159</v>
          </cell>
        </row>
        <row r="160">
          <cell r="AP160">
            <v>7.6961005751219833</v>
          </cell>
        </row>
        <row r="161">
          <cell r="AP161">
            <v>8.4205197222772057</v>
          </cell>
        </row>
        <row r="162">
          <cell r="AP162">
            <v>6.3452264226419963</v>
          </cell>
        </row>
        <row r="163">
          <cell r="AP163">
            <v>6.8777219492836732</v>
          </cell>
        </row>
        <row r="164">
          <cell r="AP164">
            <v>9.1780363539241208</v>
          </cell>
        </row>
        <row r="165">
          <cell r="AP165">
            <v>4.6356123917419447</v>
          </cell>
        </row>
        <row r="166">
          <cell r="AP166">
            <v>4.6022137418380895</v>
          </cell>
        </row>
        <row r="167">
          <cell r="AP167">
            <v>8.2081180561471072</v>
          </cell>
        </row>
        <row r="168">
          <cell r="AP168">
            <v>7.8231650112023328</v>
          </cell>
        </row>
        <row r="169">
          <cell r="AP169">
            <v>5.755015088615643</v>
          </cell>
        </row>
        <row r="170">
          <cell r="AP170">
            <v>8.6149821355750138</v>
          </cell>
        </row>
        <row r="171">
          <cell r="AP171">
            <v>8.450869092778138</v>
          </cell>
        </row>
        <row r="172">
          <cell r="AP172">
            <v>6.664934741273508</v>
          </cell>
        </row>
        <row r="173">
          <cell r="AP173">
            <v>6.7285098659950142</v>
          </cell>
        </row>
        <row r="174">
          <cell r="AP174">
            <v>7.5992798376010544</v>
          </cell>
        </row>
        <row r="175">
          <cell r="AP175">
            <v>8.7319115624712449</v>
          </cell>
        </row>
        <row r="176">
          <cell r="AP176">
            <v>9.1600167786424702</v>
          </cell>
        </row>
        <row r="177">
          <cell r="AP177">
            <v>7.8918305162646671</v>
          </cell>
        </row>
        <row r="178">
          <cell r="AP178">
            <v>7.9030144412163903</v>
          </cell>
        </row>
        <row r="179">
          <cell r="AP179">
            <v>7.2112288980627239</v>
          </cell>
        </row>
        <row r="180">
          <cell r="AP180">
            <v>6.8446796338930485</v>
          </cell>
        </row>
        <row r="181">
          <cell r="AP181">
            <v>8.6921686413090864</v>
          </cell>
        </row>
        <row r="182">
          <cell r="AP182">
            <v>7.6394379369993874</v>
          </cell>
        </row>
        <row r="183">
          <cell r="AP183">
            <v>6.7967683070091311</v>
          </cell>
        </row>
        <row r="184">
          <cell r="AP184">
            <v>7.9441313667774196</v>
          </cell>
        </row>
        <row r="185">
          <cell r="AP185">
            <v>8.6285455304606078</v>
          </cell>
        </row>
        <row r="186">
          <cell r="AP186">
            <v>6.0908434688827509</v>
          </cell>
        </row>
        <row r="187">
          <cell r="AP187">
            <v>5.4482692324706861</v>
          </cell>
        </row>
        <row r="188">
          <cell r="AP188">
            <v>8.0100643320239939</v>
          </cell>
        </row>
        <row r="189">
          <cell r="AP189">
            <v>7.5101044282431104</v>
          </cell>
        </row>
        <row r="190">
          <cell r="AP190">
            <v>6.4969417518051014</v>
          </cell>
        </row>
        <row r="191">
          <cell r="AP191">
            <v>8.7543252723234826</v>
          </cell>
        </row>
        <row r="192">
          <cell r="AP192">
            <v>9.1299189765560396</v>
          </cell>
        </row>
        <row r="193">
          <cell r="AP193">
            <v>7.2942412394146796</v>
          </cell>
        </row>
        <row r="194">
          <cell r="AP194">
            <v>7.3907902247094537</v>
          </cell>
        </row>
        <row r="195">
          <cell r="AP195">
            <v>8.0617179390773117</v>
          </cell>
        </row>
        <row r="196">
          <cell r="AP196">
            <v>9.3703487395998817</v>
          </cell>
        </row>
        <row r="197">
          <cell r="AP197">
            <v>7.9752953311457908</v>
          </cell>
        </row>
        <row r="198">
          <cell r="AP198">
            <v>7.15</v>
          </cell>
        </row>
        <row r="199">
          <cell r="AP199">
            <v>6.87</v>
          </cell>
        </row>
        <row r="200">
          <cell r="AP200">
            <v>5.77</v>
          </cell>
        </row>
        <row r="201">
          <cell r="AP201">
            <v>5.77</v>
          </cell>
        </row>
        <row r="202">
          <cell r="AP202">
            <v>8.01</v>
          </cell>
        </row>
        <row r="203">
          <cell r="AP203">
            <v>8.36</v>
          </cell>
        </row>
        <row r="204">
          <cell r="AP204">
            <v>6.56</v>
          </cell>
        </row>
        <row r="205">
          <cell r="AP205">
            <v>7.18</v>
          </cell>
        </row>
        <row r="206">
          <cell r="AP206">
            <v>8.4600000000000009</v>
          </cell>
        </row>
        <row r="207">
          <cell r="AP207">
            <v>5.45</v>
          </cell>
        </row>
        <row r="208">
          <cell r="AP208">
            <v>4.71</v>
          </cell>
        </row>
        <row r="209">
          <cell r="AP209">
            <v>8.61</v>
          </cell>
        </row>
        <row r="210">
          <cell r="AP210">
            <v>7.4</v>
          </cell>
        </row>
        <row r="211">
          <cell r="AP211">
            <v>7</v>
          </cell>
        </row>
        <row r="212">
          <cell r="AP212">
            <v>9.4499999999999993</v>
          </cell>
        </row>
        <row r="213">
          <cell r="AP213">
            <v>10.02</v>
          </cell>
        </row>
        <row r="214">
          <cell r="AP214">
            <v>5.5270000000000001</v>
          </cell>
        </row>
        <row r="215">
          <cell r="AP215">
            <v>6.28</v>
          </cell>
        </row>
        <row r="216">
          <cell r="AP216">
            <v>8.67</v>
          </cell>
        </row>
        <row r="217">
          <cell r="AP217">
            <v>9.42</v>
          </cell>
        </row>
        <row r="218">
          <cell r="AP218">
            <v>7.38</v>
          </cell>
        </row>
        <row r="219">
          <cell r="AP219">
            <v>6.8398912962254421</v>
          </cell>
        </row>
        <row r="220">
          <cell r="AP220">
            <v>6.6692055135118471</v>
          </cell>
        </row>
        <row r="221">
          <cell r="AP221">
            <v>5.7341193489682123</v>
          </cell>
        </row>
        <row r="222">
          <cell r="AP222">
            <v>6.3394809686205811</v>
          </cell>
        </row>
        <row r="223">
          <cell r="AP223">
            <v>7.2796928223891291</v>
          </cell>
        </row>
        <row r="224">
          <cell r="AP224">
            <v>6.8488253547110789</v>
          </cell>
        </row>
        <row r="225">
          <cell r="AP225">
            <v>6.1396206250235172</v>
          </cell>
        </row>
        <row r="226">
          <cell r="AP226">
            <v>6.9647797048222957</v>
          </cell>
        </row>
        <row r="227">
          <cell r="AP227">
            <v>7.3200193074526103</v>
          </cell>
        </row>
        <row r="228">
          <cell r="AP228">
            <v>5.0866802087223117</v>
          </cell>
        </row>
        <row r="229">
          <cell r="AP229">
            <v>4.5868143536034802</v>
          </cell>
        </row>
        <row r="230">
          <cell r="AP230">
            <v>7.4447663792067633</v>
          </cell>
        </row>
        <row r="231">
          <cell r="AP231">
            <v>6.7208104097520724</v>
          </cell>
        </row>
        <row r="232">
          <cell r="AP232">
            <v>6.4106261958181427</v>
          </cell>
        </row>
        <row r="233">
          <cell r="AP233">
            <v>8.0393929126038159</v>
          </cell>
        </row>
        <row r="234">
          <cell r="AP234">
            <v>8.3385563461465182</v>
          </cell>
        </row>
        <row r="235">
          <cell r="AP235">
            <v>6.035333260167012</v>
          </cell>
        </row>
        <row r="236">
          <cell r="AP236">
            <v>6.4340608981993324</v>
          </cell>
        </row>
        <row r="237">
          <cell r="AP237">
            <v>7.5489334144222315</v>
          </cell>
        </row>
        <row r="238">
          <cell r="AP238">
            <v>8.2432934707489185</v>
          </cell>
        </row>
        <row r="239">
          <cell r="AP239">
            <v>7.4149554813714644</v>
          </cell>
        </row>
        <row r="240">
          <cell r="AP240">
            <v>8.2953227267034571</v>
          </cell>
        </row>
        <row r="241">
          <cell r="AP241">
            <v>8.4101283037048997</v>
          </cell>
        </row>
        <row r="242">
          <cell r="AP242">
            <v>7.5418574785606012</v>
          </cell>
        </row>
        <row r="243">
          <cell r="AP243">
            <v>8.7437946996447984</v>
          </cell>
        </row>
        <row r="244">
          <cell r="AP244">
            <v>8.5474676708443642</v>
          </cell>
        </row>
        <row r="245">
          <cell r="AP245">
            <v>6.7464884108069256</v>
          </cell>
        </row>
        <row r="246">
          <cell r="AP246">
            <v>7.2706560446276587</v>
          </cell>
        </row>
        <row r="247">
          <cell r="AP247">
            <v>8.6187909560065492</v>
          </cell>
        </row>
        <row r="248">
          <cell r="AP248">
            <v>7.9447977344812841</v>
          </cell>
        </row>
        <row r="249">
          <cell r="AP249">
            <v>6.5047597907099508</v>
          </cell>
        </row>
        <row r="250">
          <cell r="AP250">
            <v>5.8165836715075923</v>
          </cell>
        </row>
        <row r="251">
          <cell r="AP251">
            <v>7.8802471965213936</v>
          </cell>
        </row>
        <row r="252">
          <cell r="AP252">
            <v>7.5879278701353012</v>
          </cell>
        </row>
        <row r="253">
          <cell r="AP253">
            <v>7.2474775432288823</v>
          </cell>
        </row>
        <row r="254">
          <cell r="AP254">
            <v>8.3772909977566368</v>
          </cell>
        </row>
        <row r="255">
          <cell r="AP255">
            <v>8.3788432202532483</v>
          </cell>
        </row>
        <row r="256">
          <cell r="AP256">
            <v>8.6068287918318092</v>
          </cell>
        </row>
        <row r="257">
          <cell r="AP257">
            <v>8.4832316621591417</v>
          </cell>
        </row>
        <row r="258">
          <cell r="AP258">
            <v>7.9919384273165353</v>
          </cell>
        </row>
        <row r="259">
          <cell r="AP259">
            <v>8.8861567183073777</v>
          </cell>
        </row>
        <row r="260">
          <cell r="AP260">
            <v>9.3773265828326906</v>
          </cell>
        </row>
        <row r="261">
          <cell r="AP261">
            <v>8.5813579410305749</v>
          </cell>
        </row>
        <row r="262">
          <cell r="AP262">
            <v>8.2433854866071243</v>
          </cell>
        </row>
        <row r="263">
          <cell r="AP263">
            <v>7.3148700027080151</v>
          </cell>
        </row>
        <row r="264">
          <cell r="AP264">
            <v>9.1230795892357364</v>
          </cell>
        </row>
        <row r="265">
          <cell r="AP265">
            <v>8.3477858139867891</v>
          </cell>
        </row>
        <row r="266">
          <cell r="AP266">
            <v>8.5886143263150316</v>
          </cell>
        </row>
        <row r="267">
          <cell r="AP267">
            <v>7.9449930590790832</v>
          </cell>
        </row>
        <row r="268">
          <cell r="AP268">
            <v>8.6105913090641639</v>
          </cell>
        </row>
        <row r="269">
          <cell r="AP269">
            <v>9.3275809099983</v>
          </cell>
        </row>
        <row r="270">
          <cell r="AP270">
            <v>5.95678274732549</v>
          </cell>
        </row>
        <row r="271">
          <cell r="AP271">
            <v>5.5531526934457629</v>
          </cell>
        </row>
        <row r="272">
          <cell r="AP272">
            <v>9.5235603817878332</v>
          </cell>
        </row>
        <row r="273">
          <cell r="AP273">
            <v>8.9772394111243337</v>
          </cell>
        </row>
        <row r="274">
          <cell r="AP274">
            <v>8.1196045350035924</v>
          </cell>
        </row>
        <row r="275">
          <cell r="AP275">
            <v>9.6906713076908382</v>
          </cell>
        </row>
        <row r="276">
          <cell r="AP276">
            <v>9.0177935892733725</v>
          </cell>
        </row>
        <row r="277">
          <cell r="AP277">
            <v>8.9012976701972217</v>
          </cell>
        </row>
        <row r="278">
          <cell r="AP278">
            <v>8.9266878267102907</v>
          </cell>
        </row>
        <row r="279">
          <cell r="AP279">
            <v>8.9219352883404817</v>
          </cell>
        </row>
        <row r="280">
          <cell r="AP280">
            <v>9.2434355469263103</v>
          </cell>
        </row>
        <row r="281">
          <cell r="AP281">
            <v>12.343717896175471</v>
          </cell>
        </row>
        <row r="282">
          <cell r="AP282">
            <v>7.47</v>
          </cell>
        </row>
        <row r="283">
          <cell r="AP283">
            <v>6.77</v>
          </cell>
        </row>
        <row r="284">
          <cell r="AP284">
            <v>5.93</v>
          </cell>
        </row>
        <row r="285">
          <cell r="AP285">
            <v>8.35</v>
          </cell>
        </row>
        <row r="286">
          <cell r="AP286">
            <v>6.62</v>
          </cell>
        </row>
        <row r="287">
          <cell r="AP287">
            <v>8.25</v>
          </cell>
        </row>
        <row r="288">
          <cell r="AP288">
            <v>7.18</v>
          </cell>
        </row>
        <row r="289">
          <cell r="AP289">
            <v>7.28</v>
          </cell>
        </row>
        <row r="290">
          <cell r="AP290">
            <v>8.6</v>
          </cell>
        </row>
        <row r="291">
          <cell r="AP291">
            <v>4.29</v>
          </cell>
        </row>
        <row r="292">
          <cell r="AP292">
            <v>4.4400000000000004</v>
          </cell>
        </row>
        <row r="293">
          <cell r="AP293">
            <v>9.06</v>
          </cell>
        </row>
        <row r="294">
          <cell r="AP294">
            <v>8.57</v>
          </cell>
        </row>
        <row r="295">
          <cell r="AP295">
            <v>7.5</v>
          </cell>
        </row>
        <row r="296">
          <cell r="AP296">
            <v>8.83</v>
          </cell>
        </row>
        <row r="297">
          <cell r="AP297">
            <v>7.65</v>
          </cell>
        </row>
        <row r="298">
          <cell r="AP298">
            <v>7.9</v>
          </cell>
        </row>
        <row r="299">
          <cell r="AP299">
            <v>8</v>
          </cell>
        </row>
        <row r="300">
          <cell r="AP300">
            <v>8.0500000000000007</v>
          </cell>
        </row>
        <row r="301">
          <cell r="AP301">
            <v>7.82</v>
          </cell>
        </row>
        <row r="302">
          <cell r="AP302">
            <v>12.94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 (MECS) Prices"/>
      <sheetName val="Predicted Coal Prices"/>
      <sheetName val="Coal-311"/>
      <sheetName val="Coal-312"/>
      <sheetName val="Coal-313"/>
      <sheetName val="Coal-314"/>
      <sheetName val="Coal-315"/>
      <sheetName val="Coal-316"/>
      <sheetName val="Coal-321"/>
      <sheetName val="Coal-322"/>
      <sheetName val="Coal-323"/>
      <sheetName val="Coal-324"/>
      <sheetName val="Coal-325"/>
      <sheetName val="Coal-326"/>
      <sheetName val="Coal-327"/>
      <sheetName val="Coal-331"/>
      <sheetName val="Coal-332"/>
      <sheetName val="Coal-333"/>
      <sheetName val="Coal-334"/>
      <sheetName val="Coal-335"/>
      <sheetName val="Coal-336"/>
      <sheetName val="Coal-337"/>
      <sheetName val="Coal-339"/>
      <sheetName val="Gas-312a"/>
      <sheetName val="Sheet2"/>
    </sheetNames>
    <sheetDataSet>
      <sheetData sheetId="0"/>
      <sheetData sheetId="1">
        <row r="9">
          <cell r="AP9">
            <v>1.74</v>
          </cell>
        </row>
        <row r="10">
          <cell r="AP10">
            <v>2.2599999999999998</v>
          </cell>
        </row>
        <row r="11">
          <cell r="AP11">
            <v>2.29</v>
          </cell>
        </row>
        <row r="12">
          <cell r="AP12">
            <v>2.29</v>
          </cell>
        </row>
        <row r="13">
          <cell r="AP13">
            <v>2.46</v>
          </cell>
        </row>
        <row r="14">
          <cell r="AP14">
            <v>1.87</v>
          </cell>
        </row>
        <row r="15">
          <cell r="AP15">
            <v>3</v>
          </cell>
        </row>
        <row r="16">
          <cell r="AP16">
            <v>1.98</v>
          </cell>
        </row>
        <row r="17">
          <cell r="AP17">
            <v>1.9525000000000001</v>
          </cell>
        </row>
        <row r="18">
          <cell r="AP18">
            <v>1.82</v>
          </cell>
        </row>
        <row r="19">
          <cell r="AP19">
            <v>1.86</v>
          </cell>
        </row>
        <row r="20">
          <cell r="AP20">
            <v>2.11</v>
          </cell>
        </row>
        <row r="21">
          <cell r="AP21">
            <v>1.87</v>
          </cell>
        </row>
        <row r="22">
          <cell r="AP22">
            <v>2.46</v>
          </cell>
        </row>
        <row r="23">
          <cell r="AP23">
            <v>2.29</v>
          </cell>
        </row>
        <row r="24">
          <cell r="AP24">
            <v>1.83</v>
          </cell>
        </row>
        <row r="25">
          <cell r="AP25">
            <v>1.4349999999999998</v>
          </cell>
        </row>
        <row r="26">
          <cell r="AP26">
            <v>2.0499999999999998</v>
          </cell>
        </row>
        <row r="27">
          <cell r="AP27">
            <v>2.33</v>
          </cell>
        </row>
        <row r="28">
          <cell r="AP28">
            <v>2.46</v>
          </cell>
        </row>
        <row r="29">
          <cell r="AP29">
            <v>2.2599999999999998</v>
          </cell>
        </row>
        <row r="30">
          <cell r="AP30">
            <v>1.6355070748418483</v>
          </cell>
        </row>
        <row r="31">
          <cell r="AP31">
            <v>2.1928852700317663</v>
          </cell>
        </row>
        <row r="32">
          <cell r="AP32">
            <v>2.0947918049267931</v>
          </cell>
        </row>
        <row r="33">
          <cell r="AP33">
            <v>2.1868307792034605</v>
          </cell>
        </row>
        <row r="34">
          <cell r="AP34">
            <v>2.4137378468054798</v>
          </cell>
        </row>
        <row r="35">
          <cell r="AP35">
            <v>1.8905067748291056</v>
          </cell>
        </row>
        <row r="36">
          <cell r="AP36">
            <v>2.854597540261774</v>
          </cell>
        </row>
        <row r="37">
          <cell r="AP37">
            <v>1.9254037171013469</v>
          </cell>
        </row>
        <row r="38">
          <cell r="AP38">
            <v>1.9343240920370477</v>
          </cell>
        </row>
        <row r="39">
          <cell r="AP39">
            <v>1.8133409538374998</v>
          </cell>
        </row>
        <row r="40">
          <cell r="AP40">
            <v>1.7946757446750952</v>
          </cell>
        </row>
        <row r="41">
          <cell r="AP41">
            <v>2.0709038733915923</v>
          </cell>
        </row>
        <row r="42">
          <cell r="AP42">
            <v>1.7678306041740404</v>
          </cell>
        </row>
        <row r="43">
          <cell r="AP43">
            <v>2.1581996832763148</v>
          </cell>
        </row>
        <row r="44">
          <cell r="AP44">
            <v>2.088311805604484</v>
          </cell>
        </row>
        <row r="45">
          <cell r="AP45">
            <v>1.7469811331441263</v>
          </cell>
        </row>
        <row r="46">
          <cell r="AP46">
            <v>1.2699239978659436</v>
          </cell>
        </row>
        <row r="47">
          <cell r="AP47">
            <v>1.846870397171233</v>
          </cell>
        </row>
        <row r="48">
          <cell r="AP48">
            <v>2.1587669408085306</v>
          </cell>
        </row>
        <row r="49">
          <cell r="AP49">
            <v>2.3571402508220261</v>
          </cell>
        </row>
        <row r="50">
          <cell r="AP50">
            <v>2.126762717403798</v>
          </cell>
        </row>
        <row r="51">
          <cell r="AP51">
            <v>1.576187740176167</v>
          </cell>
        </row>
        <row r="52">
          <cell r="AP52">
            <v>2.0872946644535082</v>
          </cell>
        </row>
        <row r="53">
          <cell r="AP53">
            <v>2.0022844977862402</v>
          </cell>
        </row>
        <row r="54">
          <cell r="AP54">
            <v>2.0336899002079289</v>
          </cell>
        </row>
        <row r="55">
          <cell r="AP55">
            <v>2.3161624233053786</v>
          </cell>
        </row>
        <row r="56">
          <cell r="AP56">
            <v>1.9034348197262045</v>
          </cell>
        </row>
        <row r="57">
          <cell r="AP57">
            <v>2.6398945541532131</v>
          </cell>
        </row>
        <row r="58">
          <cell r="AP58">
            <v>1.8258296557792131</v>
          </cell>
        </row>
        <row r="59">
          <cell r="AP59">
            <v>1.9050540689406097</v>
          </cell>
        </row>
        <row r="60">
          <cell r="AP60">
            <v>1.9095762116211838</v>
          </cell>
        </row>
        <row r="61">
          <cell r="AP61">
            <v>1.687194113089306</v>
          </cell>
        </row>
        <row r="62">
          <cell r="AP62">
            <v>2.1513506569828849</v>
          </cell>
        </row>
        <row r="63">
          <cell r="AP63">
            <v>1.6244583404966702</v>
          </cell>
        </row>
        <row r="64">
          <cell r="AP64">
            <v>1.9527253042905808</v>
          </cell>
        </row>
        <row r="65">
          <cell r="AP65">
            <v>1.9959252026462169</v>
          </cell>
        </row>
        <row r="66">
          <cell r="AP66">
            <v>1.6406940314839986</v>
          </cell>
        </row>
        <row r="67">
          <cell r="AP67">
            <v>1.2083227247555575</v>
          </cell>
        </row>
        <row r="68">
          <cell r="AP68">
            <v>1.7480022876536849</v>
          </cell>
        </row>
        <row r="69">
          <cell r="AP69">
            <v>2.0893574371894585</v>
          </cell>
        </row>
        <row r="70">
          <cell r="AP70">
            <v>2.2530769675683686</v>
          </cell>
        </row>
        <row r="71">
          <cell r="AP71">
            <v>1.9440409637409028</v>
          </cell>
        </row>
        <row r="72">
          <cell r="AP72">
            <v>1.54</v>
          </cell>
        </row>
        <row r="73">
          <cell r="AP73">
            <v>2.04</v>
          </cell>
        </row>
        <row r="74">
          <cell r="AP74">
            <v>1.94</v>
          </cell>
        </row>
        <row r="75">
          <cell r="AP75">
            <v>1.94</v>
          </cell>
        </row>
        <row r="76">
          <cell r="AP76">
            <v>2.2799999999999998</v>
          </cell>
        </row>
        <row r="77">
          <cell r="AP77">
            <v>1.96</v>
          </cell>
        </row>
        <row r="78">
          <cell r="AP78">
            <v>2.5</v>
          </cell>
        </row>
        <row r="79">
          <cell r="AP79">
            <v>1.78</v>
          </cell>
        </row>
        <row r="80">
          <cell r="AP80">
            <v>1.9250000000000003</v>
          </cell>
        </row>
        <row r="81">
          <cell r="AP81">
            <v>2.0299999999999998</v>
          </cell>
        </row>
        <row r="82">
          <cell r="AP82">
            <v>1.63</v>
          </cell>
        </row>
        <row r="83">
          <cell r="AP83">
            <v>2.2599999999999998</v>
          </cell>
        </row>
        <row r="84">
          <cell r="AP84">
            <v>1.53</v>
          </cell>
        </row>
        <row r="85">
          <cell r="AP85">
            <v>1.78</v>
          </cell>
        </row>
        <row r="86">
          <cell r="AP86">
            <v>1.94</v>
          </cell>
        </row>
        <row r="87">
          <cell r="AP87">
            <v>1.58</v>
          </cell>
        </row>
        <row r="88">
          <cell r="AP88">
            <v>1.1759999999999999</v>
          </cell>
        </row>
        <row r="89">
          <cell r="AP89">
            <v>1.68</v>
          </cell>
        </row>
        <row r="90">
          <cell r="AP90">
            <v>2.0499999999999998</v>
          </cell>
        </row>
        <row r="91">
          <cell r="AP91">
            <v>2.1800000000000002</v>
          </cell>
        </row>
        <row r="92">
          <cell r="AP92">
            <v>1.82</v>
          </cell>
        </row>
        <row r="93">
          <cell r="AP93">
            <v>1.4969327586942665</v>
          </cell>
        </row>
        <row r="94">
          <cell r="AP94">
            <v>2.045152121437436</v>
          </cell>
        </row>
        <row r="95">
          <cell r="AP95">
            <v>1.9321517248073905</v>
          </cell>
        </row>
        <row r="96">
          <cell r="AP96">
            <v>1.930779220345378</v>
          </cell>
        </row>
        <row r="97">
          <cell r="AP97">
            <v>2.3055565320283873</v>
          </cell>
        </row>
        <row r="98">
          <cell r="AP98">
            <v>1.8872337983982261</v>
          </cell>
        </row>
        <row r="99">
          <cell r="AP99">
            <v>2.4838260472558287</v>
          </cell>
        </row>
        <row r="100">
          <cell r="AP100">
            <v>1.797510193786197</v>
          </cell>
        </row>
        <row r="101">
          <cell r="AP101">
            <v>1.8432197961309147</v>
          </cell>
        </row>
        <row r="102">
          <cell r="AP102">
            <v>2.0119416626908282</v>
          </cell>
        </row>
        <row r="103">
          <cell r="AP103">
            <v>1.6355252304331938</v>
          </cell>
        </row>
        <row r="104">
          <cell r="AP104">
            <v>2.2118950328240334</v>
          </cell>
        </row>
        <row r="105">
          <cell r="AP105">
            <v>1.5367679535461989</v>
          </cell>
        </row>
        <row r="106">
          <cell r="AP106">
            <v>1.8008736226842299</v>
          </cell>
        </row>
        <row r="107">
          <cell r="AP107">
            <v>1.9437061526676069</v>
          </cell>
        </row>
        <row r="108">
          <cell r="AP108">
            <v>1.5573231648155115</v>
          </cell>
        </row>
        <row r="109">
          <cell r="AP109">
            <v>1.4361268640580926</v>
          </cell>
        </row>
        <row r="110">
          <cell r="AP110">
            <v>1.7735959664364356</v>
          </cell>
        </row>
        <row r="111">
          <cell r="AP111">
            <v>2.0414158954692514</v>
          </cell>
        </row>
        <row r="112">
          <cell r="AP112">
            <v>2.1072761940839513</v>
          </cell>
        </row>
        <row r="113">
          <cell r="AP113">
            <v>1.8666126804136147</v>
          </cell>
        </row>
        <row r="114">
          <cell r="AP114">
            <v>1.4605254093101008</v>
          </cell>
        </row>
        <row r="115">
          <cell r="AP115">
            <v>2.0656867334903661</v>
          </cell>
        </row>
        <row r="116">
          <cell r="AP116">
            <v>1.935843452364667</v>
          </cell>
        </row>
        <row r="117">
          <cell r="AP117">
            <v>1.9360890357884584</v>
          </cell>
        </row>
        <row r="118">
          <cell r="AP118">
            <v>2.3476668396795985</v>
          </cell>
        </row>
        <row r="119">
          <cell r="AP119">
            <v>1.8250960741339637</v>
          </cell>
        </row>
        <row r="120">
          <cell r="AP120">
            <v>2.4854084702669446</v>
          </cell>
        </row>
        <row r="121">
          <cell r="AP121">
            <v>1.8292475478371577</v>
          </cell>
        </row>
        <row r="122">
          <cell r="AP122">
            <v>1.7730088588107495</v>
          </cell>
        </row>
        <row r="123">
          <cell r="AP123">
            <v>2.0047876686357435</v>
          </cell>
        </row>
        <row r="124">
          <cell r="AP124">
            <v>1.653920007132178</v>
          </cell>
        </row>
        <row r="125">
          <cell r="AP125">
            <v>2.1754234657252871</v>
          </cell>
        </row>
        <row r="126">
          <cell r="AP126">
            <v>1.5557883600919413</v>
          </cell>
        </row>
        <row r="127">
          <cell r="AP127">
            <v>1.8338165923172232</v>
          </cell>
        </row>
        <row r="128">
          <cell r="AP128">
            <v>1.9613854753102897</v>
          </cell>
        </row>
        <row r="129">
          <cell r="AP129">
            <v>1.5459161980044194</v>
          </cell>
        </row>
        <row r="130">
          <cell r="AP130">
            <v>1.7158990894149002</v>
          </cell>
        </row>
        <row r="131">
          <cell r="AP131">
            <v>1.8820012571873506</v>
          </cell>
        </row>
        <row r="132">
          <cell r="AP132">
            <v>2.0444479015982369</v>
          </cell>
        </row>
        <row r="133">
          <cell r="AP133">
            <v>2.0407257118229554</v>
          </cell>
        </row>
        <row r="134">
          <cell r="AP134">
            <v>1.9290057849867885</v>
          </cell>
        </row>
        <row r="135">
          <cell r="AP135">
            <v>1.4330000000000001</v>
          </cell>
        </row>
        <row r="136">
          <cell r="AP136">
            <v>2.097</v>
          </cell>
        </row>
        <row r="137">
          <cell r="AP137">
            <v>1.952</v>
          </cell>
        </row>
        <row r="138">
          <cell r="AP138">
            <v>1.952</v>
          </cell>
        </row>
        <row r="139">
          <cell r="AP139">
            <v>2.4</v>
          </cell>
        </row>
        <row r="140">
          <cell r="AP140">
            <v>1.7749999999999999</v>
          </cell>
        </row>
        <row r="141">
          <cell r="AP141">
            <v>2.5</v>
          </cell>
        </row>
        <row r="142">
          <cell r="AP142">
            <v>1.87</v>
          </cell>
        </row>
        <row r="143">
          <cell r="AP143">
            <v>1.7160000000000002</v>
          </cell>
        </row>
        <row r="144">
          <cell r="AP144">
            <v>2.0099999999999998</v>
          </cell>
        </row>
        <row r="145">
          <cell r="AP145">
            <v>1.681</v>
          </cell>
        </row>
        <row r="146">
          <cell r="AP146">
            <v>2.1539999999999999</v>
          </cell>
        </row>
        <row r="147">
          <cell r="AP147">
            <v>1.583</v>
          </cell>
        </row>
        <row r="148">
          <cell r="AP148">
            <v>1.8779999999999999</v>
          </cell>
        </row>
        <row r="149">
          <cell r="AP149">
            <v>1.9930000000000001</v>
          </cell>
        </row>
        <row r="150">
          <cell r="AP150">
            <v>1.544</v>
          </cell>
        </row>
        <row r="151">
          <cell r="AP151">
            <v>2</v>
          </cell>
        </row>
        <row r="152">
          <cell r="AP152">
            <v>2</v>
          </cell>
        </row>
        <row r="153">
          <cell r="AP153">
            <v>2.06</v>
          </cell>
        </row>
        <row r="154">
          <cell r="AP154">
            <v>1.9830000000000001</v>
          </cell>
        </row>
        <row r="155">
          <cell r="AP155">
            <v>2</v>
          </cell>
        </row>
        <row r="156">
          <cell r="AP156">
            <v>1.4430355293050652</v>
          </cell>
        </row>
        <row r="157">
          <cell r="AP157">
            <v>2.0755314566178957</v>
          </cell>
        </row>
        <row r="158">
          <cell r="AP158">
            <v>1.9274863558039079</v>
          </cell>
        </row>
        <row r="159">
          <cell r="AP159">
            <v>1.9392354652613422</v>
          </cell>
        </row>
        <row r="160">
          <cell r="AP160">
            <v>2.4117151251365141</v>
          </cell>
        </row>
        <row r="161">
          <cell r="AP161">
            <v>1.7741688517465783</v>
          </cell>
        </row>
        <row r="162">
          <cell r="AP162">
            <v>2.5140142796313212</v>
          </cell>
        </row>
        <row r="163">
          <cell r="AP163">
            <v>1.866968791441395</v>
          </cell>
        </row>
        <row r="164">
          <cell r="AP164">
            <v>1.8367526759168136</v>
          </cell>
        </row>
        <row r="165">
          <cell r="AP165">
            <v>1.7487307523042652</v>
          </cell>
        </row>
        <row r="166">
          <cell r="AP166">
            <v>1.6802004887593607</v>
          </cell>
        </row>
        <row r="167">
          <cell r="AP167">
            <v>2.194742320053122</v>
          </cell>
        </row>
        <row r="168">
          <cell r="AP168">
            <v>1.6173543790074545</v>
          </cell>
        </row>
        <row r="169">
          <cell r="AP169">
            <v>1.8548281768866941</v>
          </cell>
        </row>
        <row r="170">
          <cell r="AP170">
            <v>2.0216312914458792</v>
          </cell>
        </row>
        <row r="171">
          <cell r="AP171">
            <v>1.5867459523531064</v>
          </cell>
        </row>
        <row r="172">
          <cell r="AP172">
            <v>1.8312773220422656</v>
          </cell>
        </row>
        <row r="173">
          <cell r="AP173">
            <v>2.0421338618403357</v>
          </cell>
        </row>
        <row r="174">
          <cell r="AP174">
            <v>1.9967035783952742</v>
          </cell>
        </row>
        <row r="175">
          <cell r="AP175">
            <v>2.082079547040351</v>
          </cell>
        </row>
        <row r="176">
          <cell r="AP176">
            <v>2.0106672420203608</v>
          </cell>
        </row>
        <row r="177">
          <cell r="AP177">
            <v>1.4506317739558707</v>
          </cell>
        </row>
        <row r="178">
          <cell r="AP178">
            <v>2.0367108622715491</v>
          </cell>
        </row>
        <row r="179">
          <cell r="AP179">
            <v>1.9014751570357209</v>
          </cell>
        </row>
        <row r="180">
          <cell r="AP180">
            <v>1.9088257100363359</v>
          </cell>
        </row>
        <row r="181">
          <cell r="AP181">
            <v>2.4053972640938031</v>
          </cell>
        </row>
        <row r="182">
          <cell r="AP182">
            <v>1.7612376437279744</v>
          </cell>
        </row>
        <row r="183">
          <cell r="AP183">
            <v>2.506551867864264</v>
          </cell>
        </row>
        <row r="184">
          <cell r="AP184">
            <v>1.8478848540689308</v>
          </cell>
        </row>
        <row r="185">
          <cell r="AP185">
            <v>1.947808092900265</v>
          </cell>
        </row>
        <row r="186">
          <cell r="AP186">
            <v>1.478587144474766</v>
          </cell>
        </row>
        <row r="187">
          <cell r="AP187">
            <v>1.6645747111514735</v>
          </cell>
        </row>
        <row r="188">
          <cell r="AP188">
            <v>2.2358803836361156</v>
          </cell>
        </row>
        <row r="189">
          <cell r="AP189">
            <v>1.6387107560897611</v>
          </cell>
        </row>
        <row r="190">
          <cell r="AP190">
            <v>1.8302213125872862</v>
          </cell>
        </row>
        <row r="191">
          <cell r="AP191">
            <v>2.0491382982875344</v>
          </cell>
        </row>
        <row r="192">
          <cell r="AP192">
            <v>1.6183711177480331</v>
          </cell>
        </row>
        <row r="193">
          <cell r="AP193">
            <v>1.656688086406005</v>
          </cell>
        </row>
        <row r="194">
          <cell r="AP194">
            <v>2.0847772787572016</v>
          </cell>
        </row>
        <row r="195">
          <cell r="AP195">
            <v>1.9305047606189729</v>
          </cell>
        </row>
        <row r="196">
          <cell r="AP196">
            <v>2.1769257022071562</v>
          </cell>
        </row>
        <row r="197">
          <cell r="AP197">
            <v>2.0049144951591851</v>
          </cell>
        </row>
        <row r="198">
          <cell r="AP198">
            <v>1.46</v>
          </cell>
        </row>
        <row r="199">
          <cell r="AP199">
            <v>2</v>
          </cell>
        </row>
        <row r="200">
          <cell r="AP200">
            <v>1.88</v>
          </cell>
        </row>
        <row r="201">
          <cell r="AP201">
            <v>1.88</v>
          </cell>
        </row>
        <row r="202">
          <cell r="AP202">
            <v>2.4</v>
          </cell>
        </row>
        <row r="203">
          <cell r="AP203">
            <v>1.75</v>
          </cell>
        </row>
        <row r="204">
          <cell r="AP204">
            <v>2.5</v>
          </cell>
        </row>
        <row r="205">
          <cell r="AP205">
            <v>1.83</v>
          </cell>
        </row>
        <row r="206">
          <cell r="AP206">
            <v>2.0570000000000004</v>
          </cell>
        </row>
        <row r="207">
          <cell r="AP207">
            <v>1.22</v>
          </cell>
        </row>
        <row r="208">
          <cell r="AP208">
            <v>1.65</v>
          </cell>
        </row>
        <row r="209">
          <cell r="AP209">
            <v>2.2799999999999998</v>
          </cell>
        </row>
        <row r="210">
          <cell r="AP210">
            <v>1.66</v>
          </cell>
        </row>
        <row r="211">
          <cell r="AP211">
            <v>1.81</v>
          </cell>
        </row>
        <row r="212">
          <cell r="AP212">
            <v>2.08</v>
          </cell>
        </row>
        <row r="213">
          <cell r="AP213">
            <v>1.65</v>
          </cell>
        </row>
        <row r="214">
          <cell r="AP214">
            <v>1.4909999999999999</v>
          </cell>
        </row>
        <row r="215">
          <cell r="AP215">
            <v>2.13</v>
          </cell>
        </row>
        <row r="216">
          <cell r="AP216">
            <v>1.87</v>
          </cell>
        </row>
        <row r="217">
          <cell r="AP217">
            <v>2.27</v>
          </cell>
        </row>
        <row r="218">
          <cell r="AP218">
            <v>2</v>
          </cell>
        </row>
        <row r="219">
          <cell r="AP219">
            <v>1.4757359454707455</v>
          </cell>
        </row>
        <row r="220">
          <cell r="AP220">
            <v>1.9498361849794725</v>
          </cell>
        </row>
        <row r="221">
          <cell r="AP221">
            <v>1.9657235768360046</v>
          </cell>
        </row>
        <row r="222">
          <cell r="AP222">
            <v>1.929771689754691</v>
          </cell>
        </row>
        <row r="223">
          <cell r="AP223">
            <v>2.3210657531839014</v>
          </cell>
        </row>
        <row r="224">
          <cell r="AP224">
            <v>1.7251847291349138</v>
          </cell>
        </row>
        <row r="225">
          <cell r="AP225">
            <v>2.398129069411147</v>
          </cell>
        </row>
        <row r="226">
          <cell r="AP226">
            <v>1.8282851890657261</v>
          </cell>
        </row>
        <row r="227">
          <cell r="AP227">
            <v>2.0673118627126095</v>
          </cell>
        </row>
        <row r="228">
          <cell r="AP228">
            <v>1.4541650647441995</v>
          </cell>
        </row>
        <row r="229">
          <cell r="AP229">
            <v>1.6694576016738041</v>
          </cell>
        </row>
        <row r="230">
          <cell r="AP230">
            <v>2.380264494648213</v>
          </cell>
        </row>
        <row r="231">
          <cell r="AP231">
            <v>1.6610834929792944</v>
          </cell>
        </row>
        <row r="232">
          <cell r="AP232">
            <v>1.7520444626783127</v>
          </cell>
        </row>
        <row r="233">
          <cell r="AP233">
            <v>2.2582985999416789</v>
          </cell>
        </row>
        <row r="234">
          <cell r="AP234">
            <v>1.6488882106466858</v>
          </cell>
        </row>
        <row r="235">
          <cell r="AP235">
            <v>1.658921365617249</v>
          </cell>
        </row>
        <row r="236">
          <cell r="AP236">
            <v>2.1388986949993987</v>
          </cell>
        </row>
        <row r="237">
          <cell r="AP237">
            <v>1.8906334217971397</v>
          </cell>
        </row>
        <row r="238">
          <cell r="AP238">
            <v>2.2185527463339927</v>
          </cell>
        </row>
        <row r="239">
          <cell r="AP239">
            <v>2.0191814778170736</v>
          </cell>
        </row>
        <row r="240">
          <cell r="AP240">
            <v>1.4664630623600532</v>
          </cell>
        </row>
        <row r="241">
          <cell r="AP241">
            <v>1.8868483775923983</v>
          </cell>
        </row>
        <row r="242">
          <cell r="AP242">
            <v>2.0043837949327425</v>
          </cell>
        </row>
        <row r="243">
          <cell r="AP243">
            <v>1.9701651764926544</v>
          </cell>
        </row>
        <row r="244">
          <cell r="AP244">
            <v>2.2321395006950295</v>
          </cell>
        </row>
        <row r="245">
          <cell r="AP245">
            <v>1.683447743336842</v>
          </cell>
        </row>
        <row r="246">
          <cell r="AP246">
            <v>2.2866530557124269</v>
          </cell>
        </row>
        <row r="247">
          <cell r="AP247">
            <v>1.8178972609764608</v>
          </cell>
        </row>
        <row r="248">
          <cell r="AP248">
            <v>2.059526956979215</v>
          </cell>
        </row>
        <row r="249">
          <cell r="AP249">
            <v>1.6432523547390614</v>
          </cell>
        </row>
        <row r="250">
          <cell r="AP250">
            <v>1.6808717908020561</v>
          </cell>
        </row>
        <row r="251">
          <cell r="AP251">
            <v>2.428217789856375</v>
          </cell>
        </row>
        <row r="252">
          <cell r="AP252">
            <v>1.654538186089253</v>
          </cell>
        </row>
        <row r="253">
          <cell r="AP253">
            <v>1.6483882433984645</v>
          </cell>
        </row>
        <row r="254">
          <cell r="AP254">
            <v>2.3845804016889991</v>
          </cell>
        </row>
        <row r="255">
          <cell r="AP255">
            <v>1.6355705194276045</v>
          </cell>
        </row>
        <row r="256">
          <cell r="AP256">
            <v>1.7798397118737785</v>
          </cell>
        </row>
        <row r="257">
          <cell r="AP257">
            <v>2.0999538117703835</v>
          </cell>
        </row>
        <row r="258">
          <cell r="AP258">
            <v>1.8644921202930465</v>
          </cell>
        </row>
        <row r="259">
          <cell r="AP259">
            <v>2.1540870363929172</v>
          </cell>
        </row>
        <row r="260">
          <cell r="AP260">
            <v>2.0292647123857908</v>
          </cell>
        </row>
        <row r="261">
          <cell r="AP261">
            <v>1.4535728591861332</v>
          </cell>
        </row>
        <row r="262">
          <cell r="AP262">
            <v>1.8039663027500987</v>
          </cell>
        </row>
        <row r="263">
          <cell r="AP263">
            <v>2.041435691970821</v>
          </cell>
        </row>
        <row r="264">
          <cell r="AP264">
            <v>1.9900601090853698</v>
          </cell>
        </row>
        <row r="265">
          <cell r="AP265">
            <v>2.1213730516560245</v>
          </cell>
        </row>
        <row r="266">
          <cell r="AP266">
            <v>1.6272108239183543</v>
          </cell>
        </row>
        <row r="267">
          <cell r="AP267">
            <v>2.1491988963637083</v>
          </cell>
        </row>
        <row r="268">
          <cell r="AP268">
            <v>1.7885519249953297</v>
          </cell>
        </row>
        <row r="269">
          <cell r="AP269">
            <v>2.0357126532523782</v>
          </cell>
        </row>
        <row r="270">
          <cell r="AP270">
            <v>1.8305229100742575</v>
          </cell>
        </row>
        <row r="271">
          <cell r="AP271">
            <v>1.6747049698101948</v>
          </cell>
        </row>
        <row r="272">
          <cell r="AP272">
            <v>2.4743834267690623</v>
          </cell>
        </row>
        <row r="273">
          <cell r="AP273">
            <v>1.6313181107257382</v>
          </cell>
        </row>
        <row r="274">
          <cell r="AP274">
            <v>1.5431702705345678</v>
          </cell>
        </row>
        <row r="275">
          <cell r="AP275">
            <v>2.5077190991261329</v>
          </cell>
        </row>
        <row r="276">
          <cell r="AP276">
            <v>1.6074223741855571</v>
          </cell>
        </row>
        <row r="277">
          <cell r="AP277">
            <v>1.8991517990811566</v>
          </cell>
        </row>
        <row r="278">
          <cell r="AP278">
            <v>2.0593739446293053</v>
          </cell>
        </row>
        <row r="279">
          <cell r="AP279">
            <v>1.8364760934085953</v>
          </cell>
        </row>
        <row r="280">
          <cell r="AP280">
            <v>2.0808883994606586</v>
          </cell>
        </row>
        <row r="281">
          <cell r="AP281">
            <v>2.0194612915143137</v>
          </cell>
        </row>
        <row r="282">
          <cell r="AP282">
            <v>1.43</v>
          </cell>
        </row>
        <row r="283">
          <cell r="AP283">
            <v>1.71</v>
          </cell>
        </row>
        <row r="284">
          <cell r="AP284">
            <v>2.06</v>
          </cell>
        </row>
        <row r="285">
          <cell r="AP285">
            <v>2</v>
          </cell>
        </row>
        <row r="286">
          <cell r="AP286">
            <v>2</v>
          </cell>
        </row>
        <row r="287">
          <cell r="AP287">
            <v>1.56</v>
          </cell>
        </row>
        <row r="288">
          <cell r="AP288">
            <v>2</v>
          </cell>
        </row>
        <row r="289">
          <cell r="AP289">
            <v>1.75</v>
          </cell>
        </row>
        <row r="290">
          <cell r="AP290">
            <v>2</v>
          </cell>
        </row>
        <row r="291">
          <cell r="AP291">
            <v>2</v>
          </cell>
        </row>
        <row r="292">
          <cell r="AP292">
            <v>1.66</v>
          </cell>
        </row>
        <row r="293">
          <cell r="AP293">
            <v>2.5</v>
          </cell>
        </row>
        <row r="294">
          <cell r="AP294">
            <v>1.6</v>
          </cell>
        </row>
        <row r="295">
          <cell r="AP295">
            <v>1.42</v>
          </cell>
        </row>
        <row r="296">
          <cell r="AP296">
            <v>2.61</v>
          </cell>
        </row>
        <row r="297">
          <cell r="AP297">
            <v>1.57</v>
          </cell>
        </row>
        <row r="298">
          <cell r="AP298">
            <v>2</v>
          </cell>
        </row>
        <row r="299">
          <cell r="AP299">
            <v>2</v>
          </cell>
        </row>
        <row r="300">
          <cell r="AP300">
            <v>1.79</v>
          </cell>
        </row>
        <row r="301">
          <cell r="AP301">
            <v>2</v>
          </cell>
        </row>
        <row r="302">
          <cell r="AP302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"/>
      <sheetName val="StartsAnn Percent Change"/>
      <sheetName val="StartsUA "/>
      <sheetName val="StartsUA Prelim"/>
      <sheetName val="StartsUA First"/>
      <sheetName val="StartsUA Second"/>
      <sheetName val="StartsSA  "/>
      <sheetName val="StartsSA Percent Change"/>
      <sheetName val="ST -Curr to Year ago % Change "/>
      <sheetName val="StartsSA  Prelim"/>
      <sheetName val="StartsSA First"/>
      <sheetName val="StartsSA Second"/>
      <sheetName val="Starts Seas F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2"/>
      <sheetName val="RSE 7.2"/>
    </sheetNames>
    <sheetDataSet>
      <sheetData sheetId="0" refreshError="1">
        <row r="106">
          <cell r="AR106" t="str">
            <v>Total</v>
          </cell>
          <cell r="AS106" t="str">
            <v>Electricity</v>
          </cell>
          <cell r="AT106" t="str">
            <v>Natural Gas</v>
          </cell>
          <cell r="AU106" t="str">
            <v>Distallate</v>
          </cell>
          <cell r="AV106" t="str">
            <v>Residual</v>
          </cell>
          <cell r="AW106" t="str">
            <v>Coal</v>
          </cell>
          <cell r="AX106" t="str">
            <v>Coke</v>
          </cell>
          <cell r="AY106" t="str">
            <v>LPG</v>
          </cell>
          <cell r="AZ106" t="str">
            <v>Steam</v>
          </cell>
          <cell r="BA106" t="str">
            <v>Biomass</v>
          </cell>
          <cell r="BB106" t="str">
            <v>All other</v>
          </cell>
        </row>
        <row r="107">
          <cell r="AP107" t="str">
            <v>311</v>
          </cell>
          <cell r="AQ107" t="str">
            <v>Food</v>
          </cell>
          <cell r="AR107">
            <v>9.1199999999999992</v>
          </cell>
          <cell r="AS107">
            <v>20.64</v>
          </cell>
          <cell r="AT107">
            <v>5.85</v>
          </cell>
          <cell r="AU107">
            <v>18.62</v>
          </cell>
          <cell r="AV107">
            <v>11.16</v>
          </cell>
          <cell r="AW107">
            <v>2.41</v>
          </cell>
          <cell r="AX107">
            <v>15.96</v>
          </cell>
          <cell r="AY107">
            <v>19.04</v>
          </cell>
          <cell r="AZ107">
            <v>4.68</v>
          </cell>
          <cell r="BA107">
            <v>2.12</v>
          </cell>
          <cell r="BB107">
            <v>4.82</v>
          </cell>
        </row>
        <row r="108">
          <cell r="AP108" t="str">
            <v>312</v>
          </cell>
          <cell r="AQ108" t="str">
            <v>Beverage and Tobacco Products</v>
          </cell>
          <cell r="AR108">
            <v>12.96</v>
          </cell>
          <cell r="AS108">
            <v>25.6</v>
          </cell>
          <cell r="AT108">
            <v>6.48</v>
          </cell>
          <cell r="AU108">
            <v>13</v>
          </cell>
          <cell r="AV108">
            <v>11.02</v>
          </cell>
          <cell r="AW108">
            <v>4.29</v>
          </cell>
          <cell r="AX108">
            <v>0</v>
          </cell>
          <cell r="AY108">
            <v>20.32</v>
          </cell>
          <cell r="AZ108">
            <v>0</v>
          </cell>
          <cell r="BA108">
            <v>3.51</v>
          </cell>
          <cell r="BB108">
            <v>0</v>
          </cell>
        </row>
        <row r="109">
          <cell r="AP109" t="str">
            <v>313</v>
          </cell>
          <cell r="AQ109" t="str">
            <v>Textile Mills</v>
          </cell>
          <cell r="AR109">
            <v>12.69</v>
          </cell>
          <cell r="AS109">
            <v>18.899999999999999</v>
          </cell>
          <cell r="AT109">
            <v>6.95</v>
          </cell>
          <cell r="AU109">
            <v>16.940000000000001</v>
          </cell>
          <cell r="AV109">
            <v>13.84</v>
          </cell>
          <cell r="AW109">
            <v>4.67</v>
          </cell>
          <cell r="AX109">
            <v>0</v>
          </cell>
          <cell r="AY109">
            <v>17.899999999999999</v>
          </cell>
          <cell r="AZ109" t="str">
            <v>W</v>
          </cell>
          <cell r="BA109">
            <v>0</v>
          </cell>
          <cell r="BB109">
            <v>0</v>
          </cell>
        </row>
        <row r="110">
          <cell r="AP110" t="str">
            <v>314</v>
          </cell>
          <cell r="AQ110" t="str">
            <v>Textile Product Mills</v>
          </cell>
          <cell r="AR110">
            <v>13.33</v>
          </cell>
          <cell r="AS110">
            <v>22.06</v>
          </cell>
          <cell r="AT110">
            <v>6.77</v>
          </cell>
          <cell r="AU110">
            <v>14.42</v>
          </cell>
          <cell r="AV110">
            <v>17.64</v>
          </cell>
          <cell r="AW110">
            <v>3.65</v>
          </cell>
          <cell r="AX110">
            <v>0</v>
          </cell>
          <cell r="AY110">
            <v>18.53</v>
          </cell>
          <cell r="AZ110">
            <v>0</v>
          </cell>
          <cell r="BA110">
            <v>0</v>
          </cell>
          <cell r="BB110">
            <v>0</v>
          </cell>
        </row>
        <row r="111">
          <cell r="AP111" t="str">
            <v>315</v>
          </cell>
          <cell r="AQ111" t="str">
            <v>Apparel</v>
          </cell>
          <cell r="AR111">
            <v>19.64</v>
          </cell>
          <cell r="AS111">
            <v>25.98</v>
          </cell>
          <cell r="AT111">
            <v>8.6199999999999992</v>
          </cell>
          <cell r="AU111">
            <v>15.3</v>
          </cell>
          <cell r="AV111">
            <v>0</v>
          </cell>
          <cell r="AW111">
            <v>0</v>
          </cell>
          <cell r="AX111">
            <v>0</v>
          </cell>
          <cell r="AY111">
            <v>23.11</v>
          </cell>
          <cell r="AZ111">
            <v>0</v>
          </cell>
          <cell r="BA111">
            <v>0</v>
          </cell>
          <cell r="BB111">
            <v>0</v>
          </cell>
        </row>
        <row r="112">
          <cell r="AP112" t="str">
            <v>316</v>
          </cell>
          <cell r="AQ112" t="str">
            <v>Leather and Allied Products</v>
          </cell>
          <cell r="AR112">
            <v>17.670000000000002</v>
          </cell>
          <cell r="AS112">
            <v>29.9</v>
          </cell>
          <cell r="AT112">
            <v>7.57</v>
          </cell>
          <cell r="AU112">
            <v>21.02</v>
          </cell>
          <cell r="AV112">
            <v>16.05</v>
          </cell>
          <cell r="AW112">
            <v>0</v>
          </cell>
          <cell r="AX112">
            <v>0</v>
          </cell>
          <cell r="AY112">
            <v>22.2</v>
          </cell>
          <cell r="AZ112">
            <v>3.95</v>
          </cell>
          <cell r="BA112">
            <v>0</v>
          </cell>
          <cell r="BB112">
            <v>0</v>
          </cell>
        </row>
        <row r="113">
          <cell r="AP113" t="str">
            <v>321</v>
          </cell>
          <cell r="AQ113" t="str">
            <v>Wood Products</v>
          </cell>
          <cell r="AR113">
            <v>8.92</v>
          </cell>
          <cell r="AS113">
            <v>22.27</v>
          </cell>
          <cell r="AT113">
            <v>6.57</v>
          </cell>
          <cell r="AU113">
            <v>16.05</v>
          </cell>
          <cell r="AV113">
            <v>11.44</v>
          </cell>
          <cell r="AW113">
            <v>5.81</v>
          </cell>
          <cell r="AX113">
            <v>0</v>
          </cell>
          <cell r="AY113">
            <v>19.46</v>
          </cell>
          <cell r="AZ113">
            <v>2.59</v>
          </cell>
          <cell r="BA113">
            <v>1.87</v>
          </cell>
          <cell r="BB113">
            <v>0</v>
          </cell>
        </row>
        <row r="114">
          <cell r="AP114" t="str">
            <v>322</v>
          </cell>
          <cell r="AQ114" t="str">
            <v>Paper</v>
          </cell>
          <cell r="AR114">
            <v>6.93</v>
          </cell>
          <cell r="AS114">
            <v>16.510000000000002</v>
          </cell>
          <cell r="AT114">
            <v>5.55</v>
          </cell>
          <cell r="AU114">
            <v>16.11</v>
          </cell>
          <cell r="AV114">
            <v>11.46</v>
          </cell>
          <cell r="AW114">
            <v>3.61</v>
          </cell>
          <cell r="AX114">
            <v>5.49</v>
          </cell>
          <cell r="AY114">
            <v>20.43</v>
          </cell>
          <cell r="AZ114">
            <v>6.45</v>
          </cell>
          <cell r="BA114">
            <v>2.63</v>
          </cell>
          <cell r="BB114">
            <v>2.12</v>
          </cell>
        </row>
        <row r="115">
          <cell r="AP115" t="str">
            <v>323</v>
          </cell>
          <cell r="AQ115" t="str">
            <v>Printing and Related Support</v>
          </cell>
          <cell r="AR115">
            <v>18.09</v>
          </cell>
          <cell r="AS115">
            <v>26.54</v>
          </cell>
          <cell r="AT115">
            <v>7.01</v>
          </cell>
          <cell r="AU115">
            <v>20.54</v>
          </cell>
          <cell r="AV115">
            <v>9.82</v>
          </cell>
          <cell r="AW115">
            <v>0</v>
          </cell>
          <cell r="AX115">
            <v>0</v>
          </cell>
          <cell r="AY115">
            <v>19.21</v>
          </cell>
          <cell r="AZ115">
            <v>0</v>
          </cell>
          <cell r="BA115">
            <v>5.63</v>
          </cell>
          <cell r="BB115">
            <v>0</v>
          </cell>
        </row>
        <row r="116">
          <cell r="AP116" t="str">
            <v>324</v>
          </cell>
          <cell r="AQ116" t="str">
            <v>Petroleum and Coal Products</v>
          </cell>
          <cell r="AR116">
            <v>5.98</v>
          </cell>
          <cell r="AS116">
            <v>16.64</v>
          </cell>
          <cell r="AT116">
            <v>4.87</v>
          </cell>
          <cell r="AU116">
            <v>16.37</v>
          </cell>
          <cell r="AV116">
            <v>8.3699999999999992</v>
          </cell>
          <cell r="AW116">
            <v>4.79</v>
          </cell>
          <cell r="AX116">
            <v>5.42</v>
          </cell>
          <cell r="AY116">
            <v>19.82</v>
          </cell>
          <cell r="AZ116">
            <v>6.49</v>
          </cell>
          <cell r="BA116">
            <v>0</v>
          </cell>
          <cell r="BB116">
            <v>3.17</v>
          </cell>
        </row>
        <row r="117">
          <cell r="AP117" t="str">
            <v>325</v>
          </cell>
          <cell r="AQ117" t="str">
            <v>Chemicals</v>
          </cell>
          <cell r="AR117">
            <v>9.39</v>
          </cell>
          <cell r="AS117">
            <v>16.309999999999999</v>
          </cell>
          <cell r="AT117">
            <v>4.8600000000000003</v>
          </cell>
          <cell r="AU117">
            <v>17.05</v>
          </cell>
          <cell r="AV117">
            <v>10.61</v>
          </cell>
          <cell r="AW117">
            <v>3.28</v>
          </cell>
          <cell r="AX117">
            <v>8.08</v>
          </cell>
          <cell r="AY117">
            <v>13.98</v>
          </cell>
          <cell r="AZ117">
            <v>6.93</v>
          </cell>
          <cell r="BA117">
            <v>3.19</v>
          </cell>
          <cell r="BB117">
            <v>11.37</v>
          </cell>
        </row>
        <row r="118">
          <cell r="AP118" t="str">
            <v>326</v>
          </cell>
          <cell r="AQ118" t="str">
            <v>Plastics and Rubber Products</v>
          </cell>
          <cell r="AR118">
            <v>16.04</v>
          </cell>
          <cell r="AS118">
            <v>22.68</v>
          </cell>
          <cell r="AT118">
            <v>6.45</v>
          </cell>
          <cell r="AU118">
            <v>22.73</v>
          </cell>
          <cell r="AV118">
            <v>12.8</v>
          </cell>
          <cell r="AW118">
            <v>6.1</v>
          </cell>
          <cell r="AX118">
            <v>0</v>
          </cell>
          <cell r="AY118">
            <v>18.12</v>
          </cell>
          <cell r="AZ118">
            <v>4.4000000000000004</v>
          </cell>
          <cell r="BA118">
            <v>0</v>
          </cell>
          <cell r="BB118">
            <v>0</v>
          </cell>
        </row>
        <row r="119">
          <cell r="AP119" t="str">
            <v>327</v>
          </cell>
          <cell r="AQ119" t="str">
            <v>Nonmetallic Mineral Products</v>
          </cell>
          <cell r="AR119">
            <v>7.41</v>
          </cell>
          <cell r="AS119">
            <v>20.67</v>
          </cell>
          <cell r="AT119">
            <v>5.9</v>
          </cell>
          <cell r="AU119">
            <v>16.7</v>
          </cell>
          <cell r="AV119">
            <v>11.6</v>
          </cell>
          <cell r="AW119">
            <v>3.07</v>
          </cell>
          <cell r="AX119">
            <v>8.6999999999999993</v>
          </cell>
          <cell r="AY119">
            <v>18.91</v>
          </cell>
          <cell r="AZ119">
            <v>0</v>
          </cell>
          <cell r="BA119">
            <v>1.71</v>
          </cell>
          <cell r="BB119">
            <v>0.36</v>
          </cell>
        </row>
        <row r="120">
          <cell r="AP120" t="str">
            <v>331</v>
          </cell>
          <cell r="AQ120" t="str">
            <v>Primary Metals</v>
          </cell>
          <cell r="AR120">
            <v>7.97</v>
          </cell>
          <cell r="AS120">
            <v>14.28</v>
          </cell>
          <cell r="AT120">
            <v>5.37</v>
          </cell>
          <cell r="AU120">
            <v>15.01</v>
          </cell>
          <cell r="AV120">
            <v>10.37</v>
          </cell>
          <cell r="AW120">
            <v>4.79</v>
          </cell>
          <cell r="AX120">
            <v>10.4</v>
          </cell>
          <cell r="AY120">
            <v>16.53</v>
          </cell>
          <cell r="AZ120">
            <v>7</v>
          </cell>
          <cell r="BA120">
            <v>3.46</v>
          </cell>
          <cell r="BB120">
            <v>30.34</v>
          </cell>
        </row>
        <row r="121">
          <cell r="AP121" t="str">
            <v>332</v>
          </cell>
          <cell r="AQ121" t="str">
            <v>Fabricated Metal Products</v>
          </cell>
          <cell r="AR121">
            <v>14.86</v>
          </cell>
          <cell r="AS121">
            <v>24.6</v>
          </cell>
          <cell r="AT121">
            <v>6.73</v>
          </cell>
          <cell r="AU121">
            <v>21.39</v>
          </cell>
          <cell r="AV121">
            <v>6.36</v>
          </cell>
          <cell r="AW121">
            <v>4.8499999999999996</v>
          </cell>
          <cell r="AX121">
            <v>8.06</v>
          </cell>
          <cell r="AY121">
            <v>22.17</v>
          </cell>
          <cell r="AZ121">
            <v>0</v>
          </cell>
          <cell r="BA121">
            <v>0</v>
          </cell>
          <cell r="BB121">
            <v>0</v>
          </cell>
        </row>
        <row r="122">
          <cell r="AP122" t="str">
            <v>333</v>
          </cell>
          <cell r="AQ122" t="str">
            <v>Machinery</v>
          </cell>
          <cell r="AR122">
            <v>16.100000000000001</v>
          </cell>
          <cell r="AS122">
            <v>24.94</v>
          </cell>
          <cell r="AT122">
            <v>7.06</v>
          </cell>
          <cell r="AU122">
            <v>19.73</v>
          </cell>
          <cell r="AV122">
            <v>7.7</v>
          </cell>
          <cell r="AW122">
            <v>0</v>
          </cell>
          <cell r="AX122">
            <v>0</v>
          </cell>
          <cell r="AY122">
            <v>20.82</v>
          </cell>
          <cell r="AZ122">
            <v>7.1</v>
          </cell>
          <cell r="BA122">
            <v>0</v>
          </cell>
          <cell r="BB122">
            <v>0</v>
          </cell>
        </row>
        <row r="123">
          <cell r="AP123" t="str">
            <v>334</v>
          </cell>
          <cell r="AQ123" t="str">
            <v>Computer and Electronic Products</v>
          </cell>
          <cell r="AR123">
            <v>18.27</v>
          </cell>
          <cell r="AS123">
            <v>23.29</v>
          </cell>
          <cell r="AT123">
            <v>6.56</v>
          </cell>
          <cell r="AU123">
            <v>19.8</v>
          </cell>
          <cell r="AV123">
            <v>14.32</v>
          </cell>
          <cell r="AW123">
            <v>0</v>
          </cell>
          <cell r="AX123">
            <v>0</v>
          </cell>
          <cell r="AY123">
            <v>24.93</v>
          </cell>
          <cell r="AZ123">
            <v>7.67</v>
          </cell>
          <cell r="BA123">
            <v>0</v>
          </cell>
          <cell r="BB123">
            <v>0</v>
          </cell>
        </row>
        <row r="124">
          <cell r="AP124" t="str">
            <v>335</v>
          </cell>
          <cell r="AQ124" t="str">
            <v>Electrical Equip., Appliances, and Components</v>
          </cell>
          <cell r="AR124">
            <v>13.24</v>
          </cell>
          <cell r="AS124">
            <v>22.75</v>
          </cell>
          <cell r="AT124">
            <v>6.78</v>
          </cell>
          <cell r="AU124">
            <v>18.37</v>
          </cell>
          <cell r="AV124">
            <v>12.64</v>
          </cell>
          <cell r="AW124">
            <v>0</v>
          </cell>
          <cell r="AX124">
            <v>18.75</v>
          </cell>
          <cell r="AY124">
            <v>18.22</v>
          </cell>
          <cell r="AZ124">
            <v>0</v>
          </cell>
          <cell r="BA124">
            <v>0</v>
          </cell>
          <cell r="BB124">
            <v>0</v>
          </cell>
        </row>
        <row r="125">
          <cell r="AP125" t="str">
            <v>336</v>
          </cell>
          <cell r="AQ125" t="str">
            <v>Transportation Equipment</v>
          </cell>
          <cell r="AR125">
            <v>14.3</v>
          </cell>
          <cell r="AS125">
            <v>21.84</v>
          </cell>
          <cell r="AT125">
            <v>6.63</v>
          </cell>
          <cell r="AU125">
            <v>21.58</v>
          </cell>
          <cell r="AV125">
            <v>9.23</v>
          </cell>
          <cell r="AW125">
            <v>5.0599999999999996</v>
          </cell>
          <cell r="AX125">
            <v>0</v>
          </cell>
          <cell r="AY125">
            <v>20.86</v>
          </cell>
          <cell r="AZ125">
            <v>13.88</v>
          </cell>
          <cell r="BA125">
            <v>0</v>
          </cell>
          <cell r="BB125">
            <v>16.03</v>
          </cell>
        </row>
        <row r="126">
          <cell r="AP126" t="str">
            <v>337</v>
          </cell>
          <cell r="AQ126" t="str">
            <v>Furniture and Related Products</v>
          </cell>
          <cell r="AR126">
            <v>17.86</v>
          </cell>
          <cell r="AS126">
            <v>27.47</v>
          </cell>
          <cell r="AT126">
            <v>8.61</v>
          </cell>
          <cell r="AU126">
            <v>20.07</v>
          </cell>
          <cell r="AV126">
            <v>0</v>
          </cell>
          <cell r="AW126">
            <v>2.64</v>
          </cell>
          <cell r="AX126">
            <v>0</v>
          </cell>
          <cell r="AY126">
            <v>20.91</v>
          </cell>
          <cell r="AZ126">
            <v>0</v>
          </cell>
          <cell r="BA126">
            <v>2.0299999999999998</v>
          </cell>
          <cell r="BB126">
            <v>0</v>
          </cell>
        </row>
        <row r="127">
          <cell r="AP127" t="str">
            <v>339</v>
          </cell>
          <cell r="AQ127" t="str">
            <v>Miscellaneous</v>
          </cell>
          <cell r="AR127">
            <v>20.56</v>
          </cell>
          <cell r="AS127">
            <v>28.28</v>
          </cell>
          <cell r="AT127">
            <v>8.32</v>
          </cell>
          <cell r="AU127">
            <v>18.23</v>
          </cell>
          <cell r="AV127">
            <v>19.88</v>
          </cell>
          <cell r="AW127">
            <v>3.63</v>
          </cell>
          <cell r="AX127">
            <v>0</v>
          </cell>
          <cell r="AY127">
            <v>23.65</v>
          </cell>
          <cell r="AZ127">
            <v>0</v>
          </cell>
          <cell r="BA127">
            <v>0</v>
          </cell>
          <cell r="BB127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6"/>
      <sheetName val="Table7_6_2006_pnnl"/>
    </sheetNames>
    <sheetDataSet>
      <sheetData sheetId="0">
        <row r="104">
          <cell r="C104">
            <v>3</v>
          </cell>
          <cell r="D104">
            <v>413</v>
          </cell>
        </row>
        <row r="105">
          <cell r="D105">
            <v>27443</v>
          </cell>
        </row>
        <row r="106">
          <cell r="D106">
            <v>76538</v>
          </cell>
        </row>
        <row r="107">
          <cell r="D107">
            <v>12991</v>
          </cell>
        </row>
        <row r="108">
          <cell r="D108">
            <v>43853</v>
          </cell>
        </row>
        <row r="109">
          <cell r="D109">
            <v>156682</v>
          </cell>
        </row>
        <row r="110">
          <cell r="D110">
            <v>53402</v>
          </cell>
        </row>
        <row r="111">
          <cell r="D111">
            <v>43854</v>
          </cell>
        </row>
        <row r="112">
          <cell r="D112">
            <v>133236</v>
          </cell>
        </row>
        <row r="113">
          <cell r="D113">
            <v>41965</v>
          </cell>
        </row>
        <row r="114">
          <cell r="D114">
            <v>32266</v>
          </cell>
        </row>
        <row r="115">
          <cell r="D115">
            <v>27399</v>
          </cell>
        </row>
        <row r="116">
          <cell r="D116">
            <v>12869</v>
          </cell>
        </row>
        <row r="117">
          <cell r="D117">
            <v>57241</v>
          </cell>
        </row>
        <row r="118">
          <cell r="D118">
            <v>9264</v>
          </cell>
        </row>
        <row r="119">
          <cell r="D119">
            <v>9677</v>
          </cell>
        </row>
        <row r="120">
          <cell r="D120">
            <v>848241</v>
          </cell>
        </row>
        <row r="121">
          <cell r="D121">
            <v>848242</v>
          </cell>
        </row>
        <row r="122">
          <cell r="D122"/>
        </row>
        <row r="123">
          <cell r="D123"/>
        </row>
        <row r="124">
          <cell r="D124"/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98_01p1"/>
      <sheetName val="d98n4_2_1998_pnnl"/>
    </sheetNames>
    <sheetDataSet>
      <sheetData sheetId="0">
        <row r="39">
          <cell r="C39">
            <v>992</v>
          </cell>
          <cell r="D39">
            <v>215</v>
          </cell>
          <cell r="E39">
            <v>14</v>
          </cell>
          <cell r="F39">
            <v>16</v>
          </cell>
          <cell r="G39">
            <v>568</v>
          </cell>
          <cell r="H39">
            <v>5</v>
          </cell>
          <cell r="I39">
            <v>129</v>
          </cell>
          <cell r="J39">
            <v>2</v>
          </cell>
          <cell r="K39">
            <v>44</v>
          </cell>
          <cell r="L39">
            <v>778</v>
          </cell>
          <cell r="M39">
            <v>777</v>
          </cell>
        </row>
        <row r="40">
          <cell r="C40">
            <v>109</v>
          </cell>
          <cell r="D40">
            <v>26</v>
          </cell>
          <cell r="E40">
            <v>2</v>
          </cell>
          <cell r="F40">
            <v>2</v>
          </cell>
          <cell r="G40">
            <v>45</v>
          </cell>
          <cell r="H40">
            <v>1</v>
          </cell>
          <cell r="I40">
            <v>29</v>
          </cell>
          <cell r="J40">
            <v>0</v>
          </cell>
          <cell r="K40">
            <v>3</v>
          </cell>
          <cell r="L40">
            <v>82</v>
          </cell>
          <cell r="M40">
            <v>83</v>
          </cell>
        </row>
        <row r="41">
          <cell r="C41">
            <v>255</v>
          </cell>
          <cell r="D41">
            <v>101</v>
          </cell>
          <cell r="E41">
            <v>12</v>
          </cell>
          <cell r="F41">
            <v>4</v>
          </cell>
          <cell r="G41">
            <v>102</v>
          </cell>
          <cell r="H41">
            <v>2</v>
          </cell>
          <cell r="I41">
            <v>20</v>
          </cell>
          <cell r="J41">
            <v>0</v>
          </cell>
          <cell r="K41">
            <v>15</v>
          </cell>
          <cell r="L41">
            <v>155</v>
          </cell>
          <cell r="M41">
            <v>154</v>
          </cell>
        </row>
        <row r="42">
          <cell r="C42">
            <v>49</v>
          </cell>
          <cell r="D42">
            <v>18</v>
          </cell>
          <cell r="E42">
            <v>3</v>
          </cell>
          <cell r="F42">
            <v>1.5</v>
          </cell>
          <cell r="G42">
            <v>24</v>
          </cell>
          <cell r="H42">
            <v>0.3</v>
          </cell>
          <cell r="I42">
            <v>3</v>
          </cell>
          <cell r="J42">
            <v>0</v>
          </cell>
          <cell r="K42">
            <v>0.1</v>
          </cell>
          <cell r="L42">
            <v>31.900000000000002</v>
          </cell>
          <cell r="M42">
            <v>31</v>
          </cell>
        </row>
        <row r="43">
          <cell r="C43">
            <v>48</v>
          </cell>
          <cell r="D43">
            <v>18</v>
          </cell>
          <cell r="E43">
            <v>2</v>
          </cell>
          <cell r="F43">
            <v>1</v>
          </cell>
          <cell r="G43">
            <v>23</v>
          </cell>
          <cell r="H43">
            <v>1</v>
          </cell>
          <cell r="I43">
            <v>1</v>
          </cell>
          <cell r="J43">
            <v>0</v>
          </cell>
          <cell r="K43">
            <v>3</v>
          </cell>
          <cell r="L43">
            <v>31</v>
          </cell>
          <cell r="M43">
            <v>30</v>
          </cell>
        </row>
        <row r="44">
          <cell r="C44">
            <v>8</v>
          </cell>
          <cell r="D44">
            <v>3</v>
          </cell>
          <cell r="E44">
            <v>0.2</v>
          </cell>
          <cell r="F44">
            <v>0.4</v>
          </cell>
          <cell r="G44">
            <v>4</v>
          </cell>
          <cell r="H44">
            <v>0.3</v>
          </cell>
          <cell r="I44">
            <v>0</v>
          </cell>
          <cell r="J44">
            <v>0</v>
          </cell>
          <cell r="K44">
            <v>0.1</v>
          </cell>
          <cell r="L44">
            <v>4.9999999999999991</v>
          </cell>
          <cell r="M44">
            <v>5</v>
          </cell>
        </row>
        <row r="45">
          <cell r="C45">
            <v>285</v>
          </cell>
          <cell r="D45">
            <v>75</v>
          </cell>
          <cell r="E45">
            <v>1</v>
          </cell>
          <cell r="F45">
            <v>12</v>
          </cell>
          <cell r="G45">
            <v>73</v>
          </cell>
          <cell r="H45">
            <v>4</v>
          </cell>
          <cell r="I45">
            <v>2</v>
          </cell>
          <cell r="J45">
            <v>0</v>
          </cell>
          <cell r="K45">
            <v>118</v>
          </cell>
          <cell r="L45">
            <v>210</v>
          </cell>
          <cell r="M45">
            <v>210</v>
          </cell>
        </row>
        <row r="46">
          <cell r="C46">
            <v>1648</v>
          </cell>
          <cell r="D46">
            <v>253</v>
          </cell>
          <cell r="E46">
            <v>151</v>
          </cell>
          <cell r="F46">
            <v>9</v>
          </cell>
          <cell r="G46">
            <v>586</v>
          </cell>
          <cell r="H46">
            <v>5</v>
          </cell>
          <cell r="I46">
            <v>277</v>
          </cell>
          <cell r="J46">
            <v>0</v>
          </cell>
          <cell r="K46">
            <v>368</v>
          </cell>
          <cell r="L46">
            <v>1396</v>
          </cell>
          <cell r="M46">
            <v>1395</v>
          </cell>
        </row>
        <row r="47">
          <cell r="C47">
            <v>97</v>
          </cell>
          <cell r="D47">
            <v>51</v>
          </cell>
          <cell r="E47">
            <v>0.4</v>
          </cell>
          <cell r="F47">
            <v>0.5</v>
          </cell>
          <cell r="G47">
            <v>43</v>
          </cell>
          <cell r="H47">
            <v>1</v>
          </cell>
          <cell r="I47">
            <v>0.05</v>
          </cell>
          <cell r="J47">
            <v>0</v>
          </cell>
          <cell r="K47">
            <v>1.3</v>
          </cell>
          <cell r="L47">
            <v>46.249999999999993</v>
          </cell>
          <cell r="M47">
            <v>46</v>
          </cell>
        </row>
        <row r="48">
          <cell r="C48">
            <v>1475</v>
          </cell>
          <cell r="D48">
            <v>133</v>
          </cell>
          <cell r="E48">
            <v>29</v>
          </cell>
          <cell r="F48">
            <v>20</v>
          </cell>
          <cell r="G48">
            <v>994</v>
          </cell>
          <cell r="H48">
            <v>17</v>
          </cell>
          <cell r="I48">
            <v>0.1</v>
          </cell>
          <cell r="J48">
            <v>0</v>
          </cell>
          <cell r="K48">
            <v>281</v>
          </cell>
          <cell r="L48">
            <v>1341.1</v>
          </cell>
          <cell r="M48">
            <v>1342</v>
          </cell>
        </row>
        <row r="49">
          <cell r="C49">
            <v>3377</v>
          </cell>
          <cell r="D49">
            <v>602</v>
          </cell>
          <cell r="E49">
            <v>40</v>
          </cell>
          <cell r="F49">
            <v>9</v>
          </cell>
          <cell r="G49">
            <v>1983</v>
          </cell>
          <cell r="H49">
            <v>50</v>
          </cell>
          <cell r="I49">
            <v>284</v>
          </cell>
          <cell r="J49">
            <v>2</v>
          </cell>
          <cell r="K49">
            <v>407</v>
          </cell>
          <cell r="L49">
            <v>2775</v>
          </cell>
          <cell r="M49">
            <v>2775</v>
          </cell>
        </row>
        <row r="50">
          <cell r="C50">
            <v>327</v>
          </cell>
          <cell r="D50">
            <v>183</v>
          </cell>
          <cell r="E50">
            <v>5</v>
          </cell>
          <cell r="F50">
            <v>1</v>
          </cell>
          <cell r="G50">
            <v>126</v>
          </cell>
          <cell r="H50">
            <v>4</v>
          </cell>
          <cell r="I50">
            <v>3</v>
          </cell>
          <cell r="J50">
            <v>0</v>
          </cell>
          <cell r="K50">
            <v>5</v>
          </cell>
          <cell r="L50">
            <v>144</v>
          </cell>
          <cell r="M50">
            <v>144</v>
          </cell>
        </row>
        <row r="51">
          <cell r="C51">
            <v>921</v>
          </cell>
          <cell r="D51">
            <v>135</v>
          </cell>
          <cell r="E51">
            <v>4</v>
          </cell>
          <cell r="F51">
            <v>16</v>
          </cell>
          <cell r="G51">
            <v>438</v>
          </cell>
          <cell r="H51">
            <v>3</v>
          </cell>
          <cell r="I51">
            <v>283</v>
          </cell>
          <cell r="J51">
            <v>10</v>
          </cell>
          <cell r="K51">
            <v>31</v>
          </cell>
          <cell r="L51">
            <v>785</v>
          </cell>
          <cell r="M51">
            <v>786</v>
          </cell>
        </row>
        <row r="52">
          <cell r="C52">
            <v>2010</v>
          </cell>
          <cell r="D52">
            <v>558</v>
          </cell>
          <cell r="E52">
            <v>30</v>
          </cell>
          <cell r="F52">
            <v>8</v>
          </cell>
          <cell r="G52">
            <v>888</v>
          </cell>
          <cell r="H52">
            <v>3</v>
          </cell>
          <cell r="I52">
            <v>72</v>
          </cell>
          <cell r="J52">
            <v>421</v>
          </cell>
          <cell r="K52">
            <v>29</v>
          </cell>
          <cell r="L52">
            <v>1451</v>
          </cell>
          <cell r="M52">
            <v>1452</v>
          </cell>
        </row>
        <row r="53">
          <cell r="C53">
            <v>441</v>
          </cell>
          <cell r="D53">
            <v>176</v>
          </cell>
          <cell r="E53">
            <v>2</v>
          </cell>
          <cell r="F53">
            <v>6</v>
          </cell>
          <cell r="G53">
            <v>241</v>
          </cell>
          <cell r="H53">
            <v>5</v>
          </cell>
          <cell r="I53">
            <v>3</v>
          </cell>
          <cell r="J53">
            <v>2</v>
          </cell>
          <cell r="K53">
            <v>6</v>
          </cell>
          <cell r="L53">
            <v>265</v>
          </cell>
          <cell r="M53">
            <v>265</v>
          </cell>
        </row>
        <row r="54">
          <cell r="C54">
            <v>213</v>
          </cell>
          <cell r="D54">
            <v>96</v>
          </cell>
          <cell r="E54">
            <v>1</v>
          </cell>
          <cell r="F54">
            <v>3</v>
          </cell>
          <cell r="G54">
            <v>99</v>
          </cell>
          <cell r="H54">
            <v>3</v>
          </cell>
          <cell r="I54">
            <v>6</v>
          </cell>
          <cell r="J54">
            <v>0</v>
          </cell>
          <cell r="K54">
            <v>4</v>
          </cell>
          <cell r="L54">
            <v>116</v>
          </cell>
          <cell r="M54">
            <v>117</v>
          </cell>
        </row>
        <row r="55">
          <cell r="C55">
            <v>205</v>
          </cell>
          <cell r="D55">
            <v>137</v>
          </cell>
          <cell r="E55">
            <v>1</v>
          </cell>
          <cell r="F55">
            <v>1</v>
          </cell>
          <cell r="G55">
            <v>64</v>
          </cell>
          <cell r="H55">
            <v>0.4</v>
          </cell>
          <cell r="I55">
            <v>0.2</v>
          </cell>
          <cell r="J55">
            <v>0</v>
          </cell>
          <cell r="K55">
            <v>1</v>
          </cell>
          <cell r="L55">
            <v>67.600000000000009</v>
          </cell>
          <cell r="M55">
            <v>68</v>
          </cell>
        </row>
        <row r="56">
          <cell r="C56">
            <v>115</v>
          </cell>
          <cell r="D56">
            <v>55</v>
          </cell>
          <cell r="E56">
            <v>1</v>
          </cell>
          <cell r="F56">
            <v>1</v>
          </cell>
          <cell r="G56">
            <v>52</v>
          </cell>
          <cell r="H56">
            <v>2</v>
          </cell>
          <cell r="I56">
            <v>0.2</v>
          </cell>
          <cell r="J56">
            <v>0</v>
          </cell>
          <cell r="K56">
            <v>3</v>
          </cell>
          <cell r="L56">
            <v>59.2</v>
          </cell>
          <cell r="M56">
            <v>60</v>
          </cell>
        </row>
        <row r="57">
          <cell r="C57">
            <v>491</v>
          </cell>
          <cell r="D57">
            <v>197</v>
          </cell>
          <cell r="E57">
            <v>5</v>
          </cell>
          <cell r="F57">
            <v>15</v>
          </cell>
          <cell r="G57">
            <v>211</v>
          </cell>
          <cell r="H57">
            <v>4</v>
          </cell>
          <cell r="I57">
            <v>29</v>
          </cell>
          <cell r="J57">
            <v>1</v>
          </cell>
          <cell r="K57">
            <v>30</v>
          </cell>
          <cell r="L57">
            <v>295</v>
          </cell>
          <cell r="M57">
            <v>294</v>
          </cell>
        </row>
        <row r="58">
          <cell r="C58">
            <v>75</v>
          </cell>
          <cell r="D58">
            <v>30</v>
          </cell>
          <cell r="E58">
            <v>0.4</v>
          </cell>
          <cell r="F58">
            <v>1</v>
          </cell>
          <cell r="G58">
            <v>27</v>
          </cell>
          <cell r="H58">
            <v>1</v>
          </cell>
          <cell r="I58">
            <v>2</v>
          </cell>
          <cell r="J58">
            <v>0</v>
          </cell>
          <cell r="K58">
            <v>14</v>
          </cell>
          <cell r="L58">
            <v>45.4</v>
          </cell>
          <cell r="M58">
            <v>45</v>
          </cell>
        </row>
        <row r="59">
          <cell r="C59">
            <v>87</v>
          </cell>
          <cell r="D59">
            <v>40</v>
          </cell>
          <cell r="E59">
            <v>1</v>
          </cell>
          <cell r="F59">
            <v>2</v>
          </cell>
          <cell r="G59">
            <v>40</v>
          </cell>
          <cell r="H59">
            <v>1</v>
          </cell>
          <cell r="I59">
            <v>0.1</v>
          </cell>
          <cell r="J59">
            <v>0</v>
          </cell>
          <cell r="K59">
            <v>3</v>
          </cell>
          <cell r="L59">
            <v>47.1</v>
          </cell>
          <cell r="M59">
            <v>47</v>
          </cell>
        </row>
        <row r="60">
          <cell r="C60">
            <v>13228</v>
          </cell>
          <cell r="D60">
            <v>3102</v>
          </cell>
          <cell r="E60">
            <v>305</v>
          </cell>
          <cell r="F60">
            <v>130</v>
          </cell>
          <cell r="G60">
            <v>6630</v>
          </cell>
          <cell r="H60">
            <v>113</v>
          </cell>
          <cell r="I60">
            <v>1142</v>
          </cell>
          <cell r="J60">
            <v>438</v>
          </cell>
          <cell r="K60">
            <v>1368</v>
          </cell>
          <cell r="L60">
            <v>10126</v>
          </cell>
          <cell r="M60">
            <v>10126</v>
          </cell>
        </row>
        <row r="61">
          <cell r="C61">
            <v>13228</v>
          </cell>
          <cell r="D61">
            <v>3102</v>
          </cell>
          <cell r="E61">
            <v>305</v>
          </cell>
          <cell r="F61">
            <v>129.4</v>
          </cell>
          <cell r="G61">
            <v>6631</v>
          </cell>
          <cell r="H61">
            <v>113</v>
          </cell>
          <cell r="I61">
            <v>1143.6500000000001</v>
          </cell>
          <cell r="J61">
            <v>438</v>
          </cell>
          <cell r="K61">
            <v>1366.5</v>
          </cell>
          <cell r="L61">
            <v>10126.550000000001</v>
          </cell>
          <cell r="M61">
            <v>10126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98_01p1"/>
    </sheetNames>
    <sheetDataSet>
      <sheetData sheetId="0" refreshError="1">
        <row r="80">
          <cell r="AT80">
            <v>14.84</v>
          </cell>
          <cell r="AU80">
            <v>4.0999999999999996</v>
          </cell>
          <cell r="AV80">
            <v>2.7</v>
          </cell>
          <cell r="AW80">
            <v>2.95</v>
          </cell>
          <cell r="AX80">
            <v>7.47</v>
          </cell>
          <cell r="AY80">
            <v>1.43</v>
          </cell>
          <cell r="AZ80">
            <v>6.6</v>
          </cell>
        </row>
        <row r="81">
          <cell r="AT81">
            <v>15.3</v>
          </cell>
          <cell r="AU81">
            <v>5.38</v>
          </cell>
          <cell r="AV81">
            <v>2.68</v>
          </cell>
          <cell r="AW81">
            <v>3.22</v>
          </cell>
          <cell r="AX81">
            <v>6.77</v>
          </cell>
          <cell r="AY81">
            <v>1.71</v>
          </cell>
          <cell r="AZ81">
            <v>0</v>
          </cell>
        </row>
        <row r="82">
          <cell r="AT82">
            <v>12.8</v>
          </cell>
          <cell r="AU82">
            <v>3.64</v>
          </cell>
          <cell r="AV82">
            <v>2.82</v>
          </cell>
          <cell r="AW82">
            <v>3.33</v>
          </cell>
          <cell r="AX82">
            <v>5.93</v>
          </cell>
          <cell r="AY82">
            <v>2.06</v>
          </cell>
          <cell r="AZ82">
            <v>0</v>
          </cell>
        </row>
        <row r="83">
          <cell r="AT83">
            <v>14.33</v>
          </cell>
          <cell r="AU83">
            <v>4.5</v>
          </cell>
          <cell r="AV83">
            <v>2.8</v>
          </cell>
          <cell r="AW83">
            <v>3.5</v>
          </cell>
          <cell r="AX83">
            <v>8.35</v>
          </cell>
          <cell r="AY83">
            <v>2</v>
          </cell>
          <cell r="AZ83">
            <v>0</v>
          </cell>
        </row>
        <row r="84">
          <cell r="AT84">
            <v>20.309999999999999</v>
          </cell>
          <cell r="AU84">
            <v>5.14</v>
          </cell>
          <cell r="AV84">
            <v>2.77</v>
          </cell>
          <cell r="AW84">
            <v>3.81</v>
          </cell>
          <cell r="AX84">
            <v>6.62</v>
          </cell>
          <cell r="AY84">
            <v>2</v>
          </cell>
          <cell r="AZ84">
            <v>0</v>
          </cell>
        </row>
        <row r="85">
          <cell r="AT85">
            <v>19.57</v>
          </cell>
          <cell r="AU85">
            <v>4.63</v>
          </cell>
          <cell r="AV85">
            <v>2.6</v>
          </cell>
          <cell r="AW85">
            <v>3.64</v>
          </cell>
          <cell r="AX85">
            <v>8.25</v>
          </cell>
          <cell r="AY85">
            <v>0</v>
          </cell>
          <cell r="AZ85">
            <v>0</v>
          </cell>
        </row>
        <row r="86">
          <cell r="AT86">
            <v>15.11</v>
          </cell>
          <cell r="AU86">
            <v>4.5999999999999996</v>
          </cell>
          <cell r="AV86">
            <v>2.6</v>
          </cell>
          <cell r="AW86">
            <v>2.97</v>
          </cell>
          <cell r="AX86">
            <v>7.18</v>
          </cell>
          <cell r="AY86">
            <v>2</v>
          </cell>
          <cell r="AZ86">
            <v>0</v>
          </cell>
        </row>
        <row r="87">
          <cell r="AT87">
            <v>11.49</v>
          </cell>
          <cell r="AU87">
            <v>4.29</v>
          </cell>
          <cell r="AV87">
            <v>2.37</v>
          </cell>
          <cell r="AW87">
            <v>2.7</v>
          </cell>
          <cell r="AX87">
            <v>7.28</v>
          </cell>
          <cell r="AY87">
            <v>1.75</v>
          </cell>
          <cell r="AZ87">
            <v>0</v>
          </cell>
        </row>
        <row r="88">
          <cell r="AT88">
            <v>19.21</v>
          </cell>
          <cell r="AU88">
            <v>4.2699999999999996</v>
          </cell>
          <cell r="AV88">
            <v>2.6</v>
          </cell>
          <cell r="AW88">
            <v>3.87</v>
          </cell>
          <cell r="AX88">
            <v>8.6</v>
          </cell>
          <cell r="AY88">
            <v>2</v>
          </cell>
          <cell r="AZ88">
            <v>0</v>
          </cell>
        </row>
        <row r="89">
          <cell r="AT89">
            <v>11.34</v>
          </cell>
          <cell r="AU89">
            <v>3.85</v>
          </cell>
          <cell r="AV89">
            <v>2.2999999999999998</v>
          </cell>
          <cell r="AW89">
            <v>2.4700000000000002</v>
          </cell>
          <cell r="AX89">
            <v>4.29</v>
          </cell>
          <cell r="AY89">
            <v>2</v>
          </cell>
          <cell r="AZ89">
            <v>0</v>
          </cell>
        </row>
        <row r="90">
          <cell r="AT90">
            <v>10.53</v>
          </cell>
          <cell r="AU90">
            <v>4.68</v>
          </cell>
          <cell r="AV90">
            <v>2.67</v>
          </cell>
          <cell r="AW90">
            <v>2.38</v>
          </cell>
          <cell r="AX90">
            <v>4.4400000000000004</v>
          </cell>
          <cell r="AY90">
            <v>1.66</v>
          </cell>
          <cell r="AZ90">
            <v>4.51</v>
          </cell>
        </row>
        <row r="91">
          <cell r="AT91">
            <v>15.48</v>
          </cell>
          <cell r="AU91">
            <v>5.59</v>
          </cell>
          <cell r="AV91">
            <v>2.5499999999999998</v>
          </cell>
          <cell r="AW91">
            <v>3.48</v>
          </cell>
          <cell r="AX91">
            <v>9.06</v>
          </cell>
          <cell r="AY91">
            <v>2.5</v>
          </cell>
          <cell r="AZ91">
            <v>0</v>
          </cell>
        </row>
        <row r="92">
          <cell r="AT92">
            <v>13.33</v>
          </cell>
          <cell r="AU92">
            <v>4.7699999999999996</v>
          </cell>
          <cell r="AV92">
            <v>2.92</v>
          </cell>
          <cell r="AW92">
            <v>2.95</v>
          </cell>
          <cell r="AX92">
            <v>8.57</v>
          </cell>
          <cell r="AY92">
            <v>1.6</v>
          </cell>
          <cell r="AZ92">
            <v>2.48</v>
          </cell>
        </row>
        <row r="93">
          <cell r="AT93">
            <v>9.34</v>
          </cell>
          <cell r="AU93">
            <v>5.0999999999999996</v>
          </cell>
          <cell r="AV93">
            <v>2.2200000000000002</v>
          </cell>
          <cell r="AW93">
            <v>2.89</v>
          </cell>
          <cell r="AX93">
            <v>7.5</v>
          </cell>
          <cell r="AY93">
            <v>1.42</v>
          </cell>
          <cell r="AZ93">
            <v>4.93</v>
          </cell>
        </row>
        <row r="94">
          <cell r="AT94">
            <v>16.66</v>
          </cell>
          <cell r="AU94">
            <v>5.0599999999999996</v>
          </cell>
          <cell r="AV94">
            <v>2.85</v>
          </cell>
          <cell r="AW94">
            <v>3.49</v>
          </cell>
          <cell r="AX94">
            <v>8.83</v>
          </cell>
          <cell r="AY94">
            <v>2.61</v>
          </cell>
          <cell r="AZ94">
            <v>7.35</v>
          </cell>
        </row>
        <row r="95">
          <cell r="AT95">
            <v>17.329999999999998</v>
          </cell>
          <cell r="AU95">
            <v>5.13</v>
          </cell>
          <cell r="AV95">
            <v>2.36</v>
          </cell>
          <cell r="AW95">
            <v>3.66</v>
          </cell>
          <cell r="AX95">
            <v>7.65</v>
          </cell>
          <cell r="AY95">
            <v>1.57</v>
          </cell>
          <cell r="AZ95">
            <v>0</v>
          </cell>
        </row>
        <row r="96">
          <cell r="AT96">
            <v>16.14</v>
          </cell>
          <cell r="AU96">
            <v>4.6900000000000004</v>
          </cell>
          <cell r="AV96">
            <v>2.5</v>
          </cell>
          <cell r="AW96">
            <v>3.71</v>
          </cell>
          <cell r="AX96">
            <v>7.9</v>
          </cell>
          <cell r="AY96">
            <v>2</v>
          </cell>
          <cell r="AZ96">
            <v>0</v>
          </cell>
        </row>
        <row r="97">
          <cell r="AT97">
            <v>15.25</v>
          </cell>
          <cell r="AU97">
            <v>5.49</v>
          </cell>
          <cell r="AV97">
            <v>2.93</v>
          </cell>
          <cell r="AW97">
            <v>3.4</v>
          </cell>
          <cell r="AX97">
            <v>8</v>
          </cell>
          <cell r="AY97">
            <v>2</v>
          </cell>
          <cell r="AZ97">
            <v>5</v>
          </cell>
        </row>
        <row r="98">
          <cell r="AT98">
            <v>14.44</v>
          </cell>
          <cell r="AU98">
            <v>4.84</v>
          </cell>
          <cell r="AV98">
            <v>2.79</v>
          </cell>
          <cell r="AW98">
            <v>3.24</v>
          </cell>
          <cell r="AX98">
            <v>8.0500000000000007</v>
          </cell>
          <cell r="AY98">
            <v>1.79</v>
          </cell>
          <cell r="AZ98">
            <v>5</v>
          </cell>
        </row>
        <row r="99">
          <cell r="AT99">
            <v>17.920000000000002</v>
          </cell>
          <cell r="AU99">
            <v>5.41</v>
          </cell>
          <cell r="AV99">
            <v>2.6</v>
          </cell>
          <cell r="AW99">
            <v>4.1900000000000004</v>
          </cell>
          <cell r="AX99">
            <v>7.82</v>
          </cell>
          <cell r="AY99">
            <v>2</v>
          </cell>
          <cell r="AZ99">
            <v>0</v>
          </cell>
        </row>
        <row r="100">
          <cell r="AT100">
            <v>18.73</v>
          </cell>
          <cell r="AU100">
            <v>4.3</v>
          </cell>
          <cell r="AV100">
            <v>2.6</v>
          </cell>
          <cell r="AW100">
            <v>3.89</v>
          </cell>
          <cell r="AX100">
            <v>12.94</v>
          </cell>
          <cell r="AY100">
            <v>2</v>
          </cell>
          <cell r="AZ100">
            <v>0</v>
          </cell>
        </row>
        <row r="101">
          <cell r="AT101">
            <v>12.95</v>
          </cell>
          <cell r="AU101">
            <v>4.5</v>
          </cell>
          <cell r="AV101">
            <v>2.4900000000000002</v>
          </cell>
          <cell r="AW101">
            <v>2.75</v>
          </cell>
          <cell r="AX101">
            <v>4.54</v>
          </cell>
          <cell r="AY101">
            <v>1.56</v>
          </cell>
          <cell r="AZ101">
            <v>4.8899999999999997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98_01p1"/>
    </sheetNames>
    <sheetDataSet>
      <sheetData sheetId="0" refreshError="1">
        <row r="76">
          <cell r="N76">
            <v>2.4883720930232558</v>
          </cell>
        </row>
        <row r="77">
          <cell r="N77">
            <v>2</v>
          </cell>
        </row>
        <row r="78">
          <cell r="N78">
            <v>2.3333333333333335</v>
          </cell>
        </row>
        <row r="79">
          <cell r="N79">
            <v>2.33</v>
          </cell>
        </row>
        <row r="80">
          <cell r="N80">
            <v>0</v>
          </cell>
        </row>
        <row r="81">
          <cell r="N81">
            <v>2.5</v>
          </cell>
        </row>
        <row r="82">
          <cell r="N82">
            <v>2.129032258064516</v>
          </cell>
        </row>
        <row r="83">
          <cell r="N83">
            <v>2.1297468354430378</v>
          </cell>
        </row>
        <row r="84">
          <cell r="N84">
            <v>2.5</v>
          </cell>
        </row>
        <row r="85">
          <cell r="N85">
            <v>2.9220779220779223</v>
          </cell>
        </row>
        <row r="86">
          <cell r="N86">
            <v>3.5084427767354596</v>
          </cell>
        </row>
        <row r="87">
          <cell r="N87">
            <v>4.2</v>
          </cell>
        </row>
        <row r="88">
          <cell r="N88">
            <v>1.3571428571428572</v>
          </cell>
        </row>
        <row r="89">
          <cell r="N89">
            <v>5.3417721518987342</v>
          </cell>
        </row>
        <row r="90">
          <cell r="N90">
            <v>12.925925925925926</v>
          </cell>
        </row>
        <row r="91">
          <cell r="N91">
            <v>7.8571428571428568</v>
          </cell>
        </row>
        <row r="92">
          <cell r="N92">
            <v>22</v>
          </cell>
        </row>
        <row r="93">
          <cell r="N93">
            <v>0.41514360313315929</v>
          </cell>
        </row>
        <row r="94">
          <cell r="N94">
            <v>3.8518518518518516</v>
          </cell>
        </row>
        <row r="95">
          <cell r="N95">
            <v>4.666666666666667</v>
          </cell>
        </row>
        <row r="96">
          <cell r="N96">
            <v>3.6</v>
          </cell>
        </row>
        <row r="97">
          <cell r="N97">
            <v>2.629139072847682</v>
          </cell>
        </row>
        <row r="98">
          <cell r="N98">
            <v>2.6263128800442233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vid Belzer" id="{ADE5F97A-ADF0-4033-8824-E808B4967B52}" userId="dae1ced790c3d9a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18" dT="2019-12-29T23:50:01.92" personId="{ADE5F97A-ADF0-4033-8824-E808B4967B52}" id="{5602317C-7801-476C-8E48-08F8529620D5}">
    <text>Here using Table 3.2, all data converted to TBTU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55"/>
  <sheetViews>
    <sheetView topLeftCell="A16" workbookViewId="0">
      <selection activeCell="C49" sqref="C49"/>
    </sheetView>
  </sheetViews>
  <sheetFormatPr defaultRowHeight="12.75" x14ac:dyDescent="0.2"/>
  <cols>
    <col min="2" max="2" width="27.140625" customWidth="1"/>
    <col min="3" max="3" width="52.140625" customWidth="1"/>
  </cols>
  <sheetData>
    <row r="3" spans="2:3" ht="15" x14ac:dyDescent="0.2">
      <c r="B3" s="116" t="s">
        <v>281</v>
      </c>
    </row>
    <row r="6" spans="2:3" ht="15.75" x14ac:dyDescent="0.25">
      <c r="B6" s="19" t="s">
        <v>282</v>
      </c>
    </row>
    <row r="7" spans="2:3" x14ac:dyDescent="0.2">
      <c r="B7" t="s">
        <v>342</v>
      </c>
    </row>
    <row r="9" spans="2:3" x14ac:dyDescent="0.2">
      <c r="B9" t="s">
        <v>304</v>
      </c>
      <c r="C9" t="s">
        <v>289</v>
      </c>
    </row>
    <row r="10" spans="2:3" x14ac:dyDescent="0.2">
      <c r="C10" t="s">
        <v>293</v>
      </c>
    </row>
    <row r="11" spans="2:3" x14ac:dyDescent="0.2">
      <c r="C11" t="s">
        <v>305</v>
      </c>
    </row>
    <row r="12" spans="2:3" x14ac:dyDescent="0.2">
      <c r="C12" t="s">
        <v>306</v>
      </c>
    </row>
    <row r="13" spans="2:3" x14ac:dyDescent="0.2">
      <c r="C13" t="s">
        <v>307</v>
      </c>
    </row>
    <row r="14" spans="2:3" x14ac:dyDescent="0.2">
      <c r="C14" t="s">
        <v>308</v>
      </c>
    </row>
    <row r="17" spans="2:3" x14ac:dyDescent="0.2">
      <c r="B17" t="s">
        <v>288</v>
      </c>
      <c r="C17" t="s">
        <v>289</v>
      </c>
    </row>
    <row r="18" spans="2:3" x14ac:dyDescent="0.2">
      <c r="C18" t="s">
        <v>293</v>
      </c>
    </row>
    <row r="19" spans="2:3" x14ac:dyDescent="0.2">
      <c r="C19" t="s">
        <v>294</v>
      </c>
    </row>
    <row r="20" spans="2:3" x14ac:dyDescent="0.2">
      <c r="C20" t="s">
        <v>290</v>
      </c>
    </row>
    <row r="21" spans="2:3" x14ac:dyDescent="0.2">
      <c r="C21" t="s">
        <v>291</v>
      </c>
    </row>
    <row r="22" spans="2:3" x14ac:dyDescent="0.2">
      <c r="C22" t="s">
        <v>292</v>
      </c>
    </row>
    <row r="23" spans="2:3" x14ac:dyDescent="0.2">
      <c r="C23" t="s">
        <v>295</v>
      </c>
    </row>
    <row r="25" spans="2:3" x14ac:dyDescent="0.2">
      <c r="B25" t="s">
        <v>309</v>
      </c>
      <c r="C25" t="s">
        <v>310</v>
      </c>
    </row>
    <row r="26" spans="2:3" x14ac:dyDescent="0.2">
      <c r="C26" t="s">
        <v>311</v>
      </c>
    </row>
    <row r="27" spans="2:3" x14ac:dyDescent="0.2">
      <c r="C27" t="s">
        <v>312</v>
      </c>
    </row>
    <row r="29" spans="2:3" x14ac:dyDescent="0.2">
      <c r="B29" t="s">
        <v>313</v>
      </c>
      <c r="C29" t="s">
        <v>314</v>
      </c>
    </row>
    <row r="30" spans="2:3" x14ac:dyDescent="0.2">
      <c r="C30" t="s">
        <v>315</v>
      </c>
    </row>
    <row r="31" spans="2:3" x14ac:dyDescent="0.2">
      <c r="C31" t="s">
        <v>316</v>
      </c>
    </row>
    <row r="33" spans="2:3" x14ac:dyDescent="0.2">
      <c r="B33" t="s">
        <v>317</v>
      </c>
      <c r="C33" t="s">
        <v>318</v>
      </c>
    </row>
    <row r="34" spans="2:3" x14ac:dyDescent="0.2">
      <c r="C34" t="s">
        <v>319</v>
      </c>
    </row>
    <row r="38" spans="2:3" x14ac:dyDescent="0.2">
      <c r="B38" t="s">
        <v>283</v>
      </c>
      <c r="C38" t="s">
        <v>297</v>
      </c>
    </row>
    <row r="39" spans="2:3" x14ac:dyDescent="0.2">
      <c r="C39" t="s">
        <v>284</v>
      </c>
    </row>
    <row r="40" spans="2:3" x14ac:dyDescent="0.2">
      <c r="C40" t="s">
        <v>285</v>
      </c>
    </row>
    <row r="41" spans="2:3" x14ac:dyDescent="0.2">
      <c r="C41" t="s">
        <v>302</v>
      </c>
    </row>
    <row r="42" spans="2:3" x14ac:dyDescent="0.2">
      <c r="C42" t="s">
        <v>303</v>
      </c>
    </row>
    <row r="44" spans="2:3" x14ac:dyDescent="0.2">
      <c r="B44" t="s">
        <v>296</v>
      </c>
      <c r="C44" t="s">
        <v>297</v>
      </c>
    </row>
    <row r="45" spans="2:3" x14ac:dyDescent="0.2">
      <c r="C45" t="s">
        <v>298</v>
      </c>
    </row>
    <row r="46" spans="2:3" x14ac:dyDescent="0.2">
      <c r="C46" t="s">
        <v>299</v>
      </c>
    </row>
    <row r="47" spans="2:3" x14ac:dyDescent="0.2">
      <c r="C47" t="s">
        <v>300</v>
      </c>
    </row>
    <row r="49" spans="2:3" ht="15.75" x14ac:dyDescent="0.25">
      <c r="B49" s="19" t="s">
        <v>325</v>
      </c>
      <c r="C49" t="s">
        <v>326</v>
      </c>
    </row>
    <row r="50" spans="2:3" x14ac:dyDescent="0.2">
      <c r="C50" t="s">
        <v>327</v>
      </c>
    </row>
    <row r="51" spans="2:3" x14ac:dyDescent="0.2">
      <c r="C51" t="s">
        <v>328</v>
      </c>
    </row>
    <row r="52" spans="2:3" x14ac:dyDescent="0.2">
      <c r="C52" t="s">
        <v>330</v>
      </c>
    </row>
    <row r="53" spans="2:3" x14ac:dyDescent="0.2">
      <c r="C53" t="s">
        <v>329</v>
      </c>
    </row>
    <row r="54" spans="2:3" x14ac:dyDescent="0.2">
      <c r="C54" t="s">
        <v>331</v>
      </c>
    </row>
    <row r="55" spans="2:3" x14ac:dyDescent="0.2">
      <c r="C55" t="s">
        <v>332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4:AQ449"/>
  <sheetViews>
    <sheetView topLeftCell="O339" workbookViewId="0">
      <selection activeCell="Q345" sqref="Q345"/>
    </sheetView>
  </sheetViews>
  <sheetFormatPr defaultRowHeight="12.75" x14ac:dyDescent="0.2"/>
  <cols>
    <col min="5" max="5" width="9.85546875" customWidth="1"/>
    <col min="34" max="34" width="10.5703125" bestFit="1" customWidth="1"/>
    <col min="36" max="36" width="10.5703125" bestFit="1" customWidth="1"/>
  </cols>
  <sheetData>
    <row r="4" spans="4:36" x14ac:dyDescent="0.2">
      <c r="Q4" t="s">
        <v>344</v>
      </c>
      <c r="Z4" t="s">
        <v>110</v>
      </c>
    </row>
    <row r="5" spans="4:36" x14ac:dyDescent="0.2">
      <c r="Z5" t="s">
        <v>196</v>
      </c>
    </row>
    <row r="6" spans="4:36" x14ac:dyDescent="0.2">
      <c r="D6" t="s">
        <v>82</v>
      </c>
      <c r="AH6" s="33" t="s">
        <v>301</v>
      </c>
    </row>
    <row r="7" spans="4:36" x14ac:dyDescent="0.2">
      <c r="F7" t="s">
        <v>83</v>
      </c>
      <c r="G7" t="s">
        <v>84</v>
      </c>
      <c r="H7" t="s">
        <v>62</v>
      </c>
      <c r="I7" t="s">
        <v>69</v>
      </c>
      <c r="K7" t="s">
        <v>83</v>
      </c>
      <c r="L7" t="s">
        <v>84</v>
      </c>
      <c r="M7" t="s">
        <v>62</v>
      </c>
      <c r="N7" t="s">
        <v>69</v>
      </c>
      <c r="Q7">
        <v>1998</v>
      </c>
    </row>
    <row r="8" spans="4:36" ht="38.25" x14ac:dyDescent="0.2">
      <c r="Q8" t="s">
        <v>53</v>
      </c>
      <c r="R8" t="s">
        <v>54</v>
      </c>
      <c r="S8" t="s">
        <v>67</v>
      </c>
      <c r="T8" t="s">
        <v>68</v>
      </c>
      <c r="U8" t="s">
        <v>71</v>
      </c>
      <c r="V8" t="s">
        <v>56</v>
      </c>
      <c r="W8" t="s">
        <v>69</v>
      </c>
      <c r="Z8" s="35" t="s">
        <v>53</v>
      </c>
      <c r="AA8" s="35" t="s">
        <v>54</v>
      </c>
      <c r="AB8" s="35" t="s">
        <v>67</v>
      </c>
      <c r="AC8" s="35" t="s">
        <v>68</v>
      </c>
      <c r="AD8" s="35" t="s">
        <v>71</v>
      </c>
      <c r="AE8" s="35" t="s">
        <v>56</v>
      </c>
      <c r="AF8" s="35" t="s">
        <v>69</v>
      </c>
      <c r="AH8" s="77" t="s">
        <v>179</v>
      </c>
      <c r="AI8" s="35" t="s">
        <v>340</v>
      </c>
      <c r="AJ8" s="35"/>
    </row>
    <row r="9" spans="4:36" x14ac:dyDescent="0.2">
      <c r="D9" s="27">
        <f>[13]Quantity_shares!BB235</f>
        <v>1998</v>
      </c>
      <c r="E9" s="27" t="str">
        <f>[13]Quantity_shares!BC235</f>
        <v>311</v>
      </c>
      <c r="F9" s="28">
        <f>[13]Quantity_shares!BD235</f>
        <v>0.68351383874849581</v>
      </c>
      <c r="G9" s="28">
        <f>[13]Quantity_shares!BE235</f>
        <v>3.6101083032490974E-2</v>
      </c>
      <c r="H9" s="28">
        <f>[13]Quantity_shares!BF235</f>
        <v>0.1552346570397112</v>
      </c>
      <c r="I9" s="28">
        <f>[13]Quantity_shares!BG235</f>
        <v>0.12515042117930206</v>
      </c>
      <c r="K9" s="17">
        <f>S9</f>
        <v>0.73007712082262211</v>
      </c>
      <c r="L9" s="17">
        <f>Q9+R9</f>
        <v>3.8560411311053984E-2</v>
      </c>
      <c r="M9" s="17">
        <f>U9+V9</f>
        <v>0.16838046272493573</v>
      </c>
      <c r="N9" s="17">
        <f>T9+W9</f>
        <v>6.2982005141388173E-2</v>
      </c>
      <c r="O9" t="s">
        <v>10</v>
      </c>
      <c r="P9">
        <v>1998</v>
      </c>
      <c r="Q9" s="31">
        <f>MECS_data!AR5</f>
        <v>1.7994858611825194E-2</v>
      </c>
      <c r="R9" s="31">
        <f>MECS_data!AS5</f>
        <v>2.056555269922879E-2</v>
      </c>
      <c r="S9" s="31">
        <f>MECS_data!AT5</f>
        <v>0.73007712082262211</v>
      </c>
      <c r="T9" s="31">
        <f>MECS_data!AU5</f>
        <v>6.4267352185089976E-3</v>
      </c>
      <c r="U9" s="31">
        <f>MECS_data!AV5</f>
        <v>0.16580976863753213</v>
      </c>
      <c r="V9" s="31">
        <f>MECS_data!AW5</f>
        <v>2.5706940874035988E-3</v>
      </c>
      <c r="W9" s="31">
        <f>MECS_data!AX5</f>
        <v>5.6555269922879174E-2</v>
      </c>
      <c r="X9" s="32">
        <f>MECS_data!AY5</f>
        <v>1</v>
      </c>
      <c r="Z9" s="4">
        <f>'[25]Predicted Residual Prices'!AS282</f>
        <v>2.7</v>
      </c>
      <c r="AA9" s="4">
        <f>'[26]Predicted Distillate Prices'!AS282</f>
        <v>4.0999999999999996</v>
      </c>
      <c r="AB9" s="4">
        <f>'[27]Predicted Gas Prices'!AR282</f>
        <v>2.95</v>
      </c>
      <c r="AC9" s="4">
        <f>'[28]Predicted LPG Prices'!AS282</f>
        <v>7.47</v>
      </c>
      <c r="AD9" s="4">
        <f>'[29]Predicted Coal Prices'!AS282</f>
        <v>1.43</v>
      </c>
      <c r="AE9" s="4">
        <f>'[30]Predicted Coke Prices'!AS240</f>
        <v>6.6</v>
      </c>
      <c r="AF9" s="4">
        <f>'[31]Predicted Other Prices'!AT240</f>
        <v>2.4883720930232558</v>
      </c>
      <c r="AH9" s="115">
        <f t="shared" ref="AH9:AH72" si="0">SUMPRODUCT(Q9:W9,Z9:AF9)</f>
        <v>2.7294452083457879</v>
      </c>
      <c r="AI9" s="4">
        <f>'[32]Quantity Shares_1998 forward'!AH9</f>
        <v>2.7294452083457879</v>
      </c>
    </row>
    <row r="10" spans="4:36" x14ac:dyDescent="0.2">
      <c r="D10" s="27">
        <f>[13]Quantity_shares!BB236</f>
        <v>1998</v>
      </c>
      <c r="E10" s="27" t="str">
        <f>[13]Quantity_shares!BC236</f>
        <v>312</v>
      </c>
      <c r="F10" s="28">
        <f>[13]Quantity_shares!BD236</f>
        <v>0.54216867469879515</v>
      </c>
      <c r="G10" s="28">
        <f>[13]Quantity_shares!BE236</f>
        <v>4.8192771084337352E-2</v>
      </c>
      <c r="H10" s="28">
        <f>[13]Quantity_shares!BF236</f>
        <v>0.3493975903614458</v>
      </c>
      <c r="I10" s="28">
        <f>[13]Quantity_shares!BG236</f>
        <v>6.0240963855421686E-2</v>
      </c>
      <c r="K10" s="17">
        <f t="shared" ref="K10:K29" si="1">S10</f>
        <v>0.54878048780487809</v>
      </c>
      <c r="L10" s="17">
        <f t="shared" ref="L10:L29" si="2">Q10+R10</f>
        <v>4.878048780487805E-2</v>
      </c>
      <c r="M10" s="17">
        <f t="shared" ref="M10:M29" si="3">U10+V10</f>
        <v>0.35365853658536583</v>
      </c>
      <c r="N10" s="17">
        <f t="shared" ref="N10:N29" si="4">T10+W10</f>
        <v>4.878048780487805E-2</v>
      </c>
      <c r="O10" t="s">
        <v>12</v>
      </c>
      <c r="Q10" s="31">
        <f>MECS_data!AR6</f>
        <v>2.4390243902439025E-2</v>
      </c>
      <c r="R10" s="31">
        <f>MECS_data!AS6</f>
        <v>2.4390243902439025E-2</v>
      </c>
      <c r="S10" s="31">
        <f>MECS_data!AT6</f>
        <v>0.54878048780487809</v>
      </c>
      <c r="T10" s="31">
        <f>MECS_data!AU6</f>
        <v>1.2195121951219513E-2</v>
      </c>
      <c r="U10" s="31">
        <f>MECS_data!AV6</f>
        <v>0.35365853658536583</v>
      </c>
      <c r="V10" s="31">
        <f>MECS_data!AW6</f>
        <v>0</v>
      </c>
      <c r="W10" s="31">
        <f>MECS_data!AX6</f>
        <v>3.6585365853658534E-2</v>
      </c>
      <c r="X10" s="32">
        <f>MECS_data!AY6</f>
        <v>1</v>
      </c>
      <c r="Z10" s="4">
        <f>'[25]Predicted Residual Prices'!AS283</f>
        <v>2.68</v>
      </c>
      <c r="AA10" s="4">
        <f>'[26]Predicted Distillate Prices'!AS283</f>
        <v>5.38</v>
      </c>
      <c r="AB10" s="4">
        <f>'[27]Predicted Gas Prices'!AR283</f>
        <v>3.22</v>
      </c>
      <c r="AC10" s="4">
        <f>'[28]Predicted LPG Prices'!AS283</f>
        <v>6.77</v>
      </c>
      <c r="AD10" s="4">
        <f>'[29]Predicted Coal Prices'!AS283</f>
        <v>1.71</v>
      </c>
      <c r="AE10" s="4">
        <f>'[30]Predicted Coke Prices'!AS241</f>
        <v>0</v>
      </c>
      <c r="AF10" s="4">
        <f>'[31]Predicted Other Prices'!AT241</f>
        <v>2</v>
      </c>
      <c r="AH10" s="115">
        <f t="shared" si="0"/>
        <v>2.7241463414634151</v>
      </c>
      <c r="AI10" s="4">
        <f>'[32]Quantity Shares_1998 forward'!AH10</f>
        <v>2.7241463414634151</v>
      </c>
    </row>
    <row r="11" spans="4:36" x14ac:dyDescent="0.2">
      <c r="D11" s="27">
        <f>[13]Quantity_shares!BB237</f>
        <v>1998</v>
      </c>
      <c r="E11" s="27" t="str">
        <f>[13]Quantity_shares!BC237</f>
        <v>313</v>
      </c>
      <c r="F11" s="28">
        <f>[13]Quantity_shares!BD237</f>
        <v>0.67320261437908502</v>
      </c>
      <c r="G11" s="28">
        <f>[13]Quantity_shares!BE237</f>
        <v>0.10457516339869281</v>
      </c>
      <c r="H11" s="28">
        <f>[13]Quantity_shares!BF237</f>
        <v>0.13071895424836602</v>
      </c>
      <c r="I11" s="28">
        <f>[13]Quantity_shares!BG237</f>
        <v>9.1503267973856203E-2</v>
      </c>
      <c r="K11" s="17">
        <f t="shared" si="1"/>
        <v>0.65806451612903227</v>
      </c>
      <c r="L11" s="17">
        <f t="shared" si="2"/>
        <v>0.1032258064516129</v>
      </c>
      <c r="M11" s="17">
        <f t="shared" si="3"/>
        <v>0.12903225806451613</v>
      </c>
      <c r="N11" s="17">
        <f t="shared" si="4"/>
        <v>0.10967741935483871</v>
      </c>
      <c r="O11" t="s">
        <v>14</v>
      </c>
      <c r="Q11" s="31">
        <f>MECS_data!AR7</f>
        <v>7.7419354838709681E-2</v>
      </c>
      <c r="R11" s="31">
        <f>MECS_data!AS7</f>
        <v>2.5806451612903226E-2</v>
      </c>
      <c r="S11" s="31">
        <f>MECS_data!AT7</f>
        <v>0.65806451612903227</v>
      </c>
      <c r="T11" s="31">
        <f>MECS_data!AU7</f>
        <v>1.2903225806451613E-2</v>
      </c>
      <c r="U11" s="31">
        <f>MECS_data!AV7</f>
        <v>0.12903225806451613</v>
      </c>
      <c r="V11" s="31">
        <f>MECS_data!AW7</f>
        <v>0</v>
      </c>
      <c r="W11" s="31">
        <f>MECS_data!AX7</f>
        <v>9.6774193548387094E-2</v>
      </c>
      <c r="X11" s="32">
        <f>MECS_data!AY7</f>
        <v>1</v>
      </c>
      <c r="Z11" s="4">
        <f>'[25]Predicted Residual Prices'!AS284</f>
        <v>2.82</v>
      </c>
      <c r="AA11" s="4">
        <f>'[26]Predicted Distillate Prices'!AS284</f>
        <v>3.64</v>
      </c>
      <c r="AB11" s="4">
        <f>'[27]Predicted Gas Prices'!AR284</f>
        <v>3.33</v>
      </c>
      <c r="AC11" s="4">
        <f>'[28]Predicted LPG Prices'!AS284</f>
        <v>5.93</v>
      </c>
      <c r="AD11" s="4">
        <f>'[29]Predicted Coal Prices'!AS284</f>
        <v>2.06</v>
      </c>
      <c r="AE11" s="4">
        <f>'[30]Predicted Coke Prices'!AS242</f>
        <v>0</v>
      </c>
      <c r="AF11" s="4">
        <f>'[31]Predicted Other Prices'!AT242</f>
        <v>2.3333333333333335</v>
      </c>
      <c r="AH11" s="115">
        <f t="shared" si="0"/>
        <v>3.0717419354838711</v>
      </c>
      <c r="AI11" s="4">
        <f>'[32]Quantity Shares_1998 forward'!AH11</f>
        <v>3.0717419354838711</v>
      </c>
    </row>
    <row r="12" spans="4:36" x14ac:dyDescent="0.2">
      <c r="D12" s="27">
        <f>[13]Quantity_shares!BB238</f>
        <v>1998</v>
      </c>
      <c r="E12" s="27" t="str">
        <f>[13]Quantity_shares!BC238</f>
        <v>314</v>
      </c>
      <c r="F12" s="28">
        <f>[13]Quantity_shares!BD238</f>
        <v>0.84126888726289495</v>
      </c>
      <c r="G12" s="28">
        <f>[13]Quantity_shares!BE238</f>
        <v>2.2675873248157855E-2</v>
      </c>
      <c r="H12" s="28">
        <f>[13]Quantity_shares!BF238</f>
        <v>0.12093799065684188</v>
      </c>
      <c r="I12" s="28">
        <f>[13]Quantity_shares!BG238</f>
        <v>1.5117248832105235E-2</v>
      </c>
      <c r="K12" s="17">
        <f t="shared" si="1"/>
        <v>0.75235109717868331</v>
      </c>
      <c r="L12" s="17">
        <f t="shared" si="2"/>
        <v>0.14106583072100312</v>
      </c>
      <c r="M12" s="17">
        <f t="shared" si="3"/>
        <v>9.4043887147335414E-2</v>
      </c>
      <c r="N12" s="17">
        <f t="shared" si="4"/>
        <v>1.2539184952978056E-2</v>
      </c>
      <c r="O12" t="s">
        <v>16</v>
      </c>
      <c r="Q12" s="31">
        <f>MECS_data!AR8</f>
        <v>9.4043887147335414E-2</v>
      </c>
      <c r="R12" s="31">
        <f>MECS_data!AS8</f>
        <v>4.7021943573667707E-2</v>
      </c>
      <c r="S12" s="31">
        <f>MECS_data!AT8</f>
        <v>0.75235109717868331</v>
      </c>
      <c r="T12" s="31">
        <f>MECS_data!AU8</f>
        <v>9.4043887147335411E-3</v>
      </c>
      <c r="U12" s="31">
        <f>MECS_data!AV8</f>
        <v>9.4043887147335414E-2</v>
      </c>
      <c r="V12" s="31">
        <f>MECS_data!AW8</f>
        <v>0</v>
      </c>
      <c r="W12" s="31">
        <f>MECS_data!AX8</f>
        <v>3.134796238244514E-3</v>
      </c>
      <c r="X12" s="32">
        <f>MECS_data!AY8</f>
        <v>0.99999999999999989</v>
      </c>
      <c r="Z12" s="4">
        <f>'[25]Predicted Residual Prices'!AS285</f>
        <v>2.8</v>
      </c>
      <c r="AA12" s="4">
        <f>'[26]Predicted Distillate Prices'!AS285</f>
        <v>4.5</v>
      </c>
      <c r="AB12" s="4">
        <f>'[27]Predicted Gas Prices'!AR285</f>
        <v>3.5</v>
      </c>
      <c r="AC12" s="4">
        <f>'[28]Predicted LPG Prices'!AS285</f>
        <v>8.35</v>
      </c>
      <c r="AD12" s="4">
        <f>'[29]Predicted Coal Prices'!AS285</f>
        <v>2</v>
      </c>
      <c r="AE12" s="4">
        <f>'[30]Predicted Coke Prices'!AS243</f>
        <v>0</v>
      </c>
      <c r="AF12" s="4">
        <f>'[31]Predicted Other Prices'!AT243</f>
        <v>2.33</v>
      </c>
      <c r="AH12" s="115">
        <f t="shared" si="0"/>
        <v>3.3820689655172407</v>
      </c>
      <c r="AI12" s="4">
        <f>'[32]Quantity Shares_1998 forward'!AH12</f>
        <v>3.3820689655172407</v>
      </c>
    </row>
    <row r="13" spans="4:36" x14ac:dyDescent="0.2">
      <c r="D13" s="27">
        <f>[13]Quantity_shares!BB239</f>
        <v>1998</v>
      </c>
      <c r="E13" s="27" t="str">
        <f>[13]Quantity_shares!BC239</f>
        <v>315</v>
      </c>
      <c r="F13" s="28">
        <f>[13]Quantity_shares!BD239</f>
        <v>0.71875</v>
      </c>
      <c r="G13" s="28">
        <f>[13]Quantity_shares!BE239</f>
        <v>9.375E-2</v>
      </c>
      <c r="H13" s="28">
        <f>[13]Quantity_shares!BF239</f>
        <v>3.125E-2</v>
      </c>
      <c r="I13" s="28">
        <f>[13]Quantity_shares!BG239</f>
        <v>0.15625</v>
      </c>
      <c r="K13" s="17">
        <f t="shared" si="1"/>
        <v>0.74193548387096775</v>
      </c>
      <c r="L13" s="17">
        <f t="shared" si="2"/>
        <v>9.6774193548387094E-2</v>
      </c>
      <c r="M13" s="17">
        <f t="shared" si="3"/>
        <v>3.2258064516129031E-2</v>
      </c>
      <c r="N13" s="17">
        <f t="shared" si="4"/>
        <v>0.12903225806451613</v>
      </c>
      <c r="O13" t="s">
        <v>18</v>
      </c>
      <c r="Q13" s="31">
        <f>MECS_data!AR9</f>
        <v>6.4516129032258063E-2</v>
      </c>
      <c r="R13" s="31">
        <f>MECS_data!AS9</f>
        <v>3.2258064516129031E-2</v>
      </c>
      <c r="S13" s="31">
        <f>MECS_data!AT9</f>
        <v>0.74193548387096775</v>
      </c>
      <c r="T13" s="31">
        <f>MECS_data!AU9</f>
        <v>3.2258064516129031E-2</v>
      </c>
      <c r="U13" s="31">
        <f>MECS_data!AV9</f>
        <v>3.2258064516129031E-2</v>
      </c>
      <c r="V13" s="31">
        <f>MECS_data!AW9</f>
        <v>0</v>
      </c>
      <c r="W13" s="31">
        <f>MECS_data!AX9</f>
        <v>9.6774193548387094E-2</v>
      </c>
      <c r="X13" s="32">
        <f>MECS_data!AY9</f>
        <v>1</v>
      </c>
      <c r="Z13" s="4">
        <f>'[25]Predicted Residual Prices'!AS286</f>
        <v>2.77</v>
      </c>
      <c r="AA13" s="4">
        <f>'[26]Predicted Distillate Prices'!AS286</f>
        <v>5.14</v>
      </c>
      <c r="AB13" s="4">
        <f>'[27]Predicted Gas Prices'!AR286</f>
        <v>3.81</v>
      </c>
      <c r="AC13" s="4">
        <f>'[28]Predicted LPG Prices'!AS286</f>
        <v>6.62</v>
      </c>
      <c r="AD13" s="4">
        <f>'[29]Predicted Coal Prices'!AS286</f>
        <v>2</v>
      </c>
      <c r="AE13" s="4">
        <f>'[30]Predicted Coke Prices'!AS244</f>
        <v>0</v>
      </c>
      <c r="AF13" s="4">
        <f>'[31]Predicted Other Prices'!AT244</f>
        <v>2</v>
      </c>
      <c r="AH13" s="115">
        <f t="shared" si="0"/>
        <v>3.6429032258064509</v>
      </c>
      <c r="AI13" s="4">
        <f>'[32]Quantity Shares_1998 forward'!AH13</f>
        <v>3.6429032258064509</v>
      </c>
    </row>
    <row r="14" spans="4:36" x14ac:dyDescent="0.2">
      <c r="D14" s="27">
        <f>[13]Quantity_shares!BB240</f>
        <v>1998</v>
      </c>
      <c r="E14" s="27" t="str">
        <f>[13]Quantity_shares!BC240</f>
        <v>316</v>
      </c>
      <c r="F14" s="28">
        <f>[13]Quantity_shares!BD240</f>
        <v>0.79999999999999849</v>
      </c>
      <c r="G14" s="28">
        <f>[13]Quantity_shares!BE240</f>
        <v>9.9999999999999811E-2</v>
      </c>
      <c r="H14" s="28">
        <f>[13]Quantity_shares!BF240</f>
        <v>1.9999999999999962E-15</v>
      </c>
      <c r="I14" s="28">
        <f>[13]Quantity_shares!BG240</f>
        <v>9.9999999999999811E-2</v>
      </c>
      <c r="K14" s="17">
        <f t="shared" si="1"/>
        <v>0.80000000000000016</v>
      </c>
      <c r="L14" s="17">
        <f t="shared" si="2"/>
        <v>0.12000000000000002</v>
      </c>
      <c r="M14" s="17">
        <f t="shared" si="3"/>
        <v>0</v>
      </c>
      <c r="N14" s="17">
        <f t="shared" si="4"/>
        <v>8.0000000000000016E-2</v>
      </c>
      <c r="O14" t="s">
        <v>20</v>
      </c>
      <c r="Q14" s="31">
        <f>MECS_data!AR10</f>
        <v>4.0000000000000008E-2</v>
      </c>
      <c r="R14" s="31">
        <f>MECS_data!AS10</f>
        <v>8.0000000000000016E-2</v>
      </c>
      <c r="S14" s="31">
        <f>MECS_data!AT10</f>
        <v>0.80000000000000016</v>
      </c>
      <c r="T14" s="31">
        <f>MECS_data!AU10</f>
        <v>6.0000000000000012E-2</v>
      </c>
      <c r="U14" s="31">
        <f>MECS_data!AV10</f>
        <v>0</v>
      </c>
      <c r="V14" s="31">
        <f>MECS_data!AW10</f>
        <v>0</v>
      </c>
      <c r="W14" s="31">
        <f>MECS_data!AX10</f>
        <v>2.0000000000000004E-2</v>
      </c>
      <c r="X14" s="32">
        <f>MECS_data!AY10</f>
        <v>1.0000000000000002</v>
      </c>
      <c r="Z14" s="4">
        <f>'[25]Predicted Residual Prices'!AS287</f>
        <v>2.6</v>
      </c>
      <c r="AA14" s="4">
        <f>'[26]Predicted Distillate Prices'!AS287</f>
        <v>4.63</v>
      </c>
      <c r="AB14" s="4">
        <f>'[27]Predicted Gas Prices'!AR287</f>
        <v>3.64</v>
      </c>
      <c r="AC14" s="4">
        <f>'[28]Predicted LPG Prices'!AS287</f>
        <v>8.25</v>
      </c>
      <c r="AD14" s="4">
        <f>'[29]Predicted Coal Prices'!AS287</f>
        <v>1.56</v>
      </c>
      <c r="AE14" s="4">
        <f>'[30]Predicted Coke Prices'!AS245</f>
        <v>0</v>
      </c>
      <c r="AF14" s="4">
        <f>'[31]Predicted Other Prices'!AT245</f>
        <v>2.5</v>
      </c>
      <c r="AH14" s="115">
        <f t="shared" si="0"/>
        <v>3.9314000000000009</v>
      </c>
      <c r="AI14" s="4">
        <f>'[32]Quantity Shares_1998 forward'!AH14</f>
        <v>3.9314000000000009</v>
      </c>
    </row>
    <row r="15" spans="4:36" x14ac:dyDescent="0.2">
      <c r="D15" s="27">
        <f>[13]Quantity_shares!BB241</f>
        <v>1998</v>
      </c>
      <c r="E15" s="27" t="str">
        <f>[13]Quantity_shares!BC241</f>
        <v>321</v>
      </c>
      <c r="F15" s="28">
        <f>[13]Quantity_shares!BD241</f>
        <v>0.16743119266055045</v>
      </c>
      <c r="G15" s="28">
        <f>[13]Quantity_shares!BE241</f>
        <v>3.2110091743119268E-2</v>
      </c>
      <c r="H15" s="28">
        <f>[13]Quantity_shares!BF241</f>
        <v>4.5871559633027525E-3</v>
      </c>
      <c r="I15" s="28">
        <f>[13]Quantity_shares!BG241</f>
        <v>0.79587155963302747</v>
      </c>
      <c r="K15" s="17">
        <f t="shared" si="1"/>
        <v>0.34761904761904761</v>
      </c>
      <c r="L15" s="17">
        <f t="shared" si="2"/>
        <v>6.1904761904761907E-2</v>
      </c>
      <c r="M15" s="17">
        <f t="shared" si="3"/>
        <v>9.5238095238095247E-3</v>
      </c>
      <c r="N15" s="17">
        <f t="shared" si="4"/>
        <v>0.580952380952381</v>
      </c>
      <c r="O15" t="s">
        <v>22</v>
      </c>
      <c r="Q15" s="31">
        <f>MECS_data!AR11</f>
        <v>4.7619047619047623E-3</v>
      </c>
      <c r="R15" s="31">
        <f>MECS_data!AS11</f>
        <v>5.7142857142857141E-2</v>
      </c>
      <c r="S15" s="31">
        <f>MECS_data!AT11</f>
        <v>0.34761904761904761</v>
      </c>
      <c r="T15" s="31">
        <f>MECS_data!AU11</f>
        <v>1.9047619047619049E-2</v>
      </c>
      <c r="U15" s="31">
        <f>MECS_data!AV11</f>
        <v>9.5238095238095247E-3</v>
      </c>
      <c r="V15" s="31">
        <f>MECS_data!AW11</f>
        <v>0</v>
      </c>
      <c r="W15" s="31">
        <f>MECS_data!AX11</f>
        <v>0.56190476190476191</v>
      </c>
      <c r="X15" s="32">
        <f>MECS_data!AY11</f>
        <v>1</v>
      </c>
      <c r="Z15" s="4">
        <f>'[25]Predicted Residual Prices'!AS288</f>
        <v>2.6</v>
      </c>
      <c r="AA15" s="4">
        <f>'[26]Predicted Distillate Prices'!AS288</f>
        <v>4.5999999999999996</v>
      </c>
      <c r="AB15" s="4">
        <f>'[27]Predicted Gas Prices'!AR288</f>
        <v>2.97</v>
      </c>
      <c r="AC15" s="4">
        <f>'[28]Predicted LPG Prices'!AS288</f>
        <v>7.18</v>
      </c>
      <c r="AD15" s="4">
        <f>'[29]Predicted Coal Prices'!AS288</f>
        <v>2</v>
      </c>
      <c r="AE15" s="4">
        <f>'[30]Predicted Coke Prices'!AS246</f>
        <v>0</v>
      </c>
      <c r="AF15" s="4">
        <f>'[31]Predicted Other Prices'!AT246</f>
        <v>2.129032258064516</v>
      </c>
      <c r="AH15" s="115">
        <f t="shared" si="0"/>
        <v>2.65978955453149</v>
      </c>
      <c r="AI15" s="4">
        <f>'[32]Quantity Shares_1998 forward'!AH15</f>
        <v>2.65978955453149</v>
      </c>
    </row>
    <row r="16" spans="4:36" x14ac:dyDescent="0.2">
      <c r="D16" s="27">
        <f>[13]Quantity_shares!BB242</f>
        <v>1998</v>
      </c>
      <c r="E16" s="27" t="str">
        <f>[13]Quantity_shares!BC242</f>
        <v>322</v>
      </c>
      <c r="F16" s="28">
        <f>[13]Quantity_shares!BD242</f>
        <v>0.2338387869114126</v>
      </c>
      <c r="G16" s="28">
        <f>[13]Quantity_shares!BE242</f>
        <v>6.3846767757382281E-2</v>
      </c>
      <c r="H16" s="28">
        <f>[13]Quantity_shares!BF242</f>
        <v>0.11053471667996807</v>
      </c>
      <c r="I16" s="28">
        <f>[13]Quantity_shares!BG242</f>
        <v>0.59177972865123707</v>
      </c>
      <c r="K16" s="17">
        <f t="shared" si="1"/>
        <v>0.41977077363896848</v>
      </c>
      <c r="L16" s="17">
        <f t="shared" si="2"/>
        <v>0.11461318051575932</v>
      </c>
      <c r="M16" s="17">
        <f t="shared" si="3"/>
        <v>0.1984240687679083</v>
      </c>
      <c r="N16" s="17">
        <f t="shared" si="4"/>
        <v>0.26719197707736386</v>
      </c>
      <c r="O16" t="s">
        <v>24</v>
      </c>
      <c r="Q16" s="31">
        <f>MECS_data!AR12</f>
        <v>0.10816618911174786</v>
      </c>
      <c r="R16" s="31">
        <f>MECS_data!AS12</f>
        <v>6.4469914040114614E-3</v>
      </c>
      <c r="S16" s="31">
        <f>MECS_data!AT12</f>
        <v>0.41977077363896848</v>
      </c>
      <c r="T16" s="31">
        <f>MECS_data!AU12</f>
        <v>3.5816618911174787E-3</v>
      </c>
      <c r="U16" s="31">
        <f>MECS_data!AV12</f>
        <v>0.1984240687679083</v>
      </c>
      <c r="V16" s="31">
        <f>MECS_data!AW12</f>
        <v>0</v>
      </c>
      <c r="W16" s="31">
        <f>MECS_data!AX12</f>
        <v>0.26361031518624639</v>
      </c>
      <c r="X16" s="32">
        <f>MECS_data!AY12</f>
        <v>1</v>
      </c>
      <c r="Z16" s="4">
        <f>'[25]Predicted Residual Prices'!AS289</f>
        <v>2.37</v>
      </c>
      <c r="AA16" s="4">
        <f>'[26]Predicted Distillate Prices'!AS289</f>
        <v>4.29</v>
      </c>
      <c r="AB16" s="4">
        <f>'[27]Predicted Gas Prices'!AR289</f>
        <v>2.7</v>
      </c>
      <c r="AC16" s="4">
        <f>'[28]Predicted LPG Prices'!AS289</f>
        <v>7.28</v>
      </c>
      <c r="AD16" s="4">
        <f>'[29]Predicted Coal Prices'!AS289</f>
        <v>1.75</v>
      </c>
      <c r="AE16" s="4">
        <f>'[30]Predicted Coke Prices'!AS247</f>
        <v>3</v>
      </c>
      <c r="AF16" s="4">
        <f>'[31]Predicted Other Prices'!AT247</f>
        <v>2.1297468354430378</v>
      </c>
      <c r="AH16" s="115">
        <f t="shared" si="0"/>
        <v>2.3521324036124911</v>
      </c>
      <c r="AI16" s="4">
        <f>'[32]Quantity Shares_1998 forward'!AH16</f>
        <v>2.3521324036124911</v>
      </c>
    </row>
    <row r="17" spans="4:35" x14ac:dyDescent="0.2">
      <c r="D17" s="27">
        <f>[13]Quantity_shares!BB243</f>
        <v>1998</v>
      </c>
      <c r="E17" s="27" t="str">
        <f>[13]Quantity_shares!BC243</f>
        <v>323</v>
      </c>
      <c r="F17" s="28">
        <f>[13]Quantity_shares!BD243</f>
        <v>0.92146596858638741</v>
      </c>
      <c r="G17" s="28">
        <f>[13]Quantity_shares!BE243</f>
        <v>1.0471204188481676E-2</v>
      </c>
      <c r="H17" s="28">
        <f>[13]Quantity_shares!BF243</f>
        <v>5.235602094240838E-3</v>
      </c>
      <c r="I17" s="28">
        <f>[13]Quantity_shares!BG243</f>
        <v>6.2827225130890049E-2</v>
      </c>
      <c r="K17" s="17">
        <f t="shared" si="1"/>
        <v>0.92972972972972989</v>
      </c>
      <c r="L17" s="17">
        <f t="shared" si="2"/>
        <v>1.9459459459459462E-2</v>
      </c>
      <c r="M17" s="17">
        <f t="shared" si="3"/>
        <v>1.0810810810810813E-3</v>
      </c>
      <c r="N17" s="17">
        <f t="shared" si="4"/>
        <v>4.9729729729729735E-2</v>
      </c>
      <c r="O17" t="s">
        <v>26</v>
      </c>
      <c r="Q17" s="31">
        <f>MECS_data!AR13</f>
        <v>8.6486486486486505E-3</v>
      </c>
      <c r="R17" s="31">
        <f>MECS_data!AS13</f>
        <v>1.0810810810810813E-2</v>
      </c>
      <c r="S17" s="31">
        <f>MECS_data!AT13</f>
        <v>0.92972972972972989</v>
      </c>
      <c r="T17" s="31">
        <f>MECS_data!AU13</f>
        <v>2.1621621621621626E-2</v>
      </c>
      <c r="U17" s="31">
        <f>MECS_data!AV13</f>
        <v>1.0810810810810813E-3</v>
      </c>
      <c r="V17" s="31">
        <f>MECS_data!AW13</f>
        <v>0</v>
      </c>
      <c r="W17" s="31">
        <f>MECS_data!AX13</f>
        <v>2.8108108108108112E-2</v>
      </c>
      <c r="X17" s="32">
        <f>MECS_data!AY13</f>
        <v>1.0000000000000002</v>
      </c>
      <c r="Z17" s="4">
        <f>'[25]Predicted Residual Prices'!AS290</f>
        <v>2.6</v>
      </c>
      <c r="AA17" s="4">
        <f>'[26]Predicted Distillate Prices'!AS290</f>
        <v>4.2699999999999996</v>
      </c>
      <c r="AB17" s="4">
        <f>'[27]Predicted Gas Prices'!AR290</f>
        <v>3.87</v>
      </c>
      <c r="AC17" s="4">
        <f>'[28]Predicted LPG Prices'!AS290</f>
        <v>8.6</v>
      </c>
      <c r="AD17" s="4">
        <f>'[29]Predicted Coal Prices'!AS290</f>
        <v>2</v>
      </c>
      <c r="AE17" s="4">
        <f>'[30]Predicted Coke Prices'!AS248</f>
        <v>0</v>
      </c>
      <c r="AF17" s="4">
        <f>'[31]Predicted Other Prices'!AT248</f>
        <v>2.5</v>
      </c>
      <c r="AH17" s="115">
        <f t="shared" si="0"/>
        <v>3.9250810810810819</v>
      </c>
      <c r="AI17" s="4">
        <f>'[32]Quantity Shares_1998 forward'!AH17</f>
        <v>3.9250810810810819</v>
      </c>
    </row>
    <row r="18" spans="4:35" x14ac:dyDescent="0.2">
      <c r="D18" s="27">
        <f>[13]Quantity_shares!BB244</f>
        <v>1998</v>
      </c>
      <c r="E18" s="27" t="str">
        <f>[13]Quantity_shares!BC244</f>
        <v>324</v>
      </c>
      <c r="F18" s="28">
        <f>[13]Quantity_shares!BD244</f>
        <v>0.28689458689458691</v>
      </c>
      <c r="G18" s="28">
        <f>[13]Quantity_shares!BE244</f>
        <v>2.8490028490028491E-2</v>
      </c>
      <c r="H18" s="28">
        <f>[13]Quantity_shares!BF244</f>
        <v>3.4188034188034188E-3</v>
      </c>
      <c r="I18" s="28">
        <f>[13]Quantity_shares!BG244</f>
        <v>0.68119658119658122</v>
      </c>
      <c r="K18" s="17">
        <f t="shared" si="1"/>
        <v>0.74118261128924023</v>
      </c>
      <c r="L18" s="17">
        <f t="shared" si="2"/>
        <v>3.6537170979047053E-2</v>
      </c>
      <c r="M18" s="17">
        <f t="shared" si="3"/>
        <v>7.4565655059279703E-5</v>
      </c>
      <c r="N18" s="17">
        <f t="shared" si="4"/>
        <v>0.22220565207665349</v>
      </c>
      <c r="O18" t="s">
        <v>28</v>
      </c>
      <c r="Q18" s="31">
        <f>MECS_data!AR14</f>
        <v>2.1624039967191113E-2</v>
      </c>
      <c r="R18" s="31">
        <f>MECS_data!AS14</f>
        <v>1.4913131011855939E-2</v>
      </c>
      <c r="S18" s="31">
        <f>MECS_data!AT14</f>
        <v>0.74118261128924023</v>
      </c>
      <c r="T18" s="31">
        <f>MECS_data!AU14</f>
        <v>1.2676161360077549E-2</v>
      </c>
      <c r="U18" s="31">
        <f>MECS_data!AV14</f>
        <v>7.4565655059279703E-5</v>
      </c>
      <c r="V18" s="31">
        <f>MECS_data!AW14</f>
        <v>0</v>
      </c>
      <c r="W18" s="31">
        <f>MECS_data!AX14</f>
        <v>0.20952949071657595</v>
      </c>
      <c r="X18" s="32">
        <f>MECS_data!AY14</f>
        <v>1</v>
      </c>
      <c r="Z18" s="4">
        <f>'[25]Predicted Residual Prices'!AS291</f>
        <v>2.2999999999999998</v>
      </c>
      <c r="AA18" s="4">
        <f>'[26]Predicted Distillate Prices'!AS291</f>
        <v>3.85</v>
      </c>
      <c r="AB18" s="4">
        <f>'[27]Predicted Gas Prices'!AR291</f>
        <v>2.4700000000000002</v>
      </c>
      <c r="AC18" s="4">
        <f>'[28]Predicted LPG Prices'!AS291</f>
        <v>4.29</v>
      </c>
      <c r="AD18" s="4">
        <f>'[29]Predicted Coal Prices'!AS291</f>
        <v>2</v>
      </c>
      <c r="AE18" s="4">
        <f>'[30]Predicted Coke Prices'!AS249</f>
        <v>0</v>
      </c>
      <c r="AF18" s="4">
        <f>'[31]Predicted Other Prices'!AT249</f>
        <v>2.9220779220779223</v>
      </c>
      <c r="AH18" s="115">
        <f t="shared" si="0"/>
        <v>2.604663258596597</v>
      </c>
      <c r="AI18" s="4">
        <f>'[32]Quantity Shares_1998 forward'!AH18</f>
        <v>2.604663258596597</v>
      </c>
    </row>
    <row r="19" spans="4:35" x14ac:dyDescent="0.2">
      <c r="D19" s="27">
        <f>[13]Quantity_shares!BB245</f>
        <v>1998</v>
      </c>
      <c r="E19" s="27" t="str">
        <f>[13]Quantity_shares!BC245</f>
        <v>325</v>
      </c>
      <c r="F19" s="28">
        <f>[13]Quantity_shares!BD245</f>
        <v>0.70194690265486726</v>
      </c>
      <c r="G19" s="28">
        <f>[13]Quantity_shares!BE245</f>
        <v>1.7345132743362832E-2</v>
      </c>
      <c r="H19" s="28">
        <f>[13]Quantity_shares!BF245</f>
        <v>0.10053097345132743</v>
      </c>
      <c r="I19" s="28">
        <f>[13]Quantity_shares!BG245</f>
        <v>0.18017699115044247</v>
      </c>
      <c r="K19" s="17">
        <f t="shared" si="1"/>
        <v>0.71459459459459462</v>
      </c>
      <c r="L19" s="17">
        <f t="shared" si="2"/>
        <v>1.7657657657657658E-2</v>
      </c>
      <c r="M19" s="17">
        <f t="shared" si="3"/>
        <v>0.10306306306306307</v>
      </c>
      <c r="N19" s="17">
        <f t="shared" si="4"/>
        <v>0.1646846846846847</v>
      </c>
      <c r="O19" t="s">
        <v>30</v>
      </c>
      <c r="Q19" s="31">
        <f>MECS_data!AR15</f>
        <v>1.4414414414414415E-2</v>
      </c>
      <c r="R19" s="31">
        <f>MECS_data!AS15</f>
        <v>3.2432432432432431E-3</v>
      </c>
      <c r="S19" s="31">
        <f>MECS_data!AT15</f>
        <v>0.71459459459459462</v>
      </c>
      <c r="T19" s="31">
        <f>MECS_data!AU15</f>
        <v>1.8018018018018018E-2</v>
      </c>
      <c r="U19" s="31">
        <f>MECS_data!AV15</f>
        <v>0.10234234234234234</v>
      </c>
      <c r="V19" s="31">
        <f>MECS_data!AW15</f>
        <v>7.2072072072072073E-4</v>
      </c>
      <c r="W19" s="31">
        <f>MECS_data!AX15</f>
        <v>0.14666666666666667</v>
      </c>
      <c r="X19" s="32">
        <f>MECS_data!AY15</f>
        <v>1</v>
      </c>
      <c r="Z19" s="4">
        <f>'[25]Predicted Residual Prices'!AS292</f>
        <v>2.67</v>
      </c>
      <c r="AA19" s="4">
        <f>'[26]Predicted Distillate Prices'!AS292</f>
        <v>4.68</v>
      </c>
      <c r="AB19" s="4">
        <f>'[27]Predicted Gas Prices'!AR292</f>
        <v>2.38</v>
      </c>
      <c r="AC19" s="4">
        <f>'[28]Predicted LPG Prices'!AS292</f>
        <v>4.4400000000000004</v>
      </c>
      <c r="AD19" s="4">
        <f>'[29]Predicted Coal Prices'!AS292</f>
        <v>1.66</v>
      </c>
      <c r="AE19" s="4">
        <f>'[30]Predicted Coke Prices'!AS250</f>
        <v>4.51</v>
      </c>
      <c r="AF19" s="4">
        <f>'[31]Predicted Other Prices'!AT250</f>
        <v>3.5084427767354596</v>
      </c>
      <c r="AH19" s="115">
        <f t="shared" si="0"/>
        <v>2.5221103459932728</v>
      </c>
      <c r="AI19" s="4">
        <f>'[32]Quantity Shares_1998 forward'!AH19</f>
        <v>2.5221103459932728</v>
      </c>
    </row>
    <row r="20" spans="4:35" x14ac:dyDescent="0.2">
      <c r="D20" s="27">
        <f>[13]Quantity_shares!BB246</f>
        <v>1998</v>
      </c>
      <c r="E20" s="27" t="str">
        <f>[13]Quantity_shares!BC246</f>
        <v>326</v>
      </c>
      <c r="F20" s="28">
        <f>[13]Quantity_shares!BD246</f>
        <v>0.86896551724137927</v>
      </c>
      <c r="G20" s="28">
        <f>[13]Quantity_shares!BE246</f>
        <v>4.1379310344827586E-2</v>
      </c>
      <c r="H20" s="28">
        <f>[13]Quantity_shares!BF246</f>
        <v>2.0689655172413793E-2</v>
      </c>
      <c r="I20" s="28">
        <f>[13]Quantity_shares!BG246</f>
        <v>6.8965517241379309E-2</v>
      </c>
      <c r="K20" s="17">
        <f t="shared" si="1"/>
        <v>0.875</v>
      </c>
      <c r="L20" s="17">
        <f t="shared" si="2"/>
        <v>4.1666666666666671E-2</v>
      </c>
      <c r="M20" s="17">
        <f t="shared" si="3"/>
        <v>2.0833333333333332E-2</v>
      </c>
      <c r="N20" s="17">
        <f t="shared" si="4"/>
        <v>6.25E-2</v>
      </c>
      <c r="O20" t="s">
        <v>32</v>
      </c>
      <c r="Q20" s="31">
        <f>MECS_data!AR16</f>
        <v>3.4722222222222224E-2</v>
      </c>
      <c r="R20" s="31">
        <f>MECS_data!AS16</f>
        <v>6.9444444444444441E-3</v>
      </c>
      <c r="S20" s="31">
        <f>MECS_data!AT16</f>
        <v>0.875</v>
      </c>
      <c r="T20" s="31">
        <f>MECS_data!AU16</f>
        <v>2.7777777777777776E-2</v>
      </c>
      <c r="U20" s="31">
        <f>MECS_data!AV16</f>
        <v>2.0833333333333332E-2</v>
      </c>
      <c r="V20" s="31">
        <f>MECS_data!AW16</f>
        <v>0</v>
      </c>
      <c r="W20" s="31">
        <f>MECS_data!AX16</f>
        <v>3.4722222222222224E-2</v>
      </c>
      <c r="X20" s="32">
        <f>MECS_data!AY16</f>
        <v>1</v>
      </c>
      <c r="Z20" s="4">
        <f>'[25]Predicted Residual Prices'!AS293</f>
        <v>2.5499999999999998</v>
      </c>
      <c r="AA20" s="4">
        <f>'[26]Predicted Distillate Prices'!AS293</f>
        <v>5.59</v>
      </c>
      <c r="AB20" s="4">
        <f>'[27]Predicted Gas Prices'!AR293</f>
        <v>3.48</v>
      </c>
      <c r="AC20" s="4">
        <f>'[28]Predicted LPG Prices'!AS293</f>
        <v>9.06</v>
      </c>
      <c r="AD20" s="4">
        <f>'[29]Predicted Coal Prices'!AS293</f>
        <v>2.5</v>
      </c>
      <c r="AE20" s="4">
        <f>'[30]Predicted Coke Prices'!AS251</f>
        <v>0</v>
      </c>
      <c r="AF20" s="4">
        <f>'[31]Predicted Other Prices'!AT251</f>
        <v>4.2</v>
      </c>
      <c r="AH20" s="115">
        <f t="shared" si="0"/>
        <v>3.6219444444444444</v>
      </c>
      <c r="AI20" s="4">
        <f>'[32]Quantity Shares_1998 forward'!AH20</f>
        <v>3.6219444444444444</v>
      </c>
    </row>
    <row r="21" spans="4:35" x14ac:dyDescent="0.2">
      <c r="D21" s="27">
        <f>[13]Quantity_shares!BB247</f>
        <v>1998</v>
      </c>
      <c r="E21" s="27" t="str">
        <f>[13]Quantity_shares!BC247</f>
        <v>327</v>
      </c>
      <c r="F21" s="28">
        <f>[13]Quantity_shares!BD247</f>
        <v>0.52544378698224847</v>
      </c>
      <c r="G21" s="28">
        <f>[13]Quantity_shares!BE247</f>
        <v>2.4852071005917159E-2</v>
      </c>
      <c r="H21" s="28">
        <f>[13]Quantity_shares!BF247</f>
        <v>0.336094674556213</v>
      </c>
      <c r="I21" s="28">
        <f>[13]Quantity_shares!BG247</f>
        <v>0.1136094674556213</v>
      </c>
      <c r="K21" s="17">
        <f t="shared" si="1"/>
        <v>0.55796178343949043</v>
      </c>
      <c r="L21" s="17">
        <f t="shared" si="2"/>
        <v>2.5477707006369425E-2</v>
      </c>
      <c r="M21" s="17">
        <f t="shared" si="3"/>
        <v>0.37324840764331207</v>
      </c>
      <c r="N21" s="17">
        <f t="shared" si="4"/>
        <v>4.3312101910828023E-2</v>
      </c>
      <c r="O21" t="s">
        <v>34</v>
      </c>
      <c r="Q21" s="31">
        <f>MECS_data!AR17</f>
        <v>5.0955414012738851E-3</v>
      </c>
      <c r="R21" s="31">
        <f>MECS_data!AS17</f>
        <v>2.038216560509554E-2</v>
      </c>
      <c r="S21" s="31">
        <f>MECS_data!AT17</f>
        <v>0.55796178343949043</v>
      </c>
      <c r="T21" s="31">
        <f>MECS_data!AU17</f>
        <v>3.821656050955414E-3</v>
      </c>
      <c r="U21" s="31">
        <f>MECS_data!AV17</f>
        <v>0.36050955414012736</v>
      </c>
      <c r="V21" s="31">
        <f>MECS_data!AW17</f>
        <v>1.2738853503184714E-2</v>
      </c>
      <c r="W21" s="31">
        <f>MECS_data!AX17</f>
        <v>3.949044585987261E-2</v>
      </c>
      <c r="X21" s="32">
        <f>MECS_data!AY17</f>
        <v>1</v>
      </c>
      <c r="Z21" s="4">
        <f>'[25]Predicted Residual Prices'!AS294</f>
        <v>2.92</v>
      </c>
      <c r="AA21" s="4">
        <f>'[26]Predicted Distillate Prices'!AS294</f>
        <v>4.7699999999999996</v>
      </c>
      <c r="AB21" s="4">
        <f>'[27]Predicted Gas Prices'!AR294</f>
        <v>2.95</v>
      </c>
      <c r="AC21" s="4">
        <f>'[28]Predicted LPG Prices'!AS294</f>
        <v>8.57</v>
      </c>
      <c r="AD21" s="4">
        <f>'[29]Predicted Coal Prices'!AS294</f>
        <v>1.6</v>
      </c>
      <c r="AE21" s="4">
        <f>'[30]Predicted Coke Prices'!AS252</f>
        <v>2.48</v>
      </c>
      <c r="AF21" s="4">
        <f>'[31]Predicted Other Prices'!AT252</f>
        <v>1.3571428571428572</v>
      </c>
      <c r="AH21" s="115">
        <f t="shared" si="0"/>
        <v>2.4528425841674255</v>
      </c>
      <c r="AI21" s="4">
        <f>'[32]Quantity Shares_1998 forward'!AH21</f>
        <v>2.4528425841674255</v>
      </c>
    </row>
    <row r="22" spans="4:35" x14ac:dyDescent="0.2">
      <c r="D22" s="27">
        <f>[13]Quantity_shares!BB248</f>
        <v>1998</v>
      </c>
      <c r="E22" s="27" t="str">
        <f>[13]Quantity_shares!BC248</f>
        <v>331</v>
      </c>
      <c r="F22" s="28">
        <f>[13]Quantity_shares!BD248</f>
        <v>0.42474916387959866</v>
      </c>
      <c r="G22" s="28">
        <f>[13]Quantity_shares!BE248</f>
        <v>1.6832565971649234E-2</v>
      </c>
      <c r="H22" s="28">
        <f>[13]Quantity_shares!BF248</f>
        <v>0.34161490683229812</v>
      </c>
      <c r="I22" s="28">
        <f>[13]Quantity_shares!BG248</f>
        <v>0.216803363316454</v>
      </c>
      <c r="K22" s="17">
        <f t="shared" si="1"/>
        <v>0.61199172984148864</v>
      </c>
      <c r="L22" s="17">
        <f t="shared" si="2"/>
        <v>2.6188835286009651E-2</v>
      </c>
      <c r="M22" s="17">
        <f t="shared" si="3"/>
        <v>0.33976567884217779</v>
      </c>
      <c r="N22" s="17">
        <f t="shared" si="4"/>
        <v>2.2053756030323914E-2</v>
      </c>
      <c r="O22" t="s">
        <v>36</v>
      </c>
      <c r="Q22" s="31">
        <f>MECS_data!AR18</f>
        <v>2.0675396278428671E-2</v>
      </c>
      <c r="R22" s="31">
        <f>MECS_data!AS18</f>
        <v>5.5134390075809786E-3</v>
      </c>
      <c r="S22" s="31">
        <f>MECS_data!AT18</f>
        <v>0.61199172984148864</v>
      </c>
      <c r="T22" s="31">
        <f>MECS_data!AU18</f>
        <v>2.0675396278428669E-3</v>
      </c>
      <c r="U22" s="31">
        <f>MECS_data!AV18</f>
        <v>4.9620951068228808E-2</v>
      </c>
      <c r="V22" s="31">
        <f>MECS_data!AW18</f>
        <v>0.29014472777394901</v>
      </c>
      <c r="W22" s="31">
        <f>MECS_data!AX18</f>
        <v>1.9986216402481046E-2</v>
      </c>
      <c r="X22" s="32">
        <f>MECS_data!AY18</f>
        <v>1.0000000000000002</v>
      </c>
      <c r="Z22" s="4">
        <f>'[25]Predicted Residual Prices'!AS295</f>
        <v>2.2200000000000002</v>
      </c>
      <c r="AA22" s="4">
        <f>'[26]Predicted Distillate Prices'!AS295</f>
        <v>5.0999999999999996</v>
      </c>
      <c r="AB22" s="4">
        <f>'[27]Predicted Gas Prices'!AR295</f>
        <v>2.89</v>
      </c>
      <c r="AC22" s="4">
        <f>'[28]Predicted LPG Prices'!AS295</f>
        <v>7.5</v>
      </c>
      <c r="AD22" s="4">
        <f>'[29]Predicted Coal Prices'!AS295</f>
        <v>1.42</v>
      </c>
      <c r="AE22" s="4">
        <f>'[30]Predicted Coke Prices'!AS253</f>
        <v>4.93</v>
      </c>
      <c r="AF22" s="4">
        <f>'[31]Predicted Other Prices'!AT253</f>
        <v>5.3417721518987342</v>
      </c>
      <c r="AH22" s="115">
        <f t="shared" si="0"/>
        <v>3.465817637770547</v>
      </c>
      <c r="AI22" s="4">
        <f>'[32]Quantity Shares_1998 forward'!AH22</f>
        <v>3.465817637770547</v>
      </c>
    </row>
    <row r="23" spans="4:35" x14ac:dyDescent="0.2">
      <c r="D23" s="27">
        <f>[13]Quantity_shares!BB249</f>
        <v>1998</v>
      </c>
      <c r="E23" s="27" t="str">
        <f>[13]Quantity_shares!BC249</f>
        <v>332</v>
      </c>
      <c r="F23" s="28">
        <f>[13]Quantity_shares!BD249</f>
        <v>0.8925925925925926</v>
      </c>
      <c r="G23" s="28">
        <f>[13]Quantity_shares!BE249</f>
        <v>2.9629629629629631E-2</v>
      </c>
      <c r="H23" s="28">
        <f>[13]Quantity_shares!BF249</f>
        <v>1.1111111111111112E-2</v>
      </c>
      <c r="I23" s="28">
        <f>[13]Quantity_shares!BG249</f>
        <v>6.6666666666666666E-2</v>
      </c>
      <c r="K23" s="17">
        <f t="shared" si="1"/>
        <v>0.90943396226415096</v>
      </c>
      <c r="L23" s="17">
        <f t="shared" si="2"/>
        <v>3.0188679245283019E-2</v>
      </c>
      <c r="M23" s="17">
        <f t="shared" si="3"/>
        <v>1.8867924528301886E-2</v>
      </c>
      <c r="N23" s="17">
        <f t="shared" si="4"/>
        <v>4.1509433962264149E-2</v>
      </c>
      <c r="O23" t="s">
        <v>38</v>
      </c>
      <c r="Q23" s="31">
        <f>MECS_data!AR19</f>
        <v>7.5471698113207548E-3</v>
      </c>
      <c r="R23" s="31">
        <f>MECS_data!AS19</f>
        <v>2.2641509433962263E-2</v>
      </c>
      <c r="S23" s="31">
        <f>MECS_data!AT19</f>
        <v>0.90943396226415096</v>
      </c>
      <c r="T23" s="31">
        <f>MECS_data!AU19</f>
        <v>1.8867924528301886E-2</v>
      </c>
      <c r="U23" s="31">
        <f>MECS_data!AV19</f>
        <v>1.1320754716981131E-2</v>
      </c>
      <c r="V23" s="31">
        <f>MECS_data!AW19</f>
        <v>7.5471698113207548E-3</v>
      </c>
      <c r="W23" s="31">
        <f>MECS_data!AX19</f>
        <v>2.2641509433962263E-2</v>
      </c>
      <c r="X23" s="32">
        <f>MECS_data!AY19</f>
        <v>1</v>
      </c>
      <c r="Z23" s="4">
        <f>'[25]Predicted Residual Prices'!AS296</f>
        <v>2.85</v>
      </c>
      <c r="AA23" s="4">
        <f>'[26]Predicted Distillate Prices'!AS296</f>
        <v>5.0599999999999996</v>
      </c>
      <c r="AB23" s="4">
        <f>'[27]Predicted Gas Prices'!AR296</f>
        <v>3.49</v>
      </c>
      <c r="AC23" s="4">
        <f>'[28]Predicted LPG Prices'!AS296</f>
        <v>8.83</v>
      </c>
      <c r="AD23" s="4">
        <f>'[29]Predicted Coal Prices'!AS296</f>
        <v>2.61</v>
      </c>
      <c r="AE23" s="4">
        <f>'[30]Predicted Coke Prices'!AS254</f>
        <v>7.35</v>
      </c>
      <c r="AF23" s="4">
        <f>'[31]Predicted Other Prices'!AT254</f>
        <v>12.925925925925924</v>
      </c>
      <c r="AH23" s="115">
        <f t="shared" si="0"/>
        <v>3.8542851153039837</v>
      </c>
      <c r="AI23" s="4">
        <f>'[32]Quantity Shares_1998 forward'!AH23</f>
        <v>3.8542851153039837</v>
      </c>
    </row>
    <row r="24" spans="4:35" x14ac:dyDescent="0.2">
      <c r="D24" s="27">
        <f>[13]Quantity_shares!BB250</f>
        <v>1998</v>
      </c>
      <c r="E24" s="27" t="str">
        <f>[13]Quantity_shares!BC250</f>
        <v>333</v>
      </c>
      <c r="F24" s="28">
        <f>[13]Quantity_shares!BD250</f>
        <v>0.83193277310924374</v>
      </c>
      <c r="G24" s="28">
        <f>[13]Quantity_shares!BE250</f>
        <v>3.3613445378151259E-2</v>
      </c>
      <c r="H24" s="28">
        <f>[13]Quantity_shares!BF250</f>
        <v>5.0420168067226892E-2</v>
      </c>
      <c r="I24" s="28">
        <f>[13]Quantity_shares!BG250</f>
        <v>8.4033613445378158E-2</v>
      </c>
      <c r="K24" s="17">
        <f t="shared" si="1"/>
        <v>0.85344827586206895</v>
      </c>
      <c r="L24" s="17">
        <f t="shared" si="2"/>
        <v>3.4482758620689655E-2</v>
      </c>
      <c r="M24" s="17">
        <f t="shared" si="3"/>
        <v>5.1724137931034482E-2</v>
      </c>
      <c r="N24" s="17">
        <f t="shared" si="4"/>
        <v>6.0344827586206892E-2</v>
      </c>
      <c r="O24" t="s">
        <v>40</v>
      </c>
      <c r="Q24" s="31">
        <f>MECS_data!AR20</f>
        <v>8.6206896551724137E-3</v>
      </c>
      <c r="R24" s="31">
        <f>MECS_data!AS20</f>
        <v>2.5862068965517241E-2</v>
      </c>
      <c r="S24" s="31">
        <f>MECS_data!AT20</f>
        <v>0.85344827586206895</v>
      </c>
      <c r="T24" s="31">
        <f>MECS_data!AU20</f>
        <v>2.5862068965517241E-2</v>
      </c>
      <c r="U24" s="31">
        <f>MECS_data!AV20</f>
        <v>5.1724137931034482E-2</v>
      </c>
      <c r="V24" s="31">
        <f>MECS_data!AW20</f>
        <v>0</v>
      </c>
      <c r="W24" s="31">
        <f>MECS_data!AX20</f>
        <v>3.4482758620689655E-2</v>
      </c>
      <c r="X24" s="32">
        <f>MECS_data!AY20</f>
        <v>0.99999999999999989</v>
      </c>
      <c r="Z24" s="4">
        <f>'[25]Predicted Residual Prices'!AS297</f>
        <v>2.36</v>
      </c>
      <c r="AA24" s="4">
        <f>'[26]Predicted Distillate Prices'!AS297</f>
        <v>5.13</v>
      </c>
      <c r="AB24" s="4">
        <f>'[27]Predicted Gas Prices'!AR297</f>
        <v>3.66</v>
      </c>
      <c r="AC24" s="4">
        <f>'[28]Predicted LPG Prices'!AS297</f>
        <v>7.65</v>
      </c>
      <c r="AD24" s="4">
        <f>'[29]Predicted Coal Prices'!AS297</f>
        <v>1.57</v>
      </c>
      <c r="AE24" s="4">
        <f>'[30]Predicted Coke Prices'!AS255</f>
        <v>0</v>
      </c>
      <c r="AF24" s="4">
        <f>'[31]Predicted Other Prices'!AT255</f>
        <v>7.8571428571428568</v>
      </c>
      <c r="AH24" s="115">
        <f t="shared" si="0"/>
        <v>3.8266256157635472</v>
      </c>
      <c r="AI24" s="4">
        <f>'[32]Quantity Shares_1998 forward'!AH24</f>
        <v>3.8266256157635472</v>
      </c>
    </row>
    <row r="25" spans="4:35" x14ac:dyDescent="0.2">
      <c r="D25" s="27">
        <f>[13]Quantity_shares!BB251</f>
        <v>1998</v>
      </c>
      <c r="E25" s="27" t="str">
        <f>[13]Quantity_shares!BC251</f>
        <v>334</v>
      </c>
      <c r="F25" s="28">
        <f>[13]Quantity_shares!BD251</f>
        <v>0.94814814814814818</v>
      </c>
      <c r="G25" s="28">
        <f>[13]Quantity_shares!BE251</f>
        <v>2.9629629629629631E-2</v>
      </c>
      <c r="H25" s="28">
        <f>[13]Quantity_shares!BF251</f>
        <v>3.7037037037037038E-3</v>
      </c>
      <c r="I25" s="28">
        <f>[13]Quantity_shares!BG251</f>
        <v>1.8518518518518517E-2</v>
      </c>
      <c r="K25" s="17">
        <f t="shared" si="1"/>
        <v>0.94674556213017735</v>
      </c>
      <c r="L25" s="17">
        <f t="shared" si="2"/>
        <v>2.9585798816568042E-2</v>
      </c>
      <c r="M25" s="17">
        <f t="shared" si="3"/>
        <v>2.9585798816568047E-3</v>
      </c>
      <c r="N25" s="17">
        <f t="shared" si="4"/>
        <v>2.0710059171597631E-2</v>
      </c>
      <c r="O25" t="s">
        <v>42</v>
      </c>
      <c r="Q25" s="31">
        <f>MECS_data!AR21</f>
        <v>1.4792899408284021E-2</v>
      </c>
      <c r="R25" s="31">
        <f>MECS_data!AS21</f>
        <v>1.4792899408284021E-2</v>
      </c>
      <c r="S25" s="31">
        <f>MECS_data!AT21</f>
        <v>0.94674556213017735</v>
      </c>
      <c r="T25" s="31">
        <f>MECS_data!AU21</f>
        <v>5.9171597633136093E-3</v>
      </c>
      <c r="U25" s="31">
        <f>MECS_data!AV21</f>
        <v>2.9585798816568047E-3</v>
      </c>
      <c r="V25" s="31">
        <f>MECS_data!AW21</f>
        <v>0</v>
      </c>
      <c r="W25" s="31">
        <f>MECS_data!AX21</f>
        <v>1.4792899408284021E-2</v>
      </c>
      <c r="X25" s="32">
        <f>MECS_data!AY21</f>
        <v>0.99999999999999989</v>
      </c>
      <c r="Z25" s="4">
        <f>'[25]Predicted Residual Prices'!AS298</f>
        <v>2.5</v>
      </c>
      <c r="AA25" s="4">
        <f>'[26]Predicted Distillate Prices'!AS298</f>
        <v>4.6900000000000004</v>
      </c>
      <c r="AB25" s="4">
        <f>'[27]Predicted Gas Prices'!AR298</f>
        <v>3.71</v>
      </c>
      <c r="AC25" s="4">
        <f>'[28]Predicted LPG Prices'!AS298</f>
        <v>7.9</v>
      </c>
      <c r="AD25" s="4">
        <f>'[29]Predicted Coal Prices'!AS298</f>
        <v>2</v>
      </c>
      <c r="AE25" s="4">
        <f>'[30]Predicted Coke Prices'!AS256</f>
        <v>0</v>
      </c>
      <c r="AF25" s="4">
        <f>'[31]Predicted Other Prices'!AT256</f>
        <v>5.5</v>
      </c>
      <c r="AH25" s="115">
        <f t="shared" si="0"/>
        <v>3.7528106508875729</v>
      </c>
      <c r="AI25" s="4">
        <f>'[32]Quantity Shares_1998 forward'!AH25</f>
        <v>3.7528106508875729</v>
      </c>
    </row>
    <row r="26" spans="4:35" x14ac:dyDescent="0.2">
      <c r="D26" s="27">
        <f>[13]Quantity_shares!BB252</f>
        <v>1998</v>
      </c>
      <c r="E26" s="27" t="str">
        <f>[13]Quantity_shares!BC252</f>
        <v>335</v>
      </c>
      <c r="F26" s="28">
        <f>[13]Quantity_shares!BD252</f>
        <v>0.60056657223796039</v>
      </c>
      <c r="G26" s="28">
        <f>[13]Quantity_shares!BE252</f>
        <v>2.2662889518413599E-2</v>
      </c>
      <c r="H26" s="28">
        <f>[13]Quantity_shares!BF252</f>
        <v>1.1331444759206799E-2</v>
      </c>
      <c r="I26" s="28">
        <f>[13]Quantity_shares!BG252</f>
        <v>0.36543909348441928</v>
      </c>
      <c r="K26" s="17">
        <f t="shared" si="1"/>
        <v>0.87837837837837829</v>
      </c>
      <c r="L26" s="17">
        <f t="shared" si="2"/>
        <v>3.3783783783783779E-2</v>
      </c>
      <c r="M26" s="17">
        <f t="shared" si="3"/>
        <v>3.3783783783783786E-3</v>
      </c>
      <c r="N26" s="17">
        <f t="shared" si="4"/>
        <v>8.4459459459459457E-2</v>
      </c>
      <c r="O26" t="s">
        <v>44</v>
      </c>
      <c r="Q26" s="31">
        <f>MECS_data!AR22</f>
        <v>1.6891891891891889E-2</v>
      </c>
      <c r="R26" s="31">
        <f>MECS_data!AS22</f>
        <v>1.6891891891891889E-2</v>
      </c>
      <c r="S26" s="31">
        <f>MECS_data!AT22</f>
        <v>0.87837837837837829</v>
      </c>
      <c r="T26" s="31">
        <f>MECS_data!AU22</f>
        <v>3.3783783783783779E-2</v>
      </c>
      <c r="U26" s="31">
        <f>MECS_data!AV22</f>
        <v>3.3783783783783786E-3</v>
      </c>
      <c r="V26" s="31">
        <f>MECS_data!AW22</f>
        <v>0</v>
      </c>
      <c r="W26" s="31">
        <f>MECS_data!AX22</f>
        <v>5.0675675675675672E-2</v>
      </c>
      <c r="X26" s="32">
        <f>MECS_data!AY22</f>
        <v>0.99999999999999989</v>
      </c>
      <c r="Z26" s="4">
        <f>'[25]Predicted Residual Prices'!AS299</f>
        <v>2.93</v>
      </c>
      <c r="AA26" s="4">
        <f>'[26]Predicted Distillate Prices'!AS299</f>
        <v>5.49</v>
      </c>
      <c r="AB26" s="4">
        <f>'[27]Predicted Gas Prices'!AR299</f>
        <v>3.4</v>
      </c>
      <c r="AC26" s="4">
        <f>'[28]Predicted LPG Prices'!AS299</f>
        <v>8</v>
      </c>
      <c r="AD26" s="4">
        <f>'[29]Predicted Coal Prices'!AS299</f>
        <v>2</v>
      </c>
      <c r="AE26" s="4">
        <f>'[30]Predicted Coke Prices'!AS257</f>
        <v>0</v>
      </c>
      <c r="AF26" s="4">
        <f>'[31]Predicted Other Prices'!AT257</f>
        <v>0.41514360313315923</v>
      </c>
      <c r="AH26" s="115">
        <f t="shared" si="0"/>
        <v>3.4267809258344499</v>
      </c>
      <c r="AI26" s="4">
        <f>'[32]Quantity Shares_1998 forward'!AH26</f>
        <v>3.4267809258344499</v>
      </c>
    </row>
    <row r="27" spans="4:35" x14ac:dyDescent="0.2">
      <c r="D27" s="27">
        <f>[13]Quantity_shares!BB253</f>
        <v>1998</v>
      </c>
      <c r="E27" s="27" t="str">
        <f>[13]Quantity_shares!BC253</f>
        <v>336</v>
      </c>
      <c r="F27" s="28">
        <f>[13]Quantity_shares!BD253</f>
        <v>0.71380471380471378</v>
      </c>
      <c r="G27" s="28">
        <f>[13]Quantity_shares!BE253</f>
        <v>6.7340067340067339E-2</v>
      </c>
      <c r="H27" s="28">
        <f>[13]Quantity_shares!BF253</f>
        <v>9.7643097643097643E-2</v>
      </c>
      <c r="I27" s="28">
        <f>[13]Quantity_shares!BG253</f>
        <v>0.12121212121212122</v>
      </c>
      <c r="K27" s="17">
        <f t="shared" si="1"/>
        <v>0.71525423728813564</v>
      </c>
      <c r="L27" s="17">
        <f t="shared" si="2"/>
        <v>6.7796610169491525E-2</v>
      </c>
      <c r="M27" s="17">
        <f t="shared" si="3"/>
        <v>0.10169491525423729</v>
      </c>
      <c r="N27" s="17">
        <f t="shared" si="4"/>
        <v>0.11525423728813559</v>
      </c>
      <c r="O27" t="s">
        <v>46</v>
      </c>
      <c r="Q27" s="31">
        <f>MECS_data!AR23</f>
        <v>1.6949152542372881E-2</v>
      </c>
      <c r="R27" s="31">
        <f>MECS_data!AS23</f>
        <v>5.0847457627118647E-2</v>
      </c>
      <c r="S27" s="31">
        <f>MECS_data!AT23</f>
        <v>0.71525423728813564</v>
      </c>
      <c r="T27" s="31">
        <f>MECS_data!AU23</f>
        <v>1.3559322033898305E-2</v>
      </c>
      <c r="U27" s="31">
        <f>MECS_data!AV23</f>
        <v>9.8305084745762716E-2</v>
      </c>
      <c r="V27" s="31">
        <f>MECS_data!AW23</f>
        <v>3.3898305084745762E-3</v>
      </c>
      <c r="W27" s="31">
        <f>MECS_data!AX23</f>
        <v>0.10169491525423729</v>
      </c>
      <c r="X27" s="32">
        <f>MECS_data!AY23</f>
        <v>1</v>
      </c>
      <c r="Z27" s="4">
        <f>'[25]Predicted Residual Prices'!AS300</f>
        <v>2.79</v>
      </c>
      <c r="AA27" s="4">
        <f>'[26]Predicted Distillate Prices'!AS300</f>
        <v>4.84</v>
      </c>
      <c r="AB27" s="4">
        <f>'[27]Predicted Gas Prices'!AR300</f>
        <v>3.24</v>
      </c>
      <c r="AC27" s="4">
        <f>'[28]Predicted LPG Prices'!AS300</f>
        <v>8.0500000000000007</v>
      </c>
      <c r="AD27" s="4">
        <f>'[29]Predicted Coal Prices'!AS300</f>
        <v>1.79</v>
      </c>
      <c r="AE27" s="4">
        <f>'[30]Predicted Coke Prices'!AS258</f>
        <v>0</v>
      </c>
      <c r="AF27" s="4">
        <f>'[31]Predicted Other Prices'!AT258</f>
        <v>3.8518518518518516</v>
      </c>
      <c r="AH27" s="115">
        <f t="shared" si="0"/>
        <v>3.2876459510357821</v>
      </c>
      <c r="AI27" s="4">
        <f>'[32]Quantity Shares_1998 forward'!AH27</f>
        <v>3.2876459510357821</v>
      </c>
    </row>
    <row r="28" spans="4:35" x14ac:dyDescent="0.2">
      <c r="D28" s="27">
        <f>[13]Quantity_shares!BB254</f>
        <v>1998</v>
      </c>
      <c r="E28" s="27" t="str">
        <f>[13]Quantity_shares!BC254</f>
        <v>337</v>
      </c>
      <c r="F28" s="28">
        <f>[13]Quantity_shares!BD254</f>
        <v>0.45569620253164556</v>
      </c>
      <c r="G28" s="28">
        <f>[13]Quantity_shares!BE254</f>
        <v>2.1097046413502109E-2</v>
      </c>
      <c r="H28" s="28">
        <f>[13]Quantity_shares!BF254</f>
        <v>3.3755274261603373E-2</v>
      </c>
      <c r="I28" s="28">
        <f>[13]Quantity_shares!BG254</f>
        <v>0.48945147679324896</v>
      </c>
      <c r="K28" s="17">
        <f t="shared" si="1"/>
        <v>0.59471365638766527</v>
      </c>
      <c r="L28" s="17">
        <f t="shared" si="2"/>
        <v>3.0837004405286347E-2</v>
      </c>
      <c r="M28" s="17">
        <f t="shared" si="3"/>
        <v>4.405286343612335E-2</v>
      </c>
      <c r="N28" s="17">
        <f t="shared" si="4"/>
        <v>0.33039647577092512</v>
      </c>
      <c r="O28" t="s">
        <v>48</v>
      </c>
      <c r="Q28" s="31">
        <f>MECS_data!AR24</f>
        <v>8.8105726872246704E-3</v>
      </c>
      <c r="R28" s="31">
        <f>MECS_data!AS24</f>
        <v>2.2026431718061675E-2</v>
      </c>
      <c r="S28" s="31">
        <f>MECS_data!AT24</f>
        <v>0.59471365638766527</v>
      </c>
      <c r="T28" s="31">
        <f>MECS_data!AU24</f>
        <v>2.2026431718061675E-2</v>
      </c>
      <c r="U28" s="31">
        <f>MECS_data!AV24</f>
        <v>4.405286343612335E-2</v>
      </c>
      <c r="V28" s="31">
        <f>MECS_data!AW24</f>
        <v>0</v>
      </c>
      <c r="W28" s="31">
        <f>MECS_data!AX24</f>
        <v>0.30837004405286345</v>
      </c>
      <c r="X28" s="32">
        <f>MECS_data!AY24</f>
        <v>1</v>
      </c>
      <c r="Z28" s="4">
        <f>'[25]Predicted Residual Prices'!AS301</f>
        <v>2.6</v>
      </c>
      <c r="AA28" s="4">
        <f>'[26]Predicted Distillate Prices'!AS301</f>
        <v>5.41</v>
      </c>
      <c r="AB28" s="4">
        <f>'[27]Predicted Gas Prices'!AR301</f>
        <v>4.1900000000000004</v>
      </c>
      <c r="AC28" s="4">
        <f>'[28]Predicted LPG Prices'!AS301</f>
        <v>7.82</v>
      </c>
      <c r="AD28" s="4">
        <f>'[29]Predicted Coal Prices'!AS301</f>
        <v>2</v>
      </c>
      <c r="AE28" s="4">
        <f>'[30]Predicted Coke Prices'!AS259</f>
        <v>0</v>
      </c>
      <c r="AF28" s="4">
        <f>'[31]Predicted Other Prices'!AT259</f>
        <v>4.666666666666667</v>
      </c>
      <c r="AH28" s="115">
        <f t="shared" si="0"/>
        <v>4.3333333333333339</v>
      </c>
      <c r="AI28" s="4">
        <f>'[32]Quantity Shares_1998 forward'!AH28</f>
        <v>4.3333333333333339</v>
      </c>
    </row>
    <row r="29" spans="4:35" x14ac:dyDescent="0.2">
      <c r="D29" s="27">
        <f>[13]Quantity_shares!BB255</f>
        <v>1998</v>
      </c>
      <c r="E29" s="27" t="str">
        <f>[13]Quantity_shares!BC255</f>
        <v>339</v>
      </c>
      <c r="F29" s="28">
        <f>[13]Quantity_shares!BD255</f>
        <v>0.82901554404145072</v>
      </c>
      <c r="G29" s="28">
        <f>[13]Quantity_shares!BE255</f>
        <v>6.2176165803108807E-2</v>
      </c>
      <c r="H29" s="28">
        <f>[13]Quantity_shares!BF255</f>
        <v>5.1813471502590676E-3</v>
      </c>
      <c r="I29" s="28">
        <f>[13]Quantity_shares!BG255</f>
        <v>0.10362694300518134</v>
      </c>
      <c r="K29" s="17">
        <f t="shared" si="1"/>
        <v>0.84925690021231415</v>
      </c>
      <c r="L29" s="17">
        <f t="shared" si="2"/>
        <v>6.3694267515923567E-2</v>
      </c>
      <c r="M29" s="17">
        <f t="shared" si="3"/>
        <v>2.1231422505307855E-3</v>
      </c>
      <c r="N29" s="17">
        <f t="shared" si="4"/>
        <v>8.4925690021231418E-2</v>
      </c>
      <c r="O29" t="s">
        <v>50</v>
      </c>
      <c r="Q29" s="31">
        <f>MECS_data!AR25</f>
        <v>2.1231422505307854E-2</v>
      </c>
      <c r="R29" s="31">
        <f>MECS_data!AS25</f>
        <v>4.2462845010615709E-2</v>
      </c>
      <c r="S29" s="31">
        <f>MECS_data!AT25</f>
        <v>0.84925690021231415</v>
      </c>
      <c r="T29" s="31">
        <f>MECS_data!AU25</f>
        <v>2.1231422505307854E-2</v>
      </c>
      <c r="U29" s="31">
        <f>MECS_data!AV25</f>
        <v>2.1231422505307855E-3</v>
      </c>
      <c r="V29" s="31">
        <f>MECS_data!AW25</f>
        <v>0</v>
      </c>
      <c r="W29" s="31">
        <f>MECS_data!AX25</f>
        <v>6.3694267515923567E-2</v>
      </c>
      <c r="X29" s="32">
        <f>MECS_data!AY25</f>
        <v>0.99999999999999989</v>
      </c>
      <c r="Z29" s="4">
        <f>'[25]Predicted Residual Prices'!AS302</f>
        <v>2.6</v>
      </c>
      <c r="AA29" s="4">
        <f>'[26]Predicted Distillate Prices'!AS302</f>
        <v>4.3</v>
      </c>
      <c r="AB29" s="4">
        <f>'[27]Predicted Gas Prices'!AR302</f>
        <v>3.89</v>
      </c>
      <c r="AC29" s="4">
        <f>'[28]Predicted LPG Prices'!AS302</f>
        <v>12.94</v>
      </c>
      <c r="AD29" s="4">
        <f>'[29]Predicted Coal Prices'!AS302</f>
        <v>2</v>
      </c>
      <c r="AE29" s="4">
        <f>'[30]Predicted Coke Prices'!AS260</f>
        <v>0</v>
      </c>
      <c r="AF29" s="4">
        <f>'[31]Predicted Other Prices'!AT260</f>
        <v>3.6</v>
      </c>
      <c r="AH29" s="115">
        <f t="shared" si="0"/>
        <v>4.0496815286624201</v>
      </c>
      <c r="AI29" s="4">
        <f>'[32]Quantity Shares_1998 forward'!AH29</f>
        <v>4.0496815286624201</v>
      </c>
    </row>
    <row r="30" spans="4:35" x14ac:dyDescent="0.2">
      <c r="D30">
        <f>[13]Quantity_shares!BB256</f>
        <v>1999</v>
      </c>
      <c r="E30" t="str">
        <f>[13]Quantity_shares!BC256</f>
        <v>311</v>
      </c>
      <c r="F30" s="26">
        <f>[13]Quantity_shares!BD256</f>
        <v>0.67488142872277135</v>
      </c>
      <c r="G30" s="26">
        <f>[13]Quantity_shares!BE256</f>
        <v>3.6105157646828728E-2</v>
      </c>
      <c r="H30" s="26">
        <f>[13]Quantity_shares!BF256</f>
        <v>0.16834472867143127</v>
      </c>
      <c r="I30" s="26">
        <f>[13]Quantity_shares!BG256</f>
        <v>0.12066868495896864</v>
      </c>
      <c r="O30" t="s">
        <v>10</v>
      </c>
      <c r="P30">
        <v>1999</v>
      </c>
      <c r="Q30" s="26">
        <f t="shared" ref="Q30:T45" si="5">0.75*Q9+0.25*Q93</f>
        <v>1.7333215977759095E-2</v>
      </c>
      <c r="R30" s="26">
        <f t="shared" si="5"/>
        <v>2.1032192859722656E-2</v>
      </c>
      <c r="S30" s="26">
        <f t="shared" si="5"/>
        <v>0.71727448760634083</v>
      </c>
      <c r="T30" s="26">
        <f t="shared" si="5"/>
        <v>6.2958483442241333E-3</v>
      </c>
      <c r="U30" s="26">
        <f t="shared" ref="U30:W50" si="6">0.75*U9+0.25*U93</f>
        <v>0.17866665351474886</v>
      </c>
      <c r="V30" s="26">
        <f t="shared" si="6"/>
        <v>2.223179951621176E-3</v>
      </c>
      <c r="W30" s="26">
        <f t="shared" si="6"/>
        <v>5.717442174558323E-2</v>
      </c>
      <c r="X30" s="26">
        <f>SUM(Q30:W30)</f>
        <v>0.99999999999999989</v>
      </c>
      <c r="Z30" s="4">
        <f>'[25]Predicted Residual Prices'!AS303</f>
        <v>2.7223139392176079</v>
      </c>
      <c r="AA30" s="4">
        <f>'[26]Predicted Distillate Prices'!AS303</f>
        <v>5.2504253778421646</v>
      </c>
      <c r="AB30" s="4">
        <f>'[27]Predicted Gas Prices'!AR303</f>
        <v>3.0165421673945576</v>
      </c>
      <c r="AC30" s="4">
        <f>'[28]Predicted LPG Prices'!AS303</f>
        <v>7.6157407162722164</v>
      </c>
      <c r="AD30" s="4">
        <f>'[29]Predicted Coal Prices'!AS303</f>
        <v>1.3972703504336215</v>
      </c>
      <c r="AE30" s="4">
        <f>'[30]Predicted Coke Prices'!AS261</f>
        <v>6.0079157267523513</v>
      </c>
      <c r="AF30" s="4">
        <f>'[31]Predicted Other Prices'!AT261</f>
        <v>2.9238001803903613</v>
      </c>
      <c r="AH30" s="115">
        <f t="shared" si="0"/>
        <v>2.7994195806250683</v>
      </c>
      <c r="AI30" s="4">
        <f>'[32]Quantity Shares_1998 forward'!AH30</f>
        <v>2.7916192284790733</v>
      </c>
    </row>
    <row r="31" spans="4:35" x14ac:dyDescent="0.2">
      <c r="D31">
        <f>[13]Quantity_shares!BB257</f>
        <v>1999</v>
      </c>
      <c r="E31" t="str">
        <f>[13]Quantity_shares!BC257</f>
        <v>312</v>
      </c>
      <c r="F31" s="26">
        <f>[13]Quantity_shares!BD257</f>
        <v>0.5540624034599938</v>
      </c>
      <c r="G31" s="26">
        <f>[13]Quantity_shares!BE257</f>
        <v>4.8965091133765834E-2</v>
      </c>
      <c r="H31" s="26">
        <f>[13]Quantity_shares!BF257</f>
        <v>0.31653537225826389</v>
      </c>
      <c r="I31" s="26">
        <f>[13]Quantity_shares!BG257</f>
        <v>8.0437133147976514E-2</v>
      </c>
      <c r="O31" t="s">
        <v>12</v>
      </c>
      <c r="Q31" s="26">
        <f t="shared" si="5"/>
        <v>2.4786189420335766E-2</v>
      </c>
      <c r="R31" s="26">
        <f t="shared" si="5"/>
        <v>2.4786189420335766E-2</v>
      </c>
      <c r="S31" s="26">
        <f t="shared" si="5"/>
        <v>0.56093601520430791</v>
      </c>
      <c r="T31" s="26">
        <f t="shared" si="5"/>
        <v>1.2393094710167883E-2</v>
      </c>
      <c r="U31" s="26">
        <f t="shared" si="6"/>
        <v>0.32043870763382959</v>
      </c>
      <c r="V31" s="26">
        <f t="shared" si="6"/>
        <v>0</v>
      </c>
      <c r="W31" s="26">
        <f t="shared" si="6"/>
        <v>5.6659803611023116E-2</v>
      </c>
      <c r="X31" s="26">
        <f t="shared" ref="X31:X92" si="7">SUM(Q31:W31)</f>
        <v>1</v>
      </c>
      <c r="Z31" s="4">
        <f>'[25]Predicted Residual Prices'!AS304</f>
        <v>3.1853856144811714</v>
      </c>
      <c r="AA31" s="4">
        <f>'[26]Predicted Distillate Prices'!AS304</f>
        <v>5.8268361472994243</v>
      </c>
      <c r="AB31" s="4">
        <f>'[27]Predicted Gas Prices'!AR304</f>
        <v>3.0639123266827557</v>
      </c>
      <c r="AC31" s="4">
        <f>'[28]Predicted LPG Prices'!AS304</f>
        <v>7.6793856894896928</v>
      </c>
      <c r="AD31" s="4">
        <f>'[29]Predicted Coal Prices'!AS304</f>
        <v>1.7994508958860282</v>
      </c>
      <c r="AE31" s="4">
        <f>'[30]Predicted Coke Prices'!AS262</f>
        <v>0</v>
      </c>
      <c r="AF31" s="4">
        <f>'[31]Predicted Other Prices'!AT262</f>
        <v>2.1068422754296718</v>
      </c>
      <c r="AH31" s="115">
        <f t="shared" si="0"/>
        <v>2.7331957504096063</v>
      </c>
      <c r="AI31" s="4">
        <f>'[32]Quantity Shares_1998 forward'!AH31</f>
        <v>2.8263877895293077</v>
      </c>
    </row>
    <row r="32" spans="4:35" x14ac:dyDescent="0.2">
      <c r="D32">
        <f>[13]Quantity_shares!BB258</f>
        <v>1999</v>
      </c>
      <c r="E32" t="str">
        <f>[13]Quantity_shares!BC258</f>
        <v>313</v>
      </c>
      <c r="F32" s="26">
        <f>[13]Quantity_shares!BD258</f>
        <v>0.66036414565826329</v>
      </c>
      <c r="G32" s="26">
        <f>[13]Quantity_shares!BE258</f>
        <v>9.1036414565826326E-2</v>
      </c>
      <c r="H32" s="26">
        <f>[13]Quantity_shares!BF258</f>
        <v>0.14425770308123251</v>
      </c>
      <c r="I32" s="26">
        <f>[13]Quantity_shares!BG258</f>
        <v>0.10434173669467786</v>
      </c>
      <c r="O32" t="s">
        <v>14</v>
      </c>
      <c r="Q32" s="26">
        <f t="shared" si="5"/>
        <v>6.6467877473570081E-2</v>
      </c>
      <c r="R32" s="26">
        <f t="shared" si="5"/>
        <v>2.3556519381946327E-2</v>
      </c>
      <c r="S32" s="26">
        <f t="shared" si="5"/>
        <v>0.64901057197072376</v>
      </c>
      <c r="T32" s="26">
        <f t="shared" si="5"/>
        <v>1.3879100027107617E-2</v>
      </c>
      <c r="U32" s="26">
        <f t="shared" si="6"/>
        <v>0.14299268094334508</v>
      </c>
      <c r="V32" s="26">
        <f t="shared" si="6"/>
        <v>0</v>
      </c>
      <c r="W32" s="26">
        <f t="shared" si="6"/>
        <v>0.10409325020330712</v>
      </c>
      <c r="X32" s="26">
        <f t="shared" si="7"/>
        <v>1</v>
      </c>
      <c r="Z32" s="4">
        <f>'[25]Predicted Residual Prices'!AS305</f>
        <v>3.2944321535839758</v>
      </c>
      <c r="AA32" s="4">
        <f>'[26]Predicted Distillate Prices'!AS305</f>
        <v>4.5301764015998414</v>
      </c>
      <c r="AB32" s="4">
        <f>'[27]Predicted Gas Prices'!AR305</f>
        <v>3.391485935460623</v>
      </c>
      <c r="AC32" s="4">
        <f>'[28]Predicted LPG Prices'!AS305</f>
        <v>7.4290799677234975</v>
      </c>
      <c r="AD32" s="4">
        <f>'[29]Predicted Coal Prices'!AS305</f>
        <v>2.0517562163518486</v>
      </c>
      <c r="AE32" s="4">
        <f>'[30]Predicted Coke Prices'!AS263</f>
        <v>0</v>
      </c>
      <c r="AF32" s="4">
        <f>'[31]Predicted Other Prices'!AT263</f>
        <v>2.5350944380262748</v>
      </c>
      <c r="AH32" s="115">
        <f t="shared" si="0"/>
        <v>3.1871806133675178</v>
      </c>
      <c r="AI32" s="4">
        <f>'[32]Quantity Shares_1998 forward'!AH32</f>
        <v>3.1743521728693467</v>
      </c>
    </row>
    <row r="33" spans="4:35" x14ac:dyDescent="0.2">
      <c r="D33">
        <f>[13]Quantity_shares!BB259</f>
        <v>1999</v>
      </c>
      <c r="E33" t="str">
        <f>[13]Quantity_shares!BC259</f>
        <v>314</v>
      </c>
      <c r="F33" s="26">
        <f>[13]Quantity_shares!BD259</f>
        <v>0.79955631660996185</v>
      </c>
      <c r="G33" s="26">
        <f>[13]Quantity_shares!BE259</f>
        <v>2.8634811912862577E-2</v>
      </c>
      <c r="H33" s="26">
        <f>[13]Quantity_shares!BF259</f>
        <v>0.15465698136472444</v>
      </c>
      <c r="I33" s="26">
        <f>[13]Quantity_shares!BG259</f>
        <v>1.715189011245102E-2</v>
      </c>
      <c r="O33" t="s">
        <v>16</v>
      </c>
      <c r="Q33" s="26">
        <f t="shared" si="5"/>
        <v>8.2080259471356068E-2</v>
      </c>
      <c r="R33" s="26">
        <f t="shared" si="5"/>
        <v>4.2772231352306206E-2</v>
      </c>
      <c r="S33" s="26">
        <f t="shared" si="5"/>
        <v>0.73169981249140281</v>
      </c>
      <c r="T33" s="26">
        <f t="shared" si="5"/>
        <v>1.2826963591477407E-2</v>
      </c>
      <c r="U33" s="26">
        <f t="shared" si="6"/>
        <v>0.12249596385934683</v>
      </c>
      <c r="V33" s="26">
        <f t="shared" si="6"/>
        <v>0</v>
      </c>
      <c r="W33" s="26">
        <f t="shared" si="6"/>
        <v>8.1247692341106376E-3</v>
      </c>
      <c r="X33" s="26">
        <f t="shared" si="7"/>
        <v>0.99999999999999989</v>
      </c>
      <c r="Z33" s="4">
        <f>'[25]Predicted Residual Prices'!AS306</f>
        <v>3.3875880844613668</v>
      </c>
      <c r="AA33" s="4">
        <f>'[26]Predicted Distillate Prices'!AS306</f>
        <v>4.2175944588579295</v>
      </c>
      <c r="AB33" s="4">
        <f>'[27]Predicted Gas Prices'!AR306</f>
        <v>3.4802389286224313</v>
      </c>
      <c r="AC33" s="4">
        <f>'[28]Predicted LPG Prices'!AS306</f>
        <v>9.0528128913833878</v>
      </c>
      <c r="AD33" s="4">
        <f>'[29]Predicted Coal Prices'!AS306</f>
        <v>1.9340924254696363</v>
      </c>
      <c r="AE33" s="4">
        <f>'[30]Predicted Coke Prices'!AS264</f>
        <v>0</v>
      </c>
      <c r="AF33" s="4">
        <f>'[31]Predicted Other Prices'!AT264</f>
        <v>2.4842421735699984</v>
      </c>
      <c r="AH33" s="115">
        <f t="shared" si="0"/>
        <v>3.3781627179885514</v>
      </c>
      <c r="AI33" s="4">
        <f>'[32]Quantity Shares_1998 forward'!AH33</f>
        <v>3.3703170930978588</v>
      </c>
    </row>
    <row r="34" spans="4:35" x14ac:dyDescent="0.2">
      <c r="D34">
        <f>[13]Quantity_shares!BB260</f>
        <v>1999</v>
      </c>
      <c r="E34" t="str">
        <f>[13]Quantity_shares!BC260</f>
        <v>315</v>
      </c>
      <c r="F34" s="26">
        <f>[13]Quantity_shares!BD260</f>
        <v>0.75527871621621612</v>
      </c>
      <c r="G34" s="26">
        <f>[13]Quantity_shares!BE260</f>
        <v>9.0582770270270258E-2</v>
      </c>
      <c r="H34" s="26">
        <f>[13]Quantity_shares!BF260</f>
        <v>2.3437500000000135E-2</v>
      </c>
      <c r="I34" s="26">
        <f>[13]Quantity_shares!BG260</f>
        <v>0.13070101351351351</v>
      </c>
      <c r="O34" t="s">
        <v>18</v>
      </c>
      <c r="Q34" s="26">
        <f t="shared" si="5"/>
        <v>5.262438490978677E-2</v>
      </c>
      <c r="R34" s="26">
        <f t="shared" si="5"/>
        <v>3.831784217240751E-2</v>
      </c>
      <c r="S34" s="26">
        <f t="shared" si="5"/>
        <v>0.78244031346819742</v>
      </c>
      <c r="T34" s="26">
        <f t="shared" si="5"/>
        <v>2.5605977765627848E-2</v>
      </c>
      <c r="U34" s="26">
        <f t="shared" si="6"/>
        <v>2.4193548387096774E-2</v>
      </c>
      <c r="V34" s="26">
        <f t="shared" si="6"/>
        <v>0</v>
      </c>
      <c r="W34" s="26">
        <f t="shared" si="6"/>
        <v>7.6817933296883537E-2</v>
      </c>
      <c r="X34" s="26">
        <f t="shared" si="7"/>
        <v>0.99999999999999989</v>
      </c>
      <c r="Z34" s="4">
        <f>'[25]Predicted Residual Prices'!AS307</f>
        <v>3.3712614524670461</v>
      </c>
      <c r="AA34" s="4">
        <f>'[26]Predicted Distillate Prices'!AS307</f>
        <v>5.6524999999999999</v>
      </c>
      <c r="AB34" s="4">
        <f>'[27]Predicted Gas Prices'!AR307</f>
        <v>3.8671716826548863</v>
      </c>
      <c r="AC34" s="4">
        <f>'[28]Predicted LPG Prices'!AS307</f>
        <v>8.0161564122356825</v>
      </c>
      <c r="AD34" s="4">
        <f>'[29]Predicted Coal Prices'!AS307</f>
        <v>2.0600354501408846</v>
      </c>
      <c r="AE34" s="4">
        <f>'[30]Predicted Coke Prices'!AS265</f>
        <v>0</v>
      </c>
      <c r="AF34" s="4">
        <f>'[31]Predicted Other Prices'!AT265</f>
        <v>2.2525422212458386</v>
      </c>
      <c r="AH34" s="115">
        <f t="shared" si="0"/>
        <v>3.8479699150972086</v>
      </c>
      <c r="AI34" s="4">
        <f>'[32]Quantity Shares_1998 forward'!AH34</f>
        <v>3.7756560693247319</v>
      </c>
    </row>
    <row r="35" spans="4:35" x14ac:dyDescent="0.2">
      <c r="D35">
        <f>[13]Quantity_shares!BB261</f>
        <v>1999</v>
      </c>
      <c r="E35" t="str">
        <f>[13]Quantity_shares!BC261</f>
        <v>316</v>
      </c>
      <c r="F35" s="26">
        <f>[13]Quantity_shares!BD261</f>
        <v>0.80833333333333179</v>
      </c>
      <c r="G35" s="26">
        <f>[13]Quantity_shares!BE261</f>
        <v>9.5833333333333146E-2</v>
      </c>
      <c r="H35" s="26">
        <f>[13]Quantity_shares!BF261</f>
        <v>2.0208333333333293E-15</v>
      </c>
      <c r="I35" s="26">
        <f>[13]Quantity_shares!BG261</f>
        <v>9.5833333333333146E-2</v>
      </c>
      <c r="O35" t="s">
        <v>20</v>
      </c>
      <c r="Q35" s="26">
        <f t="shared" si="5"/>
        <v>3.5000000000000003E-2</v>
      </c>
      <c r="R35" s="26">
        <f t="shared" si="5"/>
        <v>8.0000000000000016E-2</v>
      </c>
      <c r="S35" s="26">
        <f t="shared" si="5"/>
        <v>0.8</v>
      </c>
      <c r="T35" s="26">
        <f t="shared" si="5"/>
        <v>5.000000000000001E-2</v>
      </c>
      <c r="U35" s="26">
        <f t="shared" si="6"/>
        <v>0</v>
      </c>
      <c r="V35" s="26">
        <f t="shared" si="6"/>
        <v>0</v>
      </c>
      <c r="W35" s="26">
        <f t="shared" si="6"/>
        <v>3.5000000000000003E-2</v>
      </c>
      <c r="X35" s="26">
        <f t="shared" si="7"/>
        <v>1</v>
      </c>
      <c r="Z35" s="4">
        <f>'[25]Predicted Residual Prices'!AS308</f>
        <v>2.959083546258189</v>
      </c>
      <c r="AA35" s="4">
        <f>'[26]Predicted Distillate Prices'!AS308</f>
        <v>5.0505617500860689</v>
      </c>
      <c r="AB35" s="4">
        <f>'[27]Predicted Gas Prices'!AR308</f>
        <v>3.5959150992351456</v>
      </c>
      <c r="AC35" s="4">
        <f>'[28]Predicted LPG Prices'!AS308</f>
        <v>6.9330077072677962</v>
      </c>
      <c r="AD35" s="4">
        <f>'[29]Predicted Coal Prices'!AS308</f>
        <v>1.5728975821862903</v>
      </c>
      <c r="AE35" s="4">
        <f>'[30]Predicted Coke Prices'!AS266</f>
        <v>0</v>
      </c>
      <c r="AF35" s="4">
        <f>'[31]Predicted Other Prices'!AT266</f>
        <v>2.6637711106229194</v>
      </c>
      <c r="AH35" s="115">
        <f t="shared" si="0"/>
        <v>3.824227317749231</v>
      </c>
      <c r="AI35" s="4">
        <f>'[32]Quantity Shares_1998 forward'!AH35</f>
        <v>3.8130598456035845</v>
      </c>
    </row>
    <row r="36" spans="4:35" x14ac:dyDescent="0.2">
      <c r="D36">
        <f>[13]Quantity_shares!BB262</f>
        <v>1999</v>
      </c>
      <c r="E36" t="str">
        <f>[13]Quantity_shares!BC262</f>
        <v>321</v>
      </c>
      <c r="F36" s="26">
        <f>[13]Quantity_shares!BD262</f>
        <v>0.17260309746570984</v>
      </c>
      <c r="G36" s="26">
        <f>[13]Quantity_shares!BE262</f>
        <v>3.3158476398098526E-2</v>
      </c>
      <c r="H36" s="26">
        <f>[13]Quantity_shares!BF262</f>
        <v>4.2654494807278891E-3</v>
      </c>
      <c r="I36" s="26">
        <f>[13]Quantity_shares!BG262</f>
        <v>0.78997297665546373</v>
      </c>
      <c r="O36" t="s">
        <v>22</v>
      </c>
      <c r="Q36" s="26">
        <f t="shared" si="5"/>
        <v>5.5875576036866362E-3</v>
      </c>
      <c r="R36" s="26">
        <f t="shared" si="5"/>
        <v>6.3018433179723499E-2</v>
      </c>
      <c r="S36" s="26">
        <f t="shared" si="5"/>
        <v>0.37563364055299536</v>
      </c>
      <c r="T36" s="26">
        <f t="shared" si="5"/>
        <v>2.4366359447004611E-2</v>
      </c>
      <c r="U36" s="26">
        <f t="shared" si="6"/>
        <v>9.158986175115208E-3</v>
      </c>
      <c r="V36" s="26">
        <f t="shared" si="6"/>
        <v>0</v>
      </c>
      <c r="W36" s="26">
        <f t="shared" si="6"/>
        <v>0.52223502304147462</v>
      </c>
      <c r="X36" s="26">
        <f t="shared" si="7"/>
        <v>0.99999999999999989</v>
      </c>
      <c r="Z36" s="4">
        <f>'[25]Predicted Residual Prices'!AS309</f>
        <v>2.4864384952823952</v>
      </c>
      <c r="AA36" s="4">
        <f>'[26]Predicted Distillate Prices'!AS309</f>
        <v>4.8588346789115251</v>
      </c>
      <c r="AB36" s="4">
        <f>'[27]Predicted Gas Prices'!AR309</f>
        <v>3.1642424162683223</v>
      </c>
      <c r="AC36" s="4">
        <f>'[28]Predicted LPG Prices'!AS309</f>
        <v>7.0498243470246651</v>
      </c>
      <c r="AD36" s="4">
        <f>'[29]Predicted Coal Prices'!AS309</f>
        <v>1.9320888225858508</v>
      </c>
      <c r="AE36" s="4">
        <f>'[30]Predicted Coke Prices'!AS267</f>
        <v>0</v>
      </c>
      <c r="AF36" s="4">
        <f>'[31]Predicted Other Prices'!AT267</f>
        <v>1.8777692147767753</v>
      </c>
      <c r="AH36" s="115">
        <f t="shared" si="0"/>
        <v>2.678796543318327</v>
      </c>
      <c r="AI36" s="4">
        <f>'[32]Quantity Shares_1998 forward'!AH36</f>
        <v>2.6188896714245948</v>
      </c>
    </row>
    <row r="37" spans="4:35" x14ac:dyDescent="0.2">
      <c r="D37">
        <f>[13]Quantity_shares!BB263</f>
        <v>1999</v>
      </c>
      <c r="E37" t="str">
        <f>[13]Quantity_shares!BC263</f>
        <v>322</v>
      </c>
      <c r="F37" s="26">
        <f>[13]Quantity_shares!BD263</f>
        <v>0.23434025068894082</v>
      </c>
      <c r="G37" s="26">
        <f>[13]Quantity_shares!BE263</f>
        <v>6.110454235991785E-2</v>
      </c>
      <c r="H37" s="26">
        <f>[13]Quantity_shares!BF263</f>
        <v>0.1102758620303317</v>
      </c>
      <c r="I37" s="26">
        <f>[13]Quantity_shares!BG263</f>
        <v>0.59427934492080969</v>
      </c>
      <c r="O37" t="s">
        <v>24</v>
      </c>
      <c r="Q37" s="26">
        <f t="shared" si="5"/>
        <v>0.10254709256217422</v>
      </c>
      <c r="R37" s="26">
        <f t="shared" si="5"/>
        <v>7.6201621476958276E-3</v>
      </c>
      <c r="S37" s="26">
        <f t="shared" si="5"/>
        <v>0.42279723190017754</v>
      </c>
      <c r="T37" s="26">
        <f t="shared" si="5"/>
        <v>3.9715934620399088E-3</v>
      </c>
      <c r="U37" s="26">
        <f t="shared" si="6"/>
        <v>0.1989465862803014</v>
      </c>
      <c r="V37" s="26">
        <f t="shared" si="6"/>
        <v>8.5689802913453304E-4</v>
      </c>
      <c r="W37" s="26">
        <f t="shared" si="6"/>
        <v>0.26326043561847656</v>
      </c>
      <c r="X37" s="26">
        <f t="shared" si="7"/>
        <v>1</v>
      </c>
      <c r="Z37" s="4">
        <f>'[25]Predicted Residual Prices'!AS310</f>
        <v>2.7365959758158422</v>
      </c>
      <c r="AA37" s="4">
        <f>'[26]Predicted Distillate Prices'!AS310</f>
        <v>4.3473422967939621</v>
      </c>
      <c r="AB37" s="4">
        <f>'[27]Predicted Gas Prices'!AR310</f>
        <v>2.7189760008124466</v>
      </c>
      <c r="AC37" s="4">
        <f>'[28]Predicted LPG Prices'!AS310</f>
        <v>7.9075163762953489</v>
      </c>
      <c r="AD37" s="4">
        <f>'[29]Predicted Coal Prices'!AS310</f>
        <v>1.74871324701602</v>
      </c>
      <c r="AE37" s="4">
        <f>'[30]Predicted Coke Prices'!AS268</f>
        <v>3.4187500000000002</v>
      </c>
      <c r="AF37" s="4">
        <f>'[31]Predicted Other Prices'!AT268</f>
        <v>2.2149383573623398</v>
      </c>
      <c r="AH37" s="115">
        <f t="shared" si="0"/>
        <v>2.4286740689793174</v>
      </c>
      <c r="AI37" s="4">
        <f>'[32]Quantity Shares_1998 forward'!AH37</f>
        <v>2.4091825667623565</v>
      </c>
    </row>
    <row r="38" spans="4:35" x14ac:dyDescent="0.2">
      <c r="D38">
        <f>[13]Quantity_shares!BB264</f>
        <v>1999</v>
      </c>
      <c r="E38" t="str">
        <f>[13]Quantity_shares!BC264</f>
        <v>323</v>
      </c>
      <c r="F38" s="26">
        <f>[13]Quantity_shares!BD264</f>
        <v>0.92772499084308269</v>
      </c>
      <c r="G38" s="26">
        <f>[13]Quantity_shares!BE264</f>
        <v>1.0939822894447677E-2</v>
      </c>
      <c r="H38" s="26">
        <f>[13]Quantity_shares!BF264</f>
        <v>3.9267015706806801E-3</v>
      </c>
      <c r="I38" s="26">
        <f>[13]Quantity_shares!BG264</f>
        <v>5.7408484691788927E-2</v>
      </c>
      <c r="O38" t="s">
        <v>26</v>
      </c>
      <c r="Q38" s="26">
        <f t="shared" si="5"/>
        <v>7.0073198198198211E-3</v>
      </c>
      <c r="R38" s="26">
        <f t="shared" si="5"/>
        <v>1.0191441441441443E-2</v>
      </c>
      <c r="S38" s="26">
        <f t="shared" si="5"/>
        <v>0.93688063063063076</v>
      </c>
      <c r="T38" s="26">
        <f t="shared" si="5"/>
        <v>2.1424549549549553E-2</v>
      </c>
      <c r="U38" s="26">
        <f t="shared" si="6"/>
        <v>8.1081081081081099E-4</v>
      </c>
      <c r="V38" s="26">
        <f t="shared" si="6"/>
        <v>0</v>
      </c>
      <c r="W38" s="26">
        <f t="shared" si="6"/>
        <v>2.3685247747747752E-2</v>
      </c>
      <c r="X38" s="26">
        <f t="shared" si="7"/>
        <v>1.0000000000000002</v>
      </c>
      <c r="Z38" s="4">
        <f>'[25]Predicted Residual Prices'!AS311</f>
        <v>2.7312029807760432</v>
      </c>
      <c r="AA38" s="4">
        <f>'[26]Predicted Distillate Prices'!AS311</f>
        <v>4.8855887005493353</v>
      </c>
      <c r="AB38" s="4">
        <f>'[27]Predicted Gas Prices'!AR311</f>
        <v>3.8886864485320052</v>
      </c>
      <c r="AC38" s="4">
        <f>'[28]Predicted LPG Prices'!AS311</f>
        <v>8.1053898697760864</v>
      </c>
      <c r="AD38" s="4">
        <f>'[29]Predicted Coal Prices'!AS311</f>
        <v>1.949761179712393</v>
      </c>
      <c r="AE38" s="4">
        <f>'[30]Predicted Coke Prices'!AS269</f>
        <v>0</v>
      </c>
      <c r="AF38" s="4">
        <f>'[31]Predicted Other Prices'!AT269</f>
        <v>2.4431744305339222</v>
      </c>
      <c r="AH38" s="115">
        <f t="shared" si="0"/>
        <v>3.9452670221578159</v>
      </c>
      <c r="AI38" s="4">
        <f>'[32]Quantity Shares_1998 forward'!AH38</f>
        <v>3.934943595666669</v>
      </c>
    </row>
    <row r="39" spans="4:35" x14ac:dyDescent="0.2">
      <c r="D39">
        <f>[13]Quantity_shares!BB265</f>
        <v>1999</v>
      </c>
      <c r="E39" t="str">
        <f>[13]Quantity_shares!BC265</f>
        <v>324</v>
      </c>
      <c r="F39" s="26">
        <f>[13]Quantity_shares!BD265</f>
        <v>0.28655305399207842</v>
      </c>
      <c r="G39" s="26">
        <f>[13]Quantity_shares!BE265</f>
        <v>2.4700854700854702E-2</v>
      </c>
      <c r="H39" s="26">
        <f>[13]Quantity_shares!BF265</f>
        <v>3.6210131332082554E-3</v>
      </c>
      <c r="I39" s="26">
        <f>[13]Quantity_shares!BG265</f>
        <v>0.68512507817385859</v>
      </c>
      <c r="O39" t="s">
        <v>28</v>
      </c>
      <c r="Q39" s="26">
        <f t="shared" si="5"/>
        <v>1.9261243608990411E-2</v>
      </c>
      <c r="R39" s="26">
        <f t="shared" si="5"/>
        <v>1.4010689490089242E-2</v>
      </c>
      <c r="S39" s="26">
        <f t="shared" si="5"/>
        <v>0.74673992777394693</v>
      </c>
      <c r="T39" s="26">
        <f t="shared" si="5"/>
        <v>1.1680845044056075E-2</v>
      </c>
      <c r="U39" s="26">
        <f t="shared" si="6"/>
        <v>2.8817654724917472E-3</v>
      </c>
      <c r="V39" s="26">
        <f t="shared" si="6"/>
        <v>2.1737240239979134E-5</v>
      </c>
      <c r="W39" s="26">
        <f t="shared" si="6"/>
        <v>0.20540379137018566</v>
      </c>
      <c r="X39" s="26">
        <f t="shared" si="7"/>
        <v>1</v>
      </c>
      <c r="Z39" s="4">
        <f>'[25]Predicted Residual Prices'!AS312</f>
        <v>2.0980595166742817</v>
      </c>
      <c r="AA39" s="4">
        <f>'[26]Predicted Distillate Prices'!AS312</f>
        <v>4.4998371977595051</v>
      </c>
      <c r="AB39" s="4">
        <f>'[27]Predicted Gas Prices'!AR312</f>
        <v>2.5192924169636304</v>
      </c>
      <c r="AC39" s="4">
        <f>'[28]Predicted LPG Prices'!AS312</f>
        <v>5.5137593378730623</v>
      </c>
      <c r="AD39" s="4">
        <f>'[29]Predicted Coal Prices'!AS312</f>
        <v>1.9385126639286594</v>
      </c>
      <c r="AE39" s="4">
        <f>'[30]Predicted Coke Prices'!AS270</f>
        <v>0</v>
      </c>
      <c r="AF39" s="4">
        <f>'[31]Predicted Other Prices'!AT270</f>
        <v>2.9693128758951883</v>
      </c>
      <c r="AH39" s="115">
        <f t="shared" si="0"/>
        <v>2.6646131244474502</v>
      </c>
      <c r="AI39" s="4">
        <f>'[32]Quantity Shares_1998 forward'!AH39</f>
        <v>2.6549177203561225</v>
      </c>
    </row>
    <row r="40" spans="4:35" x14ac:dyDescent="0.2">
      <c r="D40">
        <f>[13]Quantity_shares!BB266</f>
        <v>1999</v>
      </c>
      <c r="E40" t="str">
        <f>[13]Quantity_shares!BC266</f>
        <v>325</v>
      </c>
      <c r="F40" s="26">
        <f>[13]Quantity_shares!BD266</f>
        <v>0.65577583667055861</v>
      </c>
      <c r="G40" s="26">
        <f>[13]Quantity_shares!BE266</f>
        <v>1.7401574588348265E-2</v>
      </c>
      <c r="H40" s="26">
        <f>[13]Quantity_shares!BF266</f>
        <v>9.9596750433748341E-2</v>
      </c>
      <c r="I40" s="26">
        <f>[13]Quantity_shares!BG266</f>
        <v>0.22722583830734477</v>
      </c>
      <c r="O40" t="s">
        <v>30</v>
      </c>
      <c r="Q40" s="26">
        <f t="shared" si="5"/>
        <v>1.4942248166690902E-2</v>
      </c>
      <c r="R40" s="26">
        <f t="shared" si="5"/>
        <v>3.6814716330473441E-3</v>
      </c>
      <c r="S40" s="26">
        <f t="shared" si="5"/>
        <v>0.69678376300974298</v>
      </c>
      <c r="T40" s="26">
        <f t="shared" si="5"/>
        <v>1.6588071545796373E-2</v>
      </c>
      <c r="U40" s="26">
        <f t="shared" si="6"/>
        <v>0.10692585744853231</v>
      </c>
      <c r="V40" s="26">
        <f t="shared" si="6"/>
        <v>6.3662047904937988E-4</v>
      </c>
      <c r="W40" s="26">
        <f t="shared" si="6"/>
        <v>0.16044196771714067</v>
      </c>
      <c r="X40" s="26">
        <f t="shared" si="7"/>
        <v>0.99999999999999989</v>
      </c>
      <c r="Z40" s="4">
        <f>'[25]Predicted Residual Prices'!AS313</f>
        <v>2.8975466143016404</v>
      </c>
      <c r="AA40" s="4">
        <f>'[26]Predicted Distillate Prices'!AS313</f>
        <v>5.0030060546631114</v>
      </c>
      <c r="AB40" s="4">
        <f>'[27]Predicted Gas Prices'!AR313</f>
        <v>2.4221449318737847</v>
      </c>
      <c r="AC40" s="4">
        <f>'[28]Predicted LPG Prices'!AS313</f>
        <v>5.2335321612460808</v>
      </c>
      <c r="AD40" s="4">
        <f>'[29]Predicted Coal Prices'!AS313</f>
        <v>1.6963244410794314</v>
      </c>
      <c r="AE40" s="4">
        <f>'[30]Predicted Coke Prices'!AS271</f>
        <v>4.5273517813894655</v>
      </c>
      <c r="AF40" s="4">
        <f>'[31]Predicted Other Prices'!AT271</f>
        <v>3.3832068422067505</v>
      </c>
      <c r="AH40" s="115">
        <f t="shared" si="0"/>
        <v>2.5633112647605847</v>
      </c>
      <c r="AI40" s="4">
        <f>'[32]Quantity Shares_1998 forward'!AH40</f>
        <v>2.5422391647865688</v>
      </c>
    </row>
    <row r="41" spans="4:35" x14ac:dyDescent="0.2">
      <c r="D41">
        <f>[13]Quantity_shares!BB267</f>
        <v>1999</v>
      </c>
      <c r="E41" t="str">
        <f>[13]Quantity_shares!BC267</f>
        <v>326</v>
      </c>
      <c r="F41" s="26">
        <f>[13]Quantity_shares!BD267</f>
        <v>0.86280593212628509</v>
      </c>
      <c r="G41" s="26">
        <f>[13]Quantity_shares!BE267</f>
        <v>4.5876171412974252E-2</v>
      </c>
      <c r="H41" s="26">
        <f>[13]Quantity_shares!BF267</f>
        <v>2.6401146392502954E-2</v>
      </c>
      <c r="I41" s="26">
        <f>[13]Quantity_shares!BG267</f>
        <v>6.4916750068237647E-2</v>
      </c>
      <c r="O41" t="s">
        <v>32</v>
      </c>
      <c r="Q41" s="26">
        <f t="shared" si="5"/>
        <v>3.6647727272727276E-2</v>
      </c>
      <c r="R41" s="26">
        <f t="shared" si="5"/>
        <v>8.2386363636363629E-3</v>
      </c>
      <c r="S41" s="26">
        <f t="shared" si="5"/>
        <v>0.85018939393939397</v>
      </c>
      <c r="T41" s="26">
        <f t="shared" si="5"/>
        <v>2.5378787878787876E-2</v>
      </c>
      <c r="U41" s="26">
        <f t="shared" si="6"/>
        <v>4.7443181818181815E-2</v>
      </c>
      <c r="V41" s="26">
        <f t="shared" si="6"/>
        <v>0</v>
      </c>
      <c r="W41" s="26">
        <f t="shared" si="6"/>
        <v>3.2102272727272729E-2</v>
      </c>
      <c r="X41" s="26">
        <f t="shared" si="7"/>
        <v>1</v>
      </c>
      <c r="Z41" s="4">
        <f>'[25]Predicted Residual Prices'!AS314</f>
        <v>2.9077933916297525</v>
      </c>
      <c r="AA41" s="4">
        <f>'[26]Predicted Distillate Prices'!AS314</f>
        <v>5.9771719800720122</v>
      </c>
      <c r="AB41" s="4">
        <f>'[27]Predicted Gas Prices'!AR314</f>
        <v>3.4735902377487706</v>
      </c>
      <c r="AC41" s="4">
        <f>'[28]Predicted LPG Prices'!AS314</f>
        <v>8.03912202883029</v>
      </c>
      <c r="AD41" s="4">
        <f>'[29]Predicted Coal Prices'!AS314</f>
        <v>2.287818884667475</v>
      </c>
      <c r="AE41" s="4">
        <f>'[30]Predicted Coke Prices'!AS272</f>
        <v>0</v>
      </c>
      <c r="AF41" s="4">
        <f>'[31]Predicted Other Prices'!AT272</f>
        <v>4.0410291689590725</v>
      </c>
      <c r="AH41" s="115">
        <f t="shared" si="0"/>
        <v>3.5513081451285506</v>
      </c>
      <c r="AI41" s="4">
        <f>'[32]Quantity Shares_1998 forward'!AH41</f>
        <v>3.5390252571032335</v>
      </c>
    </row>
    <row r="42" spans="4:35" x14ac:dyDescent="0.2">
      <c r="D42">
        <f>[13]Quantity_shares!BB268</f>
        <v>1999</v>
      </c>
      <c r="E42" t="str">
        <f>[13]Quantity_shares!BC268</f>
        <v>327</v>
      </c>
      <c r="F42" s="26">
        <f>[13]Quantity_shares!BD268</f>
        <v>0.50961522223449096</v>
      </c>
      <c r="G42" s="26">
        <f>[13]Quantity_shares!BE268</f>
        <v>2.7969459401528979E-2</v>
      </c>
      <c r="H42" s="26">
        <f>[13]Quantity_shares!BF268</f>
        <v>0.33988659318389958</v>
      </c>
      <c r="I42" s="26">
        <f>[13]Quantity_shares!BG268</f>
        <v>0.1225287251800804</v>
      </c>
      <c r="O42" t="s">
        <v>34</v>
      </c>
      <c r="Q42" s="26">
        <f t="shared" si="5"/>
        <v>4.7385264666033357E-3</v>
      </c>
      <c r="R42" s="26">
        <f t="shared" si="5"/>
        <v>2.4760951832183513E-2</v>
      </c>
      <c r="S42" s="26">
        <f t="shared" si="5"/>
        <v>0.54713881924220953</v>
      </c>
      <c r="T42" s="26">
        <f t="shared" si="5"/>
        <v>3.7831124538644824E-3</v>
      </c>
      <c r="U42" s="26">
        <f t="shared" si="6"/>
        <v>0.36481981841683148</v>
      </c>
      <c r="V42" s="26">
        <f t="shared" si="6"/>
        <v>1.2915998318097583E-2</v>
      </c>
      <c r="W42" s="26">
        <f t="shared" si="6"/>
        <v>4.1842773270210083E-2</v>
      </c>
      <c r="X42" s="26">
        <f t="shared" si="7"/>
        <v>1</v>
      </c>
      <c r="Z42" s="4">
        <f>'[25]Predicted Residual Prices'!AS315</f>
        <v>3.2158836741842074</v>
      </c>
      <c r="AA42" s="4">
        <f>'[26]Predicted Distillate Prices'!AS315</f>
        <v>5.5609053052717208</v>
      </c>
      <c r="AB42" s="4">
        <f>'[27]Predicted Gas Prices'!AR315</f>
        <v>2.9321357927290528</v>
      </c>
      <c r="AC42" s="4">
        <f>'[28]Predicted LPG Prices'!AS315</f>
        <v>7.8239272214477387</v>
      </c>
      <c r="AD42" s="4">
        <f>'[29]Predicted Coal Prices'!AS315</f>
        <v>1.5881070648511875</v>
      </c>
      <c r="AE42" s="4">
        <f>'[30]Predicted Coke Prices'!AS273</f>
        <v>2.2808163963413817</v>
      </c>
      <c r="AF42" s="4">
        <f>'[31]Predicted Other Prices'!AT273</f>
        <v>1.3093776713170602</v>
      </c>
      <c r="AH42" s="115">
        <f t="shared" si="0"/>
        <v>2.4504359151025161</v>
      </c>
      <c r="AI42" s="4">
        <f>'[32]Quantity Shares_1998 forward'!AH42</f>
        <v>2.4668198532503367</v>
      </c>
    </row>
    <row r="43" spans="4:35" x14ac:dyDescent="0.2">
      <c r="D43">
        <f>[13]Quantity_shares!BB269</f>
        <v>1999</v>
      </c>
      <c r="E43" t="str">
        <f>[13]Quantity_shares!BC269</f>
        <v>331</v>
      </c>
      <c r="F43" s="26">
        <f>[13]Quantity_shares!BD269</f>
        <v>0.42116923487288921</v>
      </c>
      <c r="G43" s="26">
        <f>[13]Quantity_shares!BE269</f>
        <v>1.5078412208798275E-2</v>
      </c>
      <c r="H43" s="26">
        <f>[13]Quantity_shares!BF269</f>
        <v>0.34823572000152425</v>
      </c>
      <c r="I43" s="26">
        <f>[13]Quantity_shares!BG269</f>
        <v>0.21551663291678835</v>
      </c>
      <c r="O43" t="s">
        <v>36</v>
      </c>
      <c r="Q43" s="26">
        <f t="shared" si="5"/>
        <v>1.5730963725877161E-2</v>
      </c>
      <c r="R43" s="26">
        <f t="shared" si="5"/>
        <v>7.5013270115205626E-3</v>
      </c>
      <c r="S43" s="26">
        <f t="shared" si="5"/>
        <v>0.60912844729134985</v>
      </c>
      <c r="T43" s="26">
        <f t="shared" si="5"/>
        <v>2.2239042720491164E-3</v>
      </c>
      <c r="U43" s="26">
        <f t="shared" si="6"/>
        <v>4.7763289602787404E-2</v>
      </c>
      <c r="V43" s="26">
        <f t="shared" si="6"/>
        <v>0.29391016162938455</v>
      </c>
      <c r="W43" s="26">
        <f t="shared" si="6"/>
        <v>2.3741906467031341E-2</v>
      </c>
      <c r="X43" s="26">
        <f t="shared" si="7"/>
        <v>1</v>
      </c>
      <c r="Z43" s="4">
        <f>'[25]Predicted Residual Prices'!AS316</f>
        <v>2.3441900144850236</v>
      </c>
      <c r="AA43" s="4">
        <f>'[26]Predicted Distillate Prices'!AS316</f>
        <v>4.3167121597132052</v>
      </c>
      <c r="AB43" s="4">
        <f>'[27]Predicted Gas Prices'!AR316</f>
        <v>2.7666870923155233</v>
      </c>
      <c r="AC43" s="4">
        <f>'[28]Predicted LPG Prices'!AS316</f>
        <v>7.1405656728645077</v>
      </c>
      <c r="AD43" s="4">
        <f>'[29]Predicted Coal Prices'!AS316</f>
        <v>1.4896798710074424</v>
      </c>
      <c r="AE43" s="4">
        <f>'[30]Predicted Coke Prices'!AS274</f>
        <v>4.7167820856920786</v>
      </c>
      <c r="AF43" s="4">
        <f>'[31]Predicted Other Prices'!AT274</f>
        <v>4.4610149935558576</v>
      </c>
      <c r="AH43" s="115">
        <f t="shared" si="0"/>
        <v>3.3337803817926921</v>
      </c>
      <c r="AI43" s="4">
        <f>'[32]Quantity Shares_1998 forward'!AH43</f>
        <v>3.3856408063158896</v>
      </c>
    </row>
    <row r="44" spans="4:35" x14ac:dyDescent="0.2">
      <c r="D44">
        <f>[13]Quantity_shares!BB270</f>
        <v>1999</v>
      </c>
      <c r="E44" t="str">
        <f>[13]Quantity_shares!BC270</f>
        <v>332</v>
      </c>
      <c r="F44" s="26">
        <f>[13]Quantity_shares!BD270</f>
        <v>0.90082390676264634</v>
      </c>
      <c r="G44" s="26">
        <f>[13]Quantity_shares!BE270</f>
        <v>3.1257039322266297E-2</v>
      </c>
      <c r="H44" s="26">
        <f>[13]Quantity_shares!BF270</f>
        <v>9.9860437784633459E-3</v>
      </c>
      <c r="I44" s="26">
        <f>[13]Quantity_shares!BG270</f>
        <v>5.7933010136624066E-2</v>
      </c>
      <c r="O44" t="s">
        <v>38</v>
      </c>
      <c r="Q44" s="26">
        <f t="shared" si="5"/>
        <v>6.7616989443936501E-3</v>
      </c>
      <c r="R44" s="26">
        <f t="shared" si="5"/>
        <v>2.3589061590890199E-2</v>
      </c>
      <c r="S44" s="26">
        <f t="shared" si="5"/>
        <v>0.91225168315185767</v>
      </c>
      <c r="T44" s="26">
        <f t="shared" si="5"/>
        <v>1.7454908153935668E-2</v>
      </c>
      <c r="U44" s="26">
        <f t="shared" si="6"/>
        <v>9.5918876236389325E-3</v>
      </c>
      <c r="V44" s="26">
        <f t="shared" si="6"/>
        <v>1.1166985288005984E-2</v>
      </c>
      <c r="W44" s="26">
        <f t="shared" si="6"/>
        <v>1.9183775247277865E-2</v>
      </c>
      <c r="X44" s="26">
        <f t="shared" si="7"/>
        <v>1</v>
      </c>
      <c r="Z44" s="4">
        <f>'[25]Predicted Residual Prices'!AS317</f>
        <v>2.9014769819032762</v>
      </c>
      <c r="AA44" s="4">
        <f>'[26]Predicted Distillate Prices'!AS317</f>
        <v>5.6220363561681097</v>
      </c>
      <c r="AB44" s="4">
        <f>'[27]Predicted Gas Prices'!AR317</f>
        <v>3.5185122027716145</v>
      </c>
      <c r="AC44" s="4">
        <f>'[28]Predicted LPG Prices'!AS317</f>
        <v>8.3860427720292741</v>
      </c>
      <c r="AD44" s="4">
        <f>'[29]Predicted Coal Prices'!AS317</f>
        <v>3.1429510028511536</v>
      </c>
      <c r="AE44" s="4">
        <f>'[30]Predicted Coke Prices'!AS275</f>
        <v>6.4977734882208935</v>
      </c>
      <c r="AF44" s="4">
        <f>'[31]Predicted Other Prices'!AT275</f>
        <v>13.36607503793722</v>
      </c>
      <c r="AH44" s="115">
        <f t="shared" si="0"/>
        <v>3.8675029144868427</v>
      </c>
      <c r="AI44" s="4">
        <f>'[32]Quantity Shares_1998 forward'!AH44</f>
        <v>3.9150801698976907</v>
      </c>
    </row>
    <row r="45" spans="4:35" x14ac:dyDescent="0.2">
      <c r="D45">
        <f>[13]Quantity_shares!BB271</f>
        <v>1999</v>
      </c>
      <c r="E45" t="str">
        <f>[13]Quantity_shares!BC271</f>
        <v>333</v>
      </c>
      <c r="F45" s="26">
        <f>[13]Quantity_shares!BD271</f>
        <v>0.84320091673032849</v>
      </c>
      <c r="G45" s="26">
        <f>[13]Quantity_shares!BE271</f>
        <v>3.4568372803666925E-2</v>
      </c>
      <c r="H45" s="26">
        <f>[13]Quantity_shares!BF271</f>
        <v>4.048892284186402E-2</v>
      </c>
      <c r="I45" s="26">
        <f>[13]Quantity_shares!BG271</f>
        <v>8.1741787624140555E-2</v>
      </c>
      <c r="O45" t="s">
        <v>40</v>
      </c>
      <c r="Q45" s="26">
        <f t="shared" si="5"/>
        <v>6.7399409515878726E-3</v>
      </c>
      <c r="R45" s="26">
        <f t="shared" si="5"/>
        <v>2.4885025928309171E-2</v>
      </c>
      <c r="S45" s="26">
        <f t="shared" si="5"/>
        <v>0.86511364926757262</v>
      </c>
      <c r="T45" s="26">
        <f t="shared" si="5"/>
        <v>2.4885025928309171E-2</v>
      </c>
      <c r="U45" s="26">
        <f t="shared" si="6"/>
        <v>4.1537340550361485E-2</v>
      </c>
      <c r="V45" s="26">
        <f t="shared" si="6"/>
        <v>0</v>
      </c>
      <c r="W45" s="26">
        <f t="shared" si="6"/>
        <v>3.6839017373859723E-2</v>
      </c>
      <c r="X45" s="26">
        <f t="shared" si="7"/>
        <v>1</v>
      </c>
      <c r="Z45" s="4">
        <f>'[25]Predicted Residual Prices'!AS318</f>
        <v>2.5319882437507686</v>
      </c>
      <c r="AA45" s="4">
        <f>'[26]Predicted Distillate Prices'!AS318</f>
        <v>5.7710268707475683</v>
      </c>
      <c r="AB45" s="4">
        <f>'[27]Predicted Gas Prices'!AR318</f>
        <v>3.7260163982066343</v>
      </c>
      <c r="AC45" s="4">
        <f>'[28]Predicted LPG Prices'!AS318</f>
        <v>7.1932779011792327</v>
      </c>
      <c r="AD45" s="4">
        <f>'[29]Predicted Coal Prices'!AS318</f>
        <v>1.5017631876428665</v>
      </c>
      <c r="AE45" s="4">
        <f>'[30]Predicted Coke Prices'!AS276</f>
        <v>0</v>
      </c>
      <c r="AF45" s="4">
        <f>'[31]Predicted Other Prices'!AT276</f>
        <v>7.6919028467451103</v>
      </c>
      <c r="AH45" s="115">
        <f t="shared" si="0"/>
        <v>3.9088515466886569</v>
      </c>
      <c r="AI45" s="4">
        <f>'[32]Quantity Shares_1998 forward'!AH45</f>
        <v>3.8198175257828426</v>
      </c>
    </row>
    <row r="46" spans="4:35" x14ac:dyDescent="0.2">
      <c r="D46">
        <f>[13]Quantity_shares!BB272</f>
        <v>1999</v>
      </c>
      <c r="E46" t="str">
        <f>[13]Quantity_shares!BC272</f>
        <v>334</v>
      </c>
      <c r="F46" s="26">
        <f>[13]Quantity_shares!BD272</f>
        <v>0.94193497474747478</v>
      </c>
      <c r="G46" s="26">
        <f>[13]Quantity_shares!BE272</f>
        <v>2.9324494949494951E-2</v>
      </c>
      <c r="H46" s="26">
        <f>[13]Quantity_shares!BF272</f>
        <v>3.4880050505050504E-3</v>
      </c>
      <c r="I46" s="26">
        <f>[13]Quantity_shares!BG272</f>
        <v>2.5252525252525252E-2</v>
      </c>
      <c r="O46" t="s">
        <v>42</v>
      </c>
      <c r="Q46" s="26">
        <f t="shared" ref="Q46:T50" si="8">0.75*Q25+0.25*Q109</f>
        <v>1.4707391319218796E-2</v>
      </c>
      <c r="R46" s="26">
        <f t="shared" si="8"/>
        <v>1.4707391319218796E-2</v>
      </c>
      <c r="S46" s="26">
        <f t="shared" si="8"/>
        <v>0.94488576119300871</v>
      </c>
      <c r="T46" s="26">
        <f t="shared" si="8"/>
        <v>4.7991414987857851E-3</v>
      </c>
      <c r="U46" s="26">
        <f t="shared" si="6"/>
        <v>2.5802065875431815E-3</v>
      </c>
      <c r="V46" s="26">
        <f t="shared" si="6"/>
        <v>0</v>
      </c>
      <c r="W46" s="26">
        <f t="shared" si="6"/>
        <v>1.8320108082224576E-2</v>
      </c>
      <c r="X46" s="26">
        <f t="shared" si="7"/>
        <v>0.99999999999999989</v>
      </c>
      <c r="Z46" s="4">
        <f>'[25]Predicted Residual Prices'!AS319</f>
        <v>2.5423856121373061</v>
      </c>
      <c r="AA46" s="4">
        <f>'[26]Predicted Distillate Prices'!AS319</f>
        <v>5.3559419807000452</v>
      </c>
      <c r="AB46" s="4">
        <f>'[27]Predicted Gas Prices'!AR319</f>
        <v>3.662897355098258</v>
      </c>
      <c r="AC46" s="4">
        <f>'[28]Predicted LPG Prices'!AS319</f>
        <v>9.0321463284424919</v>
      </c>
      <c r="AD46" s="4">
        <f>'[29]Predicted Coal Prices'!AS319</f>
        <v>2.2127377554794241</v>
      </c>
      <c r="AE46" s="4">
        <f>'[30]Predicted Coke Prices'!AS277</f>
        <v>0</v>
      </c>
      <c r="AF46" s="4">
        <f>'[31]Predicted Other Prices'!AT277</f>
        <v>5.153070438428716</v>
      </c>
      <c r="AH46" s="115">
        <f t="shared" si="0"/>
        <v>3.7206440264075757</v>
      </c>
      <c r="AI46" s="4">
        <f>'[32]Quantity Shares_1998 forward'!AH46</f>
        <v>3.6426444416821115</v>
      </c>
    </row>
    <row r="47" spans="4:35" x14ac:dyDescent="0.2">
      <c r="D47">
        <f>[13]Quantity_shares!BB273</f>
        <v>1999</v>
      </c>
      <c r="E47" t="str">
        <f>[13]Quantity_shares!BC273</f>
        <v>335</v>
      </c>
      <c r="F47" s="26">
        <f>[13]Quantity_shares!BD273</f>
        <v>0.68328960404666017</v>
      </c>
      <c r="G47" s="26">
        <f>[13]Quantity_shares!BE273</f>
        <v>2.3587676804891045E-2</v>
      </c>
      <c r="H47" s="26">
        <f>[13]Quantity_shares!BF273</f>
        <v>1.0256052813693324E-2</v>
      </c>
      <c r="I47" s="26">
        <f>[13]Quantity_shares!BG273</f>
        <v>0.2828666663347556</v>
      </c>
      <c r="O47" t="s">
        <v>44</v>
      </c>
      <c r="Q47" s="26">
        <f t="shared" si="8"/>
        <v>1.3113758776570164E-2</v>
      </c>
      <c r="R47" s="26">
        <f t="shared" si="8"/>
        <v>1.7117317495431373E-2</v>
      </c>
      <c r="S47" s="26">
        <f t="shared" si="8"/>
        <v>0.89454890833894396</v>
      </c>
      <c r="T47" s="26">
        <f t="shared" si="8"/>
        <v>2.9786236414350291E-2</v>
      </c>
      <c r="U47" s="26">
        <f t="shared" si="6"/>
        <v>2.9786236414350293E-3</v>
      </c>
      <c r="V47" s="26">
        <f t="shared" si="6"/>
        <v>0</v>
      </c>
      <c r="W47" s="26">
        <f t="shared" si="6"/>
        <v>4.2455155333269212E-2</v>
      </c>
      <c r="X47" s="26">
        <f t="shared" si="7"/>
        <v>1</v>
      </c>
      <c r="Z47" s="4">
        <f>'[25]Predicted Residual Prices'!AS320</f>
        <v>1.9577842520751649</v>
      </c>
      <c r="AA47" s="4">
        <f>'[26]Predicted Distillate Prices'!AS320</f>
        <v>4.7043272226750048</v>
      </c>
      <c r="AB47" s="4">
        <f>'[27]Predicted Gas Prices'!AR320</f>
        <v>3.3737091546381959</v>
      </c>
      <c r="AC47" s="4">
        <f>'[28]Predicted LPG Prices'!AS320</f>
        <v>9.0308845202345278</v>
      </c>
      <c r="AD47" s="4">
        <f>'[29]Predicted Coal Prices'!AS320</f>
        <v>2.058473093554221</v>
      </c>
      <c r="AE47" s="4">
        <f>'[30]Predicted Coke Prices'!AS278</f>
        <v>0</v>
      </c>
      <c r="AF47" s="4">
        <f>'[31]Predicted Other Prices'!AT278</f>
        <v>0.87206545905303479</v>
      </c>
      <c r="AH47" s="115">
        <f t="shared" si="0"/>
        <v>3.4362983669229061</v>
      </c>
      <c r="AI47" s="4">
        <f>'[32]Quantity Shares_1998 forward'!AH47</f>
        <v>3.5620388996764829</v>
      </c>
    </row>
    <row r="48" spans="4:35" x14ac:dyDescent="0.2">
      <c r="D48">
        <f>[13]Quantity_shares!BB274</f>
        <v>1999</v>
      </c>
      <c r="E48" t="str">
        <f>[13]Quantity_shares!BC274</f>
        <v>336</v>
      </c>
      <c r="F48" s="26">
        <f>[13]Quantity_shares!BD274</f>
        <v>0.73390596101863714</v>
      </c>
      <c r="G48" s="26">
        <f>[13]Quantity_shares!BE274</f>
        <v>6.0285958173282118E-2</v>
      </c>
      <c r="H48" s="26">
        <f>[13]Quantity_shares!BF274</f>
        <v>8.1057049366908523E-2</v>
      </c>
      <c r="I48" s="26">
        <f>[13]Quantity_shares!BG274</f>
        <v>0.12475103144117229</v>
      </c>
      <c r="O48" t="s">
        <v>46</v>
      </c>
      <c r="Q48" s="26">
        <f t="shared" si="8"/>
        <v>1.8687960024309544E-2</v>
      </c>
      <c r="R48" s="26">
        <f t="shared" si="8"/>
        <v>4.1123641029103923E-2</v>
      </c>
      <c r="S48" s="26">
        <f t="shared" si="8"/>
        <v>0.73863191302586273</v>
      </c>
      <c r="T48" s="26">
        <f t="shared" si="8"/>
        <v>1.4153555270443648E-2</v>
      </c>
      <c r="U48" s="26">
        <f t="shared" si="6"/>
        <v>8.1696941049361871E-2</v>
      </c>
      <c r="V48" s="26">
        <f t="shared" si="6"/>
        <v>2.542372881355932E-3</v>
      </c>
      <c r="W48" s="26">
        <f t="shared" si="6"/>
        <v>0.10316361671956244</v>
      </c>
      <c r="X48" s="26">
        <f t="shared" si="7"/>
        <v>1</v>
      </c>
      <c r="Z48" s="4">
        <f>'[25]Predicted Residual Prices'!AS321</f>
        <v>2.7457003042584116</v>
      </c>
      <c r="AA48" s="4">
        <f>'[26]Predicted Distillate Prices'!AS321</f>
        <v>5.6730789057801134</v>
      </c>
      <c r="AB48" s="4">
        <f>'[27]Predicted Gas Prices'!AR321</f>
        <v>3.257733352457465</v>
      </c>
      <c r="AC48" s="4">
        <f>'[28]Predicted LPG Prices'!AS321</f>
        <v>7.2181940880049353</v>
      </c>
      <c r="AD48" s="4">
        <f>'[29]Predicted Coal Prices'!AS321</f>
        <v>1.8372709729731698</v>
      </c>
      <c r="AE48" s="4">
        <f>'[30]Predicted Coke Prices'!AS279</f>
        <v>0</v>
      </c>
      <c r="AF48" s="4">
        <f>'[31]Predicted Other Prices'!AT279</f>
        <v>3.6601252481147819</v>
      </c>
      <c r="AH48" s="115">
        <f t="shared" si="0"/>
        <v>3.3207293018197803</v>
      </c>
      <c r="AI48" s="4">
        <f>'[32]Quantity Shares_1998 forward'!AH48</f>
        <v>3.3204964568776592</v>
      </c>
    </row>
    <row r="49" spans="4:35" x14ac:dyDescent="0.2">
      <c r="D49">
        <f>[13]Quantity_shares!BB275</f>
        <v>1999</v>
      </c>
      <c r="E49" t="str">
        <f>[13]Quantity_shares!BC275</f>
        <v>337</v>
      </c>
      <c r="F49" s="26">
        <f>[13]Quantity_shares!BD275</f>
        <v>0.49920288237732358</v>
      </c>
      <c r="G49" s="26">
        <f>[13]Quantity_shares!BE275</f>
        <v>2.3379459873098876E-2</v>
      </c>
      <c r="H49" s="26">
        <f>[13]Quantity_shares!BF275</f>
        <v>3.476229952491789E-2</v>
      </c>
      <c r="I49" s="26">
        <f>[13]Quantity_shares!BG275</f>
        <v>0.44265535822465962</v>
      </c>
      <c r="O49" t="s">
        <v>48</v>
      </c>
      <c r="Q49" s="26">
        <f t="shared" si="8"/>
        <v>1.0706290171156208E-2</v>
      </c>
      <c r="R49" s="26">
        <f t="shared" si="8"/>
        <v>2.4716545100021664E-2</v>
      </c>
      <c r="S49" s="26">
        <f t="shared" si="8"/>
        <v>0.65095327507763423</v>
      </c>
      <c r="T49" s="26">
        <f t="shared" si="8"/>
        <v>2.4716545100021664E-2</v>
      </c>
      <c r="U49" s="26">
        <f t="shared" si="6"/>
        <v>4.1236368888567923E-2</v>
      </c>
      <c r="V49" s="26">
        <f t="shared" si="6"/>
        <v>0</v>
      </c>
      <c r="W49" s="26">
        <f t="shared" si="6"/>
        <v>0.24767097566259841</v>
      </c>
      <c r="X49" s="26">
        <f t="shared" si="7"/>
        <v>1</v>
      </c>
      <c r="Z49" s="4">
        <f>'[25]Predicted Residual Prices'!AS322</f>
        <v>2.297997302948791</v>
      </c>
      <c r="AA49" s="4">
        <f>'[26]Predicted Distillate Prices'!AS322</f>
        <v>5.40077399961692</v>
      </c>
      <c r="AB49" s="4">
        <f>'[27]Predicted Gas Prices'!AR322</f>
        <v>4.1263722428503042</v>
      </c>
      <c r="AC49" s="4">
        <f>'[28]Predicted LPG Prices'!AS322</f>
        <v>7.7084123475280606</v>
      </c>
      <c r="AD49" s="4">
        <f>'[29]Predicted Coal Prices'!AS322</f>
        <v>2.1126374968681496</v>
      </c>
      <c r="AE49" s="4">
        <f>'[30]Predicted Coke Prices'!AS280</f>
        <v>0</v>
      </c>
      <c r="AF49" s="4">
        <f>'[31]Predicted Other Prices'!AT280</f>
        <v>3.9453557109808641</v>
      </c>
      <c r="AH49" s="115">
        <f t="shared" si="0"/>
        <v>4.0989599446078611</v>
      </c>
      <c r="AI49" s="4">
        <f>'[32]Quantity Shares_1998 forward'!AH49</f>
        <v>4.1091266569404041</v>
      </c>
    </row>
    <row r="50" spans="4:35" x14ac:dyDescent="0.2">
      <c r="D50">
        <f>[13]Quantity_shares!BB276</f>
        <v>1999</v>
      </c>
      <c r="E50" t="str">
        <f>[13]Quantity_shares!BC276</f>
        <v>339</v>
      </c>
      <c r="F50" s="26">
        <f>[13]Quantity_shares!BD276</f>
        <v>0.84398388025331028</v>
      </c>
      <c r="G50" s="26">
        <f>[13]Quantity_shares!BE276</f>
        <v>5.3576568796776046E-2</v>
      </c>
      <c r="H50" s="26">
        <f>[13]Quantity_shares!BF276</f>
        <v>3.8860103626943698E-3</v>
      </c>
      <c r="I50" s="26">
        <f>[13]Quantity_shares!BG276</f>
        <v>9.8553540587219338E-2</v>
      </c>
      <c r="O50" t="s">
        <v>50</v>
      </c>
      <c r="Q50" s="26">
        <f t="shared" si="8"/>
        <v>1.9395789101203112E-2</v>
      </c>
      <c r="R50" s="26">
        <f t="shared" si="8"/>
        <v>3.5319355980184007E-2</v>
      </c>
      <c r="S50" s="26">
        <f t="shared" si="8"/>
        <v>0.85916489738145785</v>
      </c>
      <c r="T50" s="26">
        <f t="shared" si="8"/>
        <v>2.2868011323425336E-2</v>
      </c>
      <c r="U50" s="26">
        <f t="shared" si="6"/>
        <v>1.5923566878980893E-3</v>
      </c>
      <c r="V50" s="26">
        <f t="shared" si="6"/>
        <v>0</v>
      </c>
      <c r="W50" s="26">
        <f t="shared" si="6"/>
        <v>6.1659589525831567E-2</v>
      </c>
      <c r="X50" s="26">
        <f t="shared" si="7"/>
        <v>1</v>
      </c>
      <c r="Z50" s="4">
        <f>'[25]Predicted Residual Prices'!AS323</f>
        <v>2.9924783903656049</v>
      </c>
      <c r="AA50" s="4">
        <f>'[26]Predicted Distillate Prices'!AS323</f>
        <v>4.0685291363797136</v>
      </c>
      <c r="AB50" s="4">
        <f>'[27]Predicted Gas Prices'!AR323</f>
        <v>3.8957321201182156</v>
      </c>
      <c r="AC50" s="4">
        <f>'[28]Predicted LPG Prices'!AS323</f>
        <v>11.174599634621822</v>
      </c>
      <c r="AD50" s="4">
        <f>'[29]Predicted Coal Prices'!AS323</f>
        <v>1.9377829856851867</v>
      </c>
      <c r="AE50" s="4">
        <f>'[30]Predicted Coke Prices'!AS281</f>
        <v>0</v>
      </c>
      <c r="AF50" s="4">
        <f>'[31]Predicted Other Prices'!AT281</f>
        <v>3.1084007547193684</v>
      </c>
      <c r="AH50" s="115">
        <f t="shared" si="0"/>
        <v>3.9991048231340098</v>
      </c>
      <c r="AI50" s="4">
        <f>'[32]Quantity Shares_1998 forward'!AH50</f>
        <v>4.0137308834781402</v>
      </c>
    </row>
    <row r="51" spans="4:35" x14ac:dyDescent="0.2">
      <c r="D51">
        <f>[13]Quantity_shares!BB277</f>
        <v>2000</v>
      </c>
      <c r="E51" t="str">
        <f>[13]Quantity_shares!BC277</f>
        <v>311</v>
      </c>
      <c r="F51" s="26">
        <f>[13]Quantity_shares!BD277</f>
        <v>0.666249018697047</v>
      </c>
      <c r="G51" s="26">
        <f>[13]Quantity_shares!BE277</f>
        <v>3.6109232261166482E-2</v>
      </c>
      <c r="H51" s="26">
        <f>[13]Quantity_shares!BF277</f>
        <v>0.18145480030315131</v>
      </c>
      <c r="I51" s="26">
        <f>[13]Quantity_shares!BG277</f>
        <v>0.11618694873863522</v>
      </c>
      <c r="P51">
        <v>2000</v>
      </c>
      <c r="Q51" s="26">
        <f t="shared" ref="Q51:T66" si="9">0.5*Q9+0.5*Q93</f>
        <v>1.6671573343693E-2</v>
      </c>
      <c r="R51" s="26">
        <f t="shared" si="9"/>
        <v>2.1498833020216518E-2</v>
      </c>
      <c r="S51" s="26">
        <f t="shared" si="9"/>
        <v>0.70447185439005966</v>
      </c>
      <c r="T51" s="26">
        <f t="shared" si="9"/>
        <v>6.1649614699392681E-3</v>
      </c>
      <c r="U51" s="26">
        <f t="shared" ref="U51:W71" si="10">0.5*U9+0.5*U93</f>
        <v>0.19152353839196559</v>
      </c>
      <c r="V51" s="26">
        <f t="shared" si="10"/>
        <v>1.8756658158387532E-3</v>
      </c>
      <c r="W51" s="26">
        <f t="shared" si="10"/>
        <v>5.7793573568287286E-2</v>
      </c>
      <c r="X51" s="26">
        <f t="shared" si="7"/>
        <v>1</v>
      </c>
      <c r="Z51" s="4">
        <f>'[25]Predicted Residual Prices'!AS324</f>
        <v>3.9600157746816373</v>
      </c>
      <c r="AA51" s="4">
        <f>'[26]Predicted Distillate Prices'!AS324</f>
        <v>8.4467182174411555</v>
      </c>
      <c r="AB51" s="4">
        <f>'[27]Predicted Gas Prices'!AR324</f>
        <v>4.3210863744195454</v>
      </c>
      <c r="AC51" s="4">
        <f>'[28]Predicted LPG Prices'!AS324</f>
        <v>9.4402655312838526</v>
      </c>
      <c r="AD51" s="4">
        <f>'[29]Predicted Coal Prices'!AS324</f>
        <v>1.3906230054232345</v>
      </c>
      <c r="AE51" s="4">
        <f>'[30]Predicted Coke Prices'!AS282</f>
        <v>5.5267139770229985</v>
      </c>
      <c r="AF51" s="4">
        <f>'[31]Predicted Other Prices'!AT282</f>
        <v>3.3825778484116302</v>
      </c>
      <c r="AH51" s="115">
        <f t="shared" si="0"/>
        <v>3.8220914511698765</v>
      </c>
      <c r="AI51" s="4">
        <f>'[32]Quantity Shares_1998 forward'!AH51</f>
        <v>3.8382518667382883</v>
      </c>
    </row>
    <row r="52" spans="4:35" x14ac:dyDescent="0.2">
      <c r="D52">
        <f>[13]Quantity_shares!BB278</f>
        <v>2000</v>
      </c>
      <c r="E52" t="str">
        <f>[13]Quantity_shares!BC278</f>
        <v>312</v>
      </c>
      <c r="F52" s="26">
        <f>[13]Quantity_shares!BD278</f>
        <v>0.56595613222119245</v>
      </c>
      <c r="G52" s="26">
        <f>[13]Quantity_shares!BE278</f>
        <v>4.9737411183194316E-2</v>
      </c>
      <c r="H52" s="26">
        <f>[13]Quantity_shares!BF278</f>
        <v>0.28367315415508187</v>
      </c>
      <c r="I52" s="26">
        <f>[13]Quantity_shares!BG278</f>
        <v>0.10063330244053136</v>
      </c>
      <c r="Q52" s="26">
        <f t="shared" si="9"/>
        <v>2.51821349382325E-2</v>
      </c>
      <c r="R52" s="26">
        <f t="shared" si="9"/>
        <v>2.51821349382325E-2</v>
      </c>
      <c r="S52" s="26">
        <f t="shared" si="9"/>
        <v>0.57309154260373774</v>
      </c>
      <c r="T52" s="26">
        <f t="shared" si="9"/>
        <v>1.259106746911625E-2</v>
      </c>
      <c r="U52" s="26">
        <f t="shared" si="10"/>
        <v>0.28721887868229329</v>
      </c>
      <c r="V52" s="26">
        <f t="shared" si="10"/>
        <v>0</v>
      </c>
      <c r="W52" s="26">
        <f t="shared" si="10"/>
        <v>7.6734241368387704E-2</v>
      </c>
      <c r="X52" s="26">
        <f t="shared" si="7"/>
        <v>0.99999999999999989</v>
      </c>
      <c r="Z52" s="4">
        <f>'[25]Predicted Residual Prices'!AS325</f>
        <v>4.6260118377154829</v>
      </c>
      <c r="AA52" s="4">
        <f>'[26]Predicted Distillate Prices'!AS325</f>
        <v>8.06335096398392</v>
      </c>
      <c r="AB52" s="4">
        <f>'[27]Predicted Gas Prices'!AR325</f>
        <v>4.1094200943730304</v>
      </c>
      <c r="AC52" s="4">
        <f>'[28]Predicted LPG Prices'!AS325</f>
        <v>10.13751970263403</v>
      </c>
      <c r="AD52" s="4">
        <f>'[29]Predicted Coal Prices'!AS325</f>
        <v>1.9304358605945828</v>
      </c>
      <c r="AE52" s="4">
        <f>'[30]Predicted Coke Prices'!AS283</f>
        <v>0</v>
      </c>
      <c r="AF52" s="4">
        <f>'[31]Predicted Other Prices'!AT283</f>
        <v>2.2701442973782129</v>
      </c>
      <c r="AH52" s="115">
        <f t="shared" si="0"/>
        <v>3.5309167656931333</v>
      </c>
      <c r="AI52" s="4">
        <f>'[32]Quantity Shares_1998 forward'!AH52</f>
        <v>3.762256742536243</v>
      </c>
    </row>
    <row r="53" spans="4:35" x14ac:dyDescent="0.2">
      <c r="D53">
        <f>[13]Quantity_shares!BB279</f>
        <v>2000</v>
      </c>
      <c r="E53" t="str">
        <f>[13]Quantity_shares!BC279</f>
        <v>313</v>
      </c>
      <c r="F53" s="26">
        <f>[13]Quantity_shares!BD279</f>
        <v>0.64752567693744167</v>
      </c>
      <c r="G53" s="26">
        <f>[13]Quantity_shares!BE279</f>
        <v>7.7497665732959853E-2</v>
      </c>
      <c r="H53" s="26">
        <f>[13]Quantity_shares!BF279</f>
        <v>0.15779645191409897</v>
      </c>
      <c r="I53" s="26">
        <f>[13]Quantity_shares!BG279</f>
        <v>0.11718020541549953</v>
      </c>
      <c r="Q53" s="26">
        <f t="shared" si="9"/>
        <v>5.5516400108430466E-2</v>
      </c>
      <c r="R53" s="26">
        <f t="shared" si="9"/>
        <v>2.1306587150989428E-2</v>
      </c>
      <c r="S53" s="26">
        <f t="shared" si="9"/>
        <v>0.63995662781241536</v>
      </c>
      <c r="T53" s="26">
        <f t="shared" si="9"/>
        <v>1.4854974247763622E-2</v>
      </c>
      <c r="U53" s="26">
        <f t="shared" si="10"/>
        <v>0.15695310382217403</v>
      </c>
      <c r="V53" s="26">
        <f t="shared" si="10"/>
        <v>0</v>
      </c>
      <c r="W53" s="26">
        <f t="shared" si="10"/>
        <v>0.11141230685822716</v>
      </c>
      <c r="X53" s="26">
        <f t="shared" si="7"/>
        <v>1</v>
      </c>
      <c r="Z53" s="4">
        <f>'[25]Predicted Residual Prices'!AS326</f>
        <v>5.0637126220418534</v>
      </c>
      <c r="AA53" s="4">
        <f>'[26]Predicted Distillate Prices'!AS326</f>
        <v>7.4496169730102668</v>
      </c>
      <c r="AB53" s="4">
        <f>'[27]Predicted Gas Prices'!AR326</f>
        <v>4.9981134060991312</v>
      </c>
      <c r="AC53" s="4">
        <f>'[28]Predicted LPG Prices'!AS326</f>
        <v>10.132828023226129</v>
      </c>
      <c r="AD53" s="4">
        <f>'[29]Predicted Coal Prices'!AS326</f>
        <v>2.0842731585376275</v>
      </c>
      <c r="AE53" s="4">
        <f>'[30]Predicted Coke Prices'!AS284</f>
        <v>0</v>
      </c>
      <c r="AF53" s="4">
        <f>'[31]Predicted Other Prices'!AT284</f>
        <v>2.7768970050132675</v>
      </c>
      <c r="AH53" s="115">
        <f t="shared" si="0"/>
        <v>4.4254573520515423</v>
      </c>
      <c r="AI53" s="4">
        <f>'[32]Quantity Shares_1998 forward'!AH53</f>
        <v>4.4091935392202553</v>
      </c>
    </row>
    <row r="54" spans="4:35" x14ac:dyDescent="0.2">
      <c r="D54">
        <f>[13]Quantity_shares!BB280</f>
        <v>2000</v>
      </c>
      <c r="E54" t="str">
        <f>[13]Quantity_shares!BC280</f>
        <v>314</v>
      </c>
      <c r="F54" s="26">
        <f>[13]Quantity_shares!BD280</f>
        <v>0.75784374595702886</v>
      </c>
      <c r="G54" s="26">
        <f>[13]Quantity_shares!BE280</f>
        <v>3.4593750577567299E-2</v>
      </c>
      <c r="H54" s="26">
        <f>[13]Quantity_shares!BF280</f>
        <v>0.18837597207260698</v>
      </c>
      <c r="I54" s="26">
        <f>[13]Quantity_shares!BG280</f>
        <v>1.9186531392796802E-2</v>
      </c>
      <c r="Q54" s="26">
        <f t="shared" si="9"/>
        <v>7.0116631795376722E-2</v>
      </c>
      <c r="R54" s="26">
        <f t="shared" si="9"/>
        <v>3.8522519130944712E-2</v>
      </c>
      <c r="S54" s="26">
        <f t="shared" si="9"/>
        <v>0.71104852780412231</v>
      </c>
      <c r="T54" s="26">
        <f t="shared" si="9"/>
        <v>1.6249538468221275E-2</v>
      </c>
      <c r="U54" s="26">
        <f t="shared" si="10"/>
        <v>0.15094804057135824</v>
      </c>
      <c r="V54" s="26">
        <f t="shared" si="10"/>
        <v>0</v>
      </c>
      <c r="W54" s="26">
        <f t="shared" si="10"/>
        <v>1.311474222997676E-2</v>
      </c>
      <c r="X54" s="26">
        <f t="shared" si="7"/>
        <v>1</v>
      </c>
      <c r="Z54" s="4">
        <f>'[25]Predicted Residual Prices'!AS327</f>
        <v>5.2358226939347361</v>
      </c>
      <c r="AA54" s="4">
        <f>'[26]Predicted Distillate Prices'!AS327</f>
        <v>5.7510037813742168</v>
      </c>
      <c r="AB54" s="4">
        <f>'[27]Predicted Gas Prices'!AR327</f>
        <v>5.0130727666280315</v>
      </c>
      <c r="AC54" s="4">
        <f>'[28]Predicted LPG Prices'!AS327</f>
        <v>11.028984065924231</v>
      </c>
      <c r="AD54" s="4">
        <f>'[29]Predicted Coal Prices'!AS327</f>
        <v>1.9118799873128518</v>
      </c>
      <c r="AE54" s="4">
        <f>'[30]Predicted Coke Prices'!AS285</f>
        <v>0</v>
      </c>
      <c r="AF54" s="4">
        <f>'[31]Predicted Other Prices'!AT285</f>
        <v>2.6969971627600628</v>
      </c>
      <c r="AH54" s="115">
        <f t="shared" si="0"/>
        <v>4.6563802769741036</v>
      </c>
      <c r="AI54" s="4">
        <f>'[32]Quantity Shares_1998 forward'!AH54</f>
        <v>4.6574187624661603</v>
      </c>
    </row>
    <row r="55" spans="4:35" x14ac:dyDescent="0.2">
      <c r="D55">
        <f>[13]Quantity_shares!BB281</f>
        <v>2000</v>
      </c>
      <c r="E55" t="str">
        <f>[13]Quantity_shares!BC281</f>
        <v>315</v>
      </c>
      <c r="F55" s="26">
        <f>[13]Quantity_shares!BD281</f>
        <v>0.79180743243243223</v>
      </c>
      <c r="G55" s="26">
        <f>[13]Quantity_shares!BE281</f>
        <v>8.7415540540540515E-2</v>
      </c>
      <c r="H55" s="26">
        <f>[13]Quantity_shares!BF281</f>
        <v>1.5625000000000271E-2</v>
      </c>
      <c r="I55" s="26">
        <f>[13]Quantity_shares!BG281</f>
        <v>0.10515202702702701</v>
      </c>
      <c r="Q55" s="26">
        <f t="shared" si="9"/>
        <v>4.073264078731547E-2</v>
      </c>
      <c r="R55" s="26">
        <f t="shared" si="9"/>
        <v>4.4377619828685981E-2</v>
      </c>
      <c r="S55" s="26">
        <f t="shared" si="9"/>
        <v>0.82294514306542732</v>
      </c>
      <c r="T55" s="26">
        <f t="shared" si="9"/>
        <v>1.8953891015126661E-2</v>
      </c>
      <c r="U55" s="26">
        <f t="shared" si="10"/>
        <v>1.6129032258064516E-2</v>
      </c>
      <c r="V55" s="26">
        <f t="shared" si="10"/>
        <v>0</v>
      </c>
      <c r="W55" s="26">
        <f t="shared" si="10"/>
        <v>5.6861673045379986E-2</v>
      </c>
      <c r="X55" s="26">
        <f t="shared" si="7"/>
        <v>1</v>
      </c>
      <c r="Z55" s="4">
        <f>'[25]Predicted Residual Prices'!AS328</f>
        <v>5.4402146953673407</v>
      </c>
      <c r="AA55" s="4">
        <f>'[26]Predicted Distillate Prices'!AS328</f>
        <v>8.1050000000000004</v>
      </c>
      <c r="AB55" s="4">
        <f>'[27]Predicted Gas Prices'!AR328</f>
        <v>5.6596390551886131</v>
      </c>
      <c r="AC55" s="4">
        <f>'[28]Predicted LPG Prices'!AS328</f>
        <v>11.220260659721733</v>
      </c>
      <c r="AD55" s="4">
        <f>'[29]Predicted Coal Prices'!AS328</f>
        <v>2.1631408340305902</v>
      </c>
      <c r="AE55" s="4">
        <f>'[30]Predicted Coke Prices'!AS286</f>
        <v>0</v>
      </c>
      <c r="AF55" s="4">
        <f>'[31]Predicted Other Prices'!AT286</f>
        <v>2.551783603800005</v>
      </c>
      <c r="AH55" s="115">
        <f t="shared" si="0"/>
        <v>5.6315030426329784</v>
      </c>
      <c r="AI55" s="4">
        <f>'[32]Quantity Shares_1998 forward'!AH55</f>
        <v>5.4767505366607381</v>
      </c>
    </row>
    <row r="56" spans="4:35" x14ac:dyDescent="0.2">
      <c r="D56">
        <f>[13]Quantity_shares!BB282</f>
        <v>2000</v>
      </c>
      <c r="E56" t="str">
        <f>[13]Quantity_shares!BC282</f>
        <v>316</v>
      </c>
      <c r="F56" s="26">
        <f>[13]Quantity_shares!BD282</f>
        <v>0.81666666666666499</v>
      </c>
      <c r="G56" s="26">
        <f>[13]Quantity_shares!BE282</f>
        <v>9.166666666666648E-2</v>
      </c>
      <c r="H56" s="26">
        <f>[13]Quantity_shares!BF282</f>
        <v>2.0416666666666624E-15</v>
      </c>
      <c r="I56" s="26">
        <f>[13]Quantity_shares!BG282</f>
        <v>9.166666666666648E-2</v>
      </c>
      <c r="Q56" s="26">
        <f t="shared" si="9"/>
        <v>3.0000000000000006E-2</v>
      </c>
      <c r="R56" s="26">
        <f t="shared" si="9"/>
        <v>8.0000000000000016E-2</v>
      </c>
      <c r="S56" s="26">
        <f t="shared" si="9"/>
        <v>0.8</v>
      </c>
      <c r="T56" s="26">
        <f t="shared" si="9"/>
        <v>4.0000000000000008E-2</v>
      </c>
      <c r="U56" s="26">
        <f t="shared" si="10"/>
        <v>0</v>
      </c>
      <c r="V56" s="26">
        <f t="shared" si="10"/>
        <v>0</v>
      </c>
      <c r="W56" s="26">
        <f t="shared" si="10"/>
        <v>0.05</v>
      </c>
      <c r="X56" s="26">
        <f t="shared" si="7"/>
        <v>1</v>
      </c>
      <c r="Z56" s="4">
        <f>'[25]Predicted Residual Prices'!AS329</f>
        <v>4.7128152593294912</v>
      </c>
      <c r="AA56" s="4">
        <f>'[26]Predicted Distillate Prices'!AS329</f>
        <v>7.3776994572118957</v>
      </c>
      <c r="AB56" s="4">
        <f>'[27]Predicted Gas Prices'!AR329</f>
        <v>5.2049813294786169</v>
      </c>
      <c r="AC56" s="4">
        <f>'[28]Predicted LPG Prices'!AS329</f>
        <v>8.4445990662044643</v>
      </c>
      <c r="AD56" s="4">
        <f>'[29]Predicted Coal Prices'!AS329</f>
        <v>1.6299219210193949</v>
      </c>
      <c r="AE56" s="4">
        <f>'[30]Predicted Coke Prices'!AS287</f>
        <v>0</v>
      </c>
      <c r="AF56" s="4">
        <f>'[31]Predicted Other Prices'!AT287</f>
        <v>2.8508918019000022</v>
      </c>
      <c r="AH56" s="115">
        <f t="shared" si="0"/>
        <v>5.3759140306829094</v>
      </c>
      <c r="AI56" s="4">
        <f>'[32]Quantity Shares_1998 forward'!AH56</f>
        <v>5.363215535473473</v>
      </c>
    </row>
    <row r="57" spans="4:35" x14ac:dyDescent="0.2">
      <c r="D57">
        <f>[13]Quantity_shares!BB283</f>
        <v>2000</v>
      </c>
      <c r="E57" t="str">
        <f>[13]Quantity_shares!BC283</f>
        <v>321</v>
      </c>
      <c r="F57" s="26">
        <f>[13]Quantity_shares!BD283</f>
        <v>0.17777500227086929</v>
      </c>
      <c r="G57" s="26">
        <f>[13]Quantity_shares!BE283</f>
        <v>3.4206861053077783E-2</v>
      </c>
      <c r="H57" s="26">
        <f>[13]Quantity_shares!BF283</f>
        <v>3.9437429981530265E-3</v>
      </c>
      <c r="I57" s="26">
        <f>[13]Quantity_shares!BG283</f>
        <v>0.78407439367789988</v>
      </c>
      <c r="Q57" s="26">
        <f t="shared" si="9"/>
        <v>6.4132104454685101E-3</v>
      </c>
      <c r="R57" s="26">
        <f t="shared" si="9"/>
        <v>6.8894009216589863E-2</v>
      </c>
      <c r="S57" s="26">
        <f t="shared" si="9"/>
        <v>0.40364823348694312</v>
      </c>
      <c r="T57" s="26">
        <f t="shared" si="9"/>
        <v>2.9685099846390169E-2</v>
      </c>
      <c r="U57" s="26">
        <f t="shared" si="10"/>
        <v>8.7941628264208913E-3</v>
      </c>
      <c r="V57" s="26">
        <f t="shared" si="10"/>
        <v>0</v>
      </c>
      <c r="W57" s="26">
        <f t="shared" si="10"/>
        <v>0.48256528417818739</v>
      </c>
      <c r="X57" s="26">
        <f t="shared" si="7"/>
        <v>1</v>
      </c>
      <c r="Z57" s="4">
        <f>'[25]Predicted Residual Prices'!AS330</f>
        <v>3.6560036413319796</v>
      </c>
      <c r="AA57" s="4">
        <f>'[26]Predicted Distillate Prices'!AS330</f>
        <v>7.0109544855938584</v>
      </c>
      <c r="AB57" s="4">
        <f>'[27]Predicted Gas Prices'!AR330</f>
        <v>4.8423232640363283</v>
      </c>
      <c r="AC57" s="4">
        <f>'[28]Predicted LPG Prices'!AS330</f>
        <v>8.8056511873758261</v>
      </c>
      <c r="AD57" s="4">
        <f>'[29]Predicted Coal Prices'!AS330</f>
        <v>1.9079465142045471</v>
      </c>
      <c r="AE57" s="4">
        <f>'[30]Predicted Coke Prices'!AS288</f>
        <v>0</v>
      </c>
      <c r="AF57" s="4">
        <f>'[31]Predicted Other Prices'!AT288</f>
        <v>1.6649529181475733</v>
      </c>
      <c r="AH57" s="115">
        <f t="shared" si="0"/>
        <v>3.5426786202987874</v>
      </c>
      <c r="AI57" s="4">
        <f>'[32]Quantity Shares_1998 forward'!AH57</f>
        <v>3.4284089953539043</v>
      </c>
    </row>
    <row r="58" spans="4:35" x14ac:dyDescent="0.2">
      <c r="D58">
        <f>[13]Quantity_shares!BB284</f>
        <v>2000</v>
      </c>
      <c r="E58" t="str">
        <f>[13]Quantity_shares!BC284</f>
        <v>322</v>
      </c>
      <c r="F58" s="26">
        <f>[13]Quantity_shares!BD284</f>
        <v>0.23484171446646906</v>
      </c>
      <c r="G58" s="26">
        <f>[13]Quantity_shares!BE284</f>
        <v>5.836231696245342E-2</v>
      </c>
      <c r="H58" s="26">
        <f>[13]Quantity_shares!BF284</f>
        <v>0.11001700738069531</v>
      </c>
      <c r="I58" s="26">
        <f>[13]Quantity_shares!BG284</f>
        <v>0.59677896119038221</v>
      </c>
      <c r="Q58" s="26">
        <f t="shared" si="9"/>
        <v>9.6927996012600576E-2</v>
      </c>
      <c r="R58" s="26">
        <f t="shared" si="9"/>
        <v>8.7933328913801945E-3</v>
      </c>
      <c r="S58" s="26">
        <f t="shared" si="9"/>
        <v>0.42582369016138655</v>
      </c>
      <c r="T58" s="26">
        <f t="shared" si="9"/>
        <v>4.3615250329623384E-3</v>
      </c>
      <c r="U58" s="26">
        <f t="shared" si="10"/>
        <v>0.1994691037926945</v>
      </c>
      <c r="V58" s="26">
        <f t="shared" si="10"/>
        <v>1.7137960582690661E-3</v>
      </c>
      <c r="W58" s="26">
        <f t="shared" si="10"/>
        <v>0.26291055605070673</v>
      </c>
      <c r="X58" s="26">
        <f t="shared" si="7"/>
        <v>1</v>
      </c>
      <c r="Z58" s="4">
        <f>'[25]Predicted Residual Prices'!AS331</f>
        <v>4.1628723713014901</v>
      </c>
      <c r="AA58" s="4">
        <f>'[26]Predicted Distillate Prices'!AS331</f>
        <v>6.0668865279456163</v>
      </c>
      <c r="AB58" s="4">
        <f>'[27]Predicted Gas Prices'!AR331</f>
        <v>3.8870584269895265</v>
      </c>
      <c r="AC58" s="4">
        <f>'[28]Predicted LPG Prices'!AS331</f>
        <v>10.09555569005285</v>
      </c>
      <c r="AD58" s="4">
        <f>'[29]Predicted Coal Prices'!AS331</f>
        <v>1.7847432571412842</v>
      </c>
      <c r="AE58" s="4">
        <f>'[30]Predicted Coke Prices'!AS289</f>
        <v>3.8114999999999997</v>
      </c>
      <c r="AF58" s="4">
        <f>'[31]Predicted Other Prices'!AT289</f>
        <v>2.336641296979558</v>
      </c>
      <c r="AH58" s="115">
        <f t="shared" si="0"/>
        <v>3.1329415459364163</v>
      </c>
      <c r="AI58" s="4">
        <f>'[32]Quantity Shares_1998 forward'!AH58</f>
        <v>3.1021906536095059</v>
      </c>
    </row>
    <row r="59" spans="4:35" x14ac:dyDescent="0.2">
      <c r="D59">
        <f>[13]Quantity_shares!BB285</f>
        <v>2000</v>
      </c>
      <c r="E59" t="str">
        <f>[13]Quantity_shares!BC285</f>
        <v>323</v>
      </c>
      <c r="F59" s="26">
        <f>[13]Quantity_shares!BD285</f>
        <v>0.93398401309977797</v>
      </c>
      <c r="G59" s="26">
        <f>[13]Quantity_shares!BE285</f>
        <v>1.1408441600413675E-2</v>
      </c>
      <c r="H59" s="26">
        <f>[13]Quantity_shares!BF285</f>
        <v>2.6178010471205218E-3</v>
      </c>
      <c r="I59" s="26">
        <f>[13]Quantity_shares!BG285</f>
        <v>5.198974425268782E-2</v>
      </c>
      <c r="Q59" s="26">
        <f t="shared" si="9"/>
        <v>5.3659909909909917E-3</v>
      </c>
      <c r="R59" s="26">
        <f t="shared" si="9"/>
        <v>9.5720720720720732E-3</v>
      </c>
      <c r="S59" s="26">
        <f t="shared" si="9"/>
        <v>0.94403153153153163</v>
      </c>
      <c r="T59" s="26">
        <f t="shared" si="9"/>
        <v>2.1227477477477479E-2</v>
      </c>
      <c r="U59" s="26">
        <f t="shared" si="10"/>
        <v>5.4054054054054066E-4</v>
      </c>
      <c r="V59" s="26">
        <f t="shared" si="10"/>
        <v>0</v>
      </c>
      <c r="W59" s="26">
        <f t="shared" si="10"/>
        <v>1.9262387387387388E-2</v>
      </c>
      <c r="X59" s="26">
        <f t="shared" si="7"/>
        <v>1</v>
      </c>
      <c r="Z59" s="4">
        <f>'[25]Predicted Residual Prices'!AS332</f>
        <v>4.1558486732601576</v>
      </c>
      <c r="AA59" s="4">
        <f>'[26]Predicted Distillate Prices'!AS332</f>
        <v>7.451329215016095</v>
      </c>
      <c r="AB59" s="4">
        <f>'[27]Predicted Gas Prices'!AR332</f>
        <v>5.4543044690566234</v>
      </c>
      <c r="AC59" s="4">
        <f>'[28]Predicted LPG Prices'!AS332</f>
        <v>10.220226358530834</v>
      </c>
      <c r="AD59" s="4">
        <f>'[29]Predicted Coal Prices'!AS332</f>
        <v>1.9422768960182868</v>
      </c>
      <c r="AE59" s="4">
        <f>'[30]Predicted Coke Prices'!AS290</f>
        <v>0</v>
      </c>
      <c r="AF59" s="4">
        <f>'[31]Predicted Other Prices'!AT290</f>
        <v>2.4229730369749967</v>
      </c>
      <c r="AH59" s="115">
        <f t="shared" si="0"/>
        <v>5.5073320576934028</v>
      </c>
      <c r="AI59" s="4">
        <f>'[32]Quantity Shares_1998 forward'!AH59</f>
        <v>5.4719503148845519</v>
      </c>
    </row>
    <row r="60" spans="4:35" x14ac:dyDescent="0.2">
      <c r="D60">
        <f>[13]Quantity_shares!BB286</f>
        <v>2000</v>
      </c>
      <c r="E60" t="str">
        <f>[13]Quantity_shares!BC286</f>
        <v>324</v>
      </c>
      <c r="F60" s="26">
        <f>[13]Quantity_shares!BD286</f>
        <v>0.28621152108956988</v>
      </c>
      <c r="G60" s="26">
        <f>[13]Quantity_shares!BE286</f>
        <v>2.0911680911680913E-2</v>
      </c>
      <c r="H60" s="26">
        <f>[13]Quantity_shares!BF286</f>
        <v>3.8232228476130915E-3</v>
      </c>
      <c r="I60" s="26">
        <f>[13]Quantity_shares!BG286</f>
        <v>0.68905357515113619</v>
      </c>
      <c r="Q60" s="26">
        <f t="shared" si="9"/>
        <v>1.6898447250789712E-2</v>
      </c>
      <c r="R60" s="26">
        <f t="shared" si="9"/>
        <v>1.3108247968322544E-2</v>
      </c>
      <c r="S60" s="26">
        <f t="shared" si="9"/>
        <v>0.75229724425865374</v>
      </c>
      <c r="T60" s="26">
        <f t="shared" si="9"/>
        <v>1.0685528728034601E-2</v>
      </c>
      <c r="U60" s="26">
        <f t="shared" si="10"/>
        <v>5.6889652899242147E-3</v>
      </c>
      <c r="V60" s="26">
        <f t="shared" si="10"/>
        <v>4.3474480479958267E-5</v>
      </c>
      <c r="W60" s="26">
        <f t="shared" si="10"/>
        <v>0.20127809202379532</v>
      </c>
      <c r="X60" s="26">
        <f t="shared" si="7"/>
        <v>1</v>
      </c>
      <c r="Z60" s="4">
        <f>'[25]Predicted Residual Prices'!AS333</f>
        <v>3.0947699828772919</v>
      </c>
      <c r="AA60" s="4">
        <f>'[26]Predicted Distillate Prices'!AS333</f>
        <v>6.7419780724384717</v>
      </c>
      <c r="AB60" s="4">
        <f>'[27]Predicted Gas Prices'!AR333</f>
        <v>3.6935037210411945</v>
      </c>
      <c r="AC60" s="4">
        <f>'[28]Predicted LPG Prices'!AS333</f>
        <v>7.9088555854716667</v>
      </c>
      <c r="AD60" s="4">
        <f>'[29]Predicted Coal Prices'!AS333</f>
        <v>1.9166694429661302</v>
      </c>
      <c r="AE60" s="4">
        <f>'[30]Predicted Coke Prices'!AS291</f>
        <v>0</v>
      </c>
      <c r="AF60" s="4">
        <f>'[31]Predicted Other Prices'!AT291</f>
        <v>3.0914973680968023</v>
      </c>
      <c r="AH60" s="115">
        <f t="shared" si="0"/>
        <v>3.6369498599227059</v>
      </c>
      <c r="AI60" s="4">
        <f>'[32]Quantity Shares_1998 forward'!AH60</f>
        <v>3.5878050904626924</v>
      </c>
    </row>
    <row r="61" spans="4:35" x14ac:dyDescent="0.2">
      <c r="D61">
        <f>[13]Quantity_shares!BB287</f>
        <v>2000</v>
      </c>
      <c r="E61" t="str">
        <f>[13]Quantity_shares!BC287</f>
        <v>325</v>
      </c>
      <c r="F61" s="26">
        <f>[13]Quantity_shares!BD287</f>
        <v>0.60960477068624996</v>
      </c>
      <c r="G61" s="26">
        <f>[13]Quantity_shares!BE287</f>
        <v>1.7458016433333695E-2</v>
      </c>
      <c r="H61" s="26">
        <f>[13]Quantity_shares!BF287</f>
        <v>9.8662527416169266E-2</v>
      </c>
      <c r="I61" s="26">
        <f>[13]Quantity_shares!BG287</f>
        <v>0.2742746854642471</v>
      </c>
      <c r="Q61" s="26">
        <f t="shared" si="9"/>
        <v>1.5470081918967392E-2</v>
      </c>
      <c r="R61" s="26">
        <f t="shared" si="9"/>
        <v>4.1197000228514451E-3</v>
      </c>
      <c r="S61" s="26">
        <f t="shared" si="9"/>
        <v>0.67897293142489146</v>
      </c>
      <c r="T61" s="26">
        <f t="shared" si="9"/>
        <v>1.5158125073574728E-2</v>
      </c>
      <c r="U61" s="26">
        <f t="shared" si="10"/>
        <v>0.11150937255472229</v>
      </c>
      <c r="V61" s="26">
        <f t="shared" si="10"/>
        <v>5.5252023737803902E-4</v>
      </c>
      <c r="W61" s="26">
        <f t="shared" si="10"/>
        <v>0.17421726876761467</v>
      </c>
      <c r="X61" s="26">
        <f t="shared" si="7"/>
        <v>1</v>
      </c>
      <c r="Z61" s="4">
        <f>'[25]Predicted Residual Prices'!AS334</f>
        <v>4.1389968653069431</v>
      </c>
      <c r="AA61" s="4">
        <f>'[26]Predicted Distillate Prices'!AS334</f>
        <v>7.1344830767000555</v>
      </c>
      <c r="AB61" s="4">
        <f>'[27]Predicted Gas Prices'!AR334</f>
        <v>3.5844207132869519</v>
      </c>
      <c r="AC61" s="4">
        <f>'[28]Predicted LPG Prices'!AS334</f>
        <v>6.8893652166746451</v>
      </c>
      <c r="AD61" s="4">
        <f>'[29]Predicted Coal Prices'!AS334</f>
        <v>1.7624245309225062</v>
      </c>
      <c r="AE61" s="4">
        <f>'[30]Predicted Coke Prices'!AS292</f>
        <v>4.5123361328235596</v>
      </c>
      <c r="AF61" s="4">
        <f>'[31]Predicted Other Prices'!AT292</f>
        <v>3.3215570416315323</v>
      </c>
      <c r="AH61" s="115">
        <f t="shared" si="0"/>
        <v>3.4092696559535338</v>
      </c>
      <c r="AI61" s="4">
        <f>'[32]Quantity Shares_1998 forward'!AH61</f>
        <v>3.3530516053778978</v>
      </c>
    </row>
    <row r="62" spans="4:35" x14ac:dyDescent="0.2">
      <c r="D62">
        <f>[13]Quantity_shares!BB288</f>
        <v>2000</v>
      </c>
      <c r="E62" t="str">
        <f>[13]Quantity_shares!BC288</f>
        <v>326</v>
      </c>
      <c r="F62" s="26">
        <f>[13]Quantity_shares!BD288</f>
        <v>0.85664634701119091</v>
      </c>
      <c r="G62" s="26">
        <f>[13]Quantity_shares!BE288</f>
        <v>5.0373032481120919E-2</v>
      </c>
      <c r="H62" s="26">
        <f>[13]Quantity_shares!BF288</f>
        <v>3.2112637612592115E-2</v>
      </c>
      <c r="I62" s="26">
        <f>[13]Quantity_shares!BG288</f>
        <v>6.0867982895095984E-2</v>
      </c>
      <c r="Q62" s="26">
        <f t="shared" si="9"/>
        <v>3.8573232323232329E-2</v>
      </c>
      <c r="R62" s="26">
        <f t="shared" si="9"/>
        <v>9.5328282828282818E-3</v>
      </c>
      <c r="S62" s="26">
        <f t="shared" si="9"/>
        <v>0.82537878787878793</v>
      </c>
      <c r="T62" s="26">
        <f t="shared" si="9"/>
        <v>2.2979797979797979E-2</v>
      </c>
      <c r="U62" s="26">
        <f t="shared" si="10"/>
        <v>7.4053030303030301E-2</v>
      </c>
      <c r="V62" s="26">
        <f t="shared" si="10"/>
        <v>0</v>
      </c>
      <c r="W62" s="26">
        <f t="shared" si="10"/>
        <v>2.9482323232323235E-2</v>
      </c>
      <c r="X62" s="26">
        <f t="shared" si="7"/>
        <v>1</v>
      </c>
      <c r="Z62" s="4">
        <f>'[25]Predicted Residual Prices'!AS335</f>
        <v>4.2815805333035408</v>
      </c>
      <c r="AA62" s="4">
        <f>'[26]Predicted Distillate Prices'!AS335</f>
        <v>8.4280207720524807</v>
      </c>
      <c r="AB62" s="4">
        <f>'[27]Predicted Gas Prices'!AR335</f>
        <v>4.7650625785097898</v>
      </c>
      <c r="AC62" s="4">
        <f>'[28]Predicted LPG Prices'!AS335</f>
        <v>9.7703139535300458</v>
      </c>
      <c r="AD62" s="4">
        <f>'[29]Predicted Coal Prices'!AS335</f>
        <v>2.1351869315902947</v>
      </c>
      <c r="AE62" s="4">
        <f>'[30]Predicted Coke Prices'!AS293</f>
        <v>0</v>
      </c>
      <c r="AF62" s="4">
        <f>'[31]Predicted Other Prices'!AT293</f>
        <v>3.9555340727184847</v>
      </c>
      <c r="AH62" s="115">
        <f t="shared" si="0"/>
        <v>4.6777340881101805</v>
      </c>
      <c r="AI62" s="4">
        <f>'[32]Quantity Shares_1998 forward'!AH62</f>
        <v>4.6876030986458721</v>
      </c>
    </row>
    <row r="63" spans="4:35" x14ac:dyDescent="0.2">
      <c r="D63">
        <f>[13]Quantity_shares!BB289</f>
        <v>2000</v>
      </c>
      <c r="E63" t="str">
        <f>[13]Quantity_shares!BC289</f>
        <v>327</v>
      </c>
      <c r="F63" s="26">
        <f>[13]Quantity_shares!BD289</f>
        <v>0.49378665748673345</v>
      </c>
      <c r="G63" s="26">
        <f>[13]Quantity_shares!BE289</f>
        <v>3.1086847797140795E-2</v>
      </c>
      <c r="H63" s="26">
        <f>[13]Quantity_shares!BF289</f>
        <v>0.34367851181158621</v>
      </c>
      <c r="I63" s="26">
        <f>[13]Quantity_shares!BG289</f>
        <v>0.13144798290453952</v>
      </c>
      <c r="Q63" s="26">
        <f t="shared" si="9"/>
        <v>4.3815115319327863E-3</v>
      </c>
      <c r="R63" s="26">
        <f t="shared" si="9"/>
        <v>2.9139738059271489E-2</v>
      </c>
      <c r="S63" s="26">
        <f t="shared" si="9"/>
        <v>0.53631585504492851</v>
      </c>
      <c r="T63" s="26">
        <f t="shared" si="9"/>
        <v>3.7445688567735507E-3</v>
      </c>
      <c r="U63" s="26">
        <f t="shared" si="10"/>
        <v>0.36913008269353553</v>
      </c>
      <c r="V63" s="26">
        <f t="shared" si="10"/>
        <v>1.309314313301045E-2</v>
      </c>
      <c r="W63" s="26">
        <f t="shared" si="10"/>
        <v>4.419510068054755E-2</v>
      </c>
      <c r="X63" s="26">
        <f t="shared" si="7"/>
        <v>0.99999999999999989</v>
      </c>
      <c r="Z63" s="4">
        <f>'[25]Predicted Residual Prices'!AS336</f>
        <v>4.4637121133156779</v>
      </c>
      <c r="AA63" s="4">
        <f>'[26]Predicted Distillate Prices'!AS336</f>
        <v>8.2211998747846717</v>
      </c>
      <c r="AB63" s="4">
        <f>'[27]Predicted Gas Prices'!AR336</f>
        <v>4.1460847170427808</v>
      </c>
      <c r="AC63" s="4">
        <f>'[28]Predicted LPG Prices'!AS336</f>
        <v>9.4786446273941554</v>
      </c>
      <c r="AD63" s="4">
        <f>'[29]Predicted Coal Prices'!AS336</f>
        <v>1.6089604573652376</v>
      </c>
      <c r="AE63" s="4">
        <f>'[30]Predicted Coke Prices'!AS294</f>
        <v>2.0607740395120051</v>
      </c>
      <c r="AF63" s="4">
        <f>'[31]Predicted Other Prices'!AT294</f>
        <v>1.2812565565974472</v>
      </c>
      <c r="AH63" s="115">
        <f t="shared" si="0"/>
        <v>3.1957488032279526</v>
      </c>
      <c r="AI63" s="4">
        <f>'[32]Quantity Shares_1998 forward'!AH63</f>
        <v>3.3221029126079453</v>
      </c>
    </row>
    <row r="64" spans="4:35" x14ac:dyDescent="0.2">
      <c r="D64">
        <f>[13]Quantity_shares!BB290</f>
        <v>2000</v>
      </c>
      <c r="E64" t="str">
        <f>[13]Quantity_shares!BC290</f>
        <v>331</v>
      </c>
      <c r="F64" s="26">
        <f>[13]Quantity_shares!BD290</f>
        <v>0.41758930586617971</v>
      </c>
      <c r="G64" s="26">
        <f>[13]Quantity_shares!BE290</f>
        <v>1.3324258445947316E-2</v>
      </c>
      <c r="H64" s="26">
        <f>[13]Quantity_shares!BF290</f>
        <v>0.35485653317075028</v>
      </c>
      <c r="I64" s="26">
        <f>[13]Quantity_shares!BG290</f>
        <v>0.21422990251712271</v>
      </c>
      <c r="Q64" s="26">
        <f t="shared" si="9"/>
        <v>1.0786531173325646E-2</v>
      </c>
      <c r="R64" s="26">
        <f t="shared" si="9"/>
        <v>9.4892150154601475E-3</v>
      </c>
      <c r="S64" s="26">
        <f t="shared" si="9"/>
        <v>0.60626516474121117</v>
      </c>
      <c r="T64" s="26">
        <f t="shared" si="9"/>
        <v>2.3802689162553655E-3</v>
      </c>
      <c r="U64" s="26">
        <f t="shared" si="10"/>
        <v>4.5905628137346E-2</v>
      </c>
      <c r="V64" s="26">
        <f t="shared" si="10"/>
        <v>0.29767559548482014</v>
      </c>
      <c r="W64" s="26">
        <f t="shared" si="10"/>
        <v>2.7497596531581639E-2</v>
      </c>
      <c r="X64" s="26">
        <f t="shared" si="7"/>
        <v>1</v>
      </c>
      <c r="Z64" s="4">
        <f>'[25]Predicted Residual Prices'!AS337</f>
        <v>3.5740478354470708</v>
      </c>
      <c r="AA64" s="4">
        <f>'[26]Predicted Distillate Prices'!AS337</f>
        <v>5.3684480043875507</v>
      </c>
      <c r="AB64" s="4">
        <f>'[27]Predicted Gas Prices'!AR337</f>
        <v>3.6901241873105963</v>
      </c>
      <c r="AC64" s="4">
        <f>'[28]Predicted LPG Prices'!AS337</f>
        <v>8.7008870702785224</v>
      </c>
      <c r="AD64" s="4">
        <f>'[29]Predicted Coal Prices'!AS337</f>
        <v>1.5998474217046919</v>
      </c>
      <c r="AE64" s="4">
        <f>'[30]Predicted Coke Prices'!AS295</f>
        <v>4.5556697961516903</v>
      </c>
      <c r="AF64" s="4">
        <f>'[31]Predicted Other Prices'!AT295</f>
        <v>3.6157992557314813</v>
      </c>
      <c r="AH64" s="115">
        <f t="shared" si="0"/>
        <v>3.8763776444698053</v>
      </c>
      <c r="AI64" s="4">
        <f>'[32]Quantity Shares_1998 forward'!AH64</f>
        <v>4.0820078864065339</v>
      </c>
    </row>
    <row r="65" spans="4:35" x14ac:dyDescent="0.2">
      <c r="D65">
        <f>[13]Quantity_shares!BB291</f>
        <v>2000</v>
      </c>
      <c r="E65" t="str">
        <f>[13]Quantity_shares!BC291</f>
        <v>332</v>
      </c>
      <c r="F65" s="26">
        <f>[13]Quantity_shares!BD291</f>
        <v>0.90905522093270008</v>
      </c>
      <c r="G65" s="26">
        <f>[13]Quantity_shares!BE291</f>
        <v>3.2884449014902964E-2</v>
      </c>
      <c r="H65" s="26">
        <f>[13]Quantity_shares!BF291</f>
        <v>8.8609764458155819E-3</v>
      </c>
      <c r="I65" s="26">
        <f>[13]Quantity_shares!BG291</f>
        <v>4.9199353606581467E-2</v>
      </c>
      <c r="Q65" s="26">
        <f t="shared" si="9"/>
        <v>5.9762280774665454E-3</v>
      </c>
      <c r="R65" s="26">
        <f t="shared" si="9"/>
        <v>2.4536613747818136E-2</v>
      </c>
      <c r="S65" s="26">
        <f t="shared" si="9"/>
        <v>0.91506940403956449</v>
      </c>
      <c r="T65" s="26">
        <f t="shared" si="9"/>
        <v>1.6041891779569446E-2</v>
      </c>
      <c r="U65" s="26">
        <f t="shared" si="10"/>
        <v>7.8630205302967337E-3</v>
      </c>
      <c r="V65" s="26">
        <f t="shared" si="10"/>
        <v>1.4786800764691216E-2</v>
      </c>
      <c r="W65" s="26">
        <f t="shared" si="10"/>
        <v>1.5726041060593467E-2</v>
      </c>
      <c r="X65" s="26">
        <f t="shared" si="7"/>
        <v>1</v>
      </c>
      <c r="Z65" s="4">
        <f>'[25]Predicted Residual Prices'!AS338</f>
        <v>4.0905012292275593</v>
      </c>
      <c r="AA65" s="4">
        <f>'[26]Predicted Distillate Prices'!AS338</f>
        <v>8.5040774320351797</v>
      </c>
      <c r="AB65" s="4">
        <f>'[27]Predicted Gas Prices'!AR338</f>
        <v>5.0039497926710998</v>
      </c>
      <c r="AC65" s="4">
        <f>'[28]Predicted LPG Prices'!AS338</f>
        <v>10.647612855635595</v>
      </c>
      <c r="AD65" s="4">
        <f>'[29]Predicted Coal Prices'!AS338</f>
        <v>3.7223531292900258</v>
      </c>
      <c r="AE65" s="4">
        <f>'[30]Predicted Coke Prices'!AS296</f>
        <v>5.7108959996945945</v>
      </c>
      <c r="AF65" s="4">
        <f>'[31]Predicted Other Prices'!AT296</f>
        <v>13.913429176240953</v>
      </c>
      <c r="AH65" s="115">
        <f t="shared" si="0"/>
        <v>5.3153942182239122</v>
      </c>
      <c r="AI65" s="4">
        <f>'[32]Quantity Shares_1998 forward'!AH65</f>
        <v>5.5235048900795576</v>
      </c>
    </row>
    <row r="66" spans="4:35" x14ac:dyDescent="0.2">
      <c r="D66">
        <f>[13]Quantity_shares!BB292</f>
        <v>2000</v>
      </c>
      <c r="E66" t="str">
        <f>[13]Quantity_shares!BC292</f>
        <v>333</v>
      </c>
      <c r="F66" s="26">
        <f>[13]Quantity_shares!BD292</f>
        <v>0.85446906035141335</v>
      </c>
      <c r="G66" s="26">
        <f>[13]Quantity_shares!BE292</f>
        <v>3.5523300229182583E-2</v>
      </c>
      <c r="H66" s="26">
        <f>[13]Quantity_shares!BF292</f>
        <v>3.0557677616501147E-2</v>
      </c>
      <c r="I66" s="26">
        <f>[13]Quantity_shares!BG292</f>
        <v>7.944996180290298E-2</v>
      </c>
      <c r="Q66" s="26">
        <f t="shared" si="9"/>
        <v>4.8591922480033306E-3</v>
      </c>
      <c r="R66" s="26">
        <f t="shared" si="9"/>
        <v>2.3907982891101104E-2</v>
      </c>
      <c r="S66" s="26">
        <f t="shared" si="9"/>
        <v>0.87677902267307628</v>
      </c>
      <c r="T66" s="26">
        <f t="shared" si="9"/>
        <v>2.3907982891101104E-2</v>
      </c>
      <c r="U66" s="26">
        <f t="shared" si="10"/>
        <v>3.135054316968848E-2</v>
      </c>
      <c r="V66" s="26">
        <f t="shared" si="10"/>
        <v>0</v>
      </c>
      <c r="W66" s="26">
        <f t="shared" si="10"/>
        <v>3.9195276127029791E-2</v>
      </c>
      <c r="X66" s="26">
        <f t="shared" si="7"/>
        <v>1</v>
      </c>
      <c r="Z66" s="4">
        <f>'[25]Predicted Residual Prices'!AS339</f>
        <v>3.753837348204403</v>
      </c>
      <c r="AA66" s="4">
        <f>'[26]Predicted Distillate Prices'!AS339</f>
        <v>8.7022106707377667</v>
      </c>
      <c r="AB66" s="4">
        <f>'[27]Predicted Gas Prices'!AR339</f>
        <v>5.3847656700737137</v>
      </c>
      <c r="AC66" s="4">
        <f>'[28]Predicted LPG Prices'!AS339</f>
        <v>9.3124492427114305</v>
      </c>
      <c r="AD66" s="4">
        <f>'[29]Predicted Coal Prices'!AS339</f>
        <v>1.4646150826681121</v>
      </c>
      <c r="AE66" s="4">
        <f>'[30]Predicted Coke Prices'!AS297</f>
        <v>0</v>
      </c>
      <c r="AF66" s="4">
        <f>'[31]Predicted Other Prices'!AT297</f>
        <v>7.5603075939589495</v>
      </c>
      <c r="AH66" s="115">
        <f t="shared" si="0"/>
        <v>5.5124292019998364</v>
      </c>
      <c r="AI66" s="4">
        <f>'[32]Quantity Shares_1998 forward'!AH66</f>
        <v>5.359666197065839</v>
      </c>
    </row>
    <row r="67" spans="4:35" x14ac:dyDescent="0.2">
      <c r="D67">
        <f>[13]Quantity_shares!BB293</f>
        <v>2000</v>
      </c>
      <c r="E67" t="str">
        <f>[13]Quantity_shares!BC293</f>
        <v>334</v>
      </c>
      <c r="F67" s="26">
        <f>[13]Quantity_shares!BD293</f>
        <v>0.93572180134680139</v>
      </c>
      <c r="G67" s="26">
        <f>[13]Quantity_shares!BE293</f>
        <v>2.9019360269360271E-2</v>
      </c>
      <c r="H67" s="26">
        <f>[13]Quantity_shares!BF293</f>
        <v>3.2723063973063974E-3</v>
      </c>
      <c r="I67" s="26">
        <f>[13]Quantity_shares!BG293</f>
        <v>3.1986531986531987E-2</v>
      </c>
      <c r="Q67" s="26">
        <f t="shared" ref="Q67:T71" si="11">0.5*Q25+0.5*Q109</f>
        <v>1.4621883230153572E-2</v>
      </c>
      <c r="R67" s="26">
        <f t="shared" si="11"/>
        <v>1.4621883230153572E-2</v>
      </c>
      <c r="S67" s="26">
        <f t="shared" si="11"/>
        <v>0.94302596025584018</v>
      </c>
      <c r="T67" s="26">
        <f t="shared" si="11"/>
        <v>3.6811232342579608E-3</v>
      </c>
      <c r="U67" s="26">
        <f t="shared" si="10"/>
        <v>2.2018332934295583E-3</v>
      </c>
      <c r="V67" s="26">
        <f t="shared" si="10"/>
        <v>0</v>
      </c>
      <c r="W67" s="26">
        <f t="shared" si="10"/>
        <v>2.1847316756165133E-2</v>
      </c>
      <c r="X67" s="26">
        <f t="shared" si="7"/>
        <v>1</v>
      </c>
      <c r="Z67" s="4">
        <f>'[25]Predicted Residual Prices'!AS340</f>
        <v>4.1650687028504771</v>
      </c>
      <c r="AA67" s="4">
        <f>'[26]Predicted Distillate Prices'!AS340</f>
        <v>8.0643501174719638</v>
      </c>
      <c r="AB67" s="4">
        <f>'[27]Predicted Gas Prices'!AR340</f>
        <v>4.9480791608419787</v>
      </c>
      <c r="AC67" s="4">
        <f>'[28]Predicted LPG Prices'!AS340</f>
        <v>11.547705234157048</v>
      </c>
      <c r="AD67" s="4">
        <f>'[29]Predicted Coal Prices'!AS340</f>
        <v>2.4672148874006363</v>
      </c>
      <c r="AE67" s="4">
        <f>'[30]Predicted Coke Prices'!AS298</f>
        <v>0</v>
      </c>
      <c r="AF67" s="4">
        <f>'[31]Predicted Other Prices'!AT298</f>
        <v>4.9577301220839782</v>
      </c>
      <c r="AH67" s="115">
        <f t="shared" si="0"/>
        <v>5.0012382583280077</v>
      </c>
      <c r="AI67" s="4">
        <f>'[32]Quantity Shares_1998 forward'!AH67</f>
        <v>4.691380525788861</v>
      </c>
    </row>
    <row r="68" spans="4:35" x14ac:dyDescent="0.2">
      <c r="D68">
        <f>[13]Quantity_shares!BB294</f>
        <v>2000</v>
      </c>
      <c r="E68" t="str">
        <f>[13]Quantity_shares!BC294</f>
        <v>335</v>
      </c>
      <c r="F68" s="26">
        <f>[13]Quantity_shares!BD294</f>
        <v>0.76601263585535984</v>
      </c>
      <c r="G68" s="26">
        <f>[13]Quantity_shares!BE294</f>
        <v>2.4512464091368487E-2</v>
      </c>
      <c r="H68" s="26">
        <f>[13]Quantity_shares!BF294</f>
        <v>9.1806608681798494E-3</v>
      </c>
      <c r="I68" s="26">
        <f>[13]Quantity_shares!BG294</f>
        <v>0.2002942391850919</v>
      </c>
      <c r="Q68" s="26">
        <f t="shared" si="11"/>
        <v>9.3356256612484364E-3</v>
      </c>
      <c r="R68" s="26">
        <f t="shared" si="11"/>
        <v>1.7342743098970853E-2</v>
      </c>
      <c r="S68" s="26">
        <f t="shared" si="11"/>
        <v>0.91071943829950941</v>
      </c>
      <c r="T68" s="26">
        <f t="shared" si="11"/>
        <v>2.57886890449168E-2</v>
      </c>
      <c r="U68" s="26">
        <f t="shared" si="10"/>
        <v>2.5788689044916801E-3</v>
      </c>
      <c r="V68" s="26">
        <f t="shared" si="10"/>
        <v>0</v>
      </c>
      <c r="W68" s="26">
        <f t="shared" si="10"/>
        <v>3.4234634990862746E-2</v>
      </c>
      <c r="X68" s="26">
        <f t="shared" si="7"/>
        <v>1</v>
      </c>
      <c r="Z68" s="4">
        <f>'[25]Predicted Residual Prices'!AS341</f>
        <v>2.7759555456327147</v>
      </c>
      <c r="AA68" s="4">
        <f>'[26]Predicted Distillate Prices'!AS341</f>
        <v>5.9397430468677346</v>
      </c>
      <c r="AB68" s="4">
        <f>'[27]Predicted Gas Prices'!AR341</f>
        <v>4.7336051349425148</v>
      </c>
      <c r="AC68" s="4">
        <f>'[28]Predicted LPG Prices'!AS341</f>
        <v>11.474416320294488</v>
      </c>
      <c r="AD68" s="4">
        <f>'[29]Predicted Coal Prices'!AS341</f>
        <v>2.1601519887041167</v>
      </c>
      <c r="AE68" s="4">
        <f>'[30]Predicted Coke Prices'!AS299</f>
        <v>0</v>
      </c>
      <c r="AF68" s="4">
        <f>'[31]Predicted Other Prices'!AT299</f>
        <v>1.3704237748287913</v>
      </c>
      <c r="AH68" s="115">
        <f t="shared" si="0"/>
        <v>4.7883097901512413</v>
      </c>
      <c r="AI68" s="4">
        <f>'[32]Quantity Shares_1998 forward'!AH68</f>
        <v>5.2424931972993107</v>
      </c>
    </row>
    <row r="69" spans="4:35" x14ac:dyDescent="0.2">
      <c r="D69">
        <f>[13]Quantity_shares!BB295</f>
        <v>2000</v>
      </c>
      <c r="E69" t="str">
        <f>[13]Quantity_shares!BC295</f>
        <v>336</v>
      </c>
      <c r="F69" s="26">
        <f>[13]Quantity_shares!BD295</f>
        <v>0.7540072082325604</v>
      </c>
      <c r="G69" s="26">
        <f>[13]Quantity_shares!BE295</f>
        <v>5.3231849006496898E-2</v>
      </c>
      <c r="H69" s="26">
        <f>[13]Quantity_shares!BF295</f>
        <v>6.4471001090719404E-2</v>
      </c>
      <c r="I69" s="26">
        <f>[13]Quantity_shares!BG295</f>
        <v>0.12828994167022337</v>
      </c>
      <c r="Q69" s="26">
        <f t="shared" si="11"/>
        <v>2.0426767506246203E-2</v>
      </c>
      <c r="R69" s="26">
        <f t="shared" si="11"/>
        <v>3.1399824431089206E-2</v>
      </c>
      <c r="S69" s="26">
        <f t="shared" si="11"/>
        <v>0.76200958876358971</v>
      </c>
      <c r="T69" s="26">
        <f t="shared" si="11"/>
        <v>1.4747788506988994E-2</v>
      </c>
      <c r="U69" s="26">
        <f t="shared" si="10"/>
        <v>6.5088797352961039E-2</v>
      </c>
      <c r="V69" s="26">
        <f t="shared" si="10"/>
        <v>1.6949152542372881E-3</v>
      </c>
      <c r="W69" s="26">
        <f t="shared" si="10"/>
        <v>0.10463231818488758</v>
      </c>
      <c r="X69" s="26">
        <f t="shared" si="7"/>
        <v>1</v>
      </c>
      <c r="Z69" s="4">
        <f>'[25]Predicted Residual Prices'!AS342</f>
        <v>3.8237887655484846</v>
      </c>
      <c r="AA69" s="4">
        <f>'[26]Predicted Distillate Prices'!AS342</f>
        <v>8.41302960901284</v>
      </c>
      <c r="AB69" s="4">
        <f>'[27]Predicted Gas Prices'!AR342</f>
        <v>4.6936121844795071</v>
      </c>
      <c r="AC69" s="4">
        <f>'[28]Predicted LPG Prices'!AS342</f>
        <v>8.8426147339349761</v>
      </c>
      <c r="AD69" s="4">
        <f>'[29]Predicted Coal Prices'!AS342</f>
        <v>1.9311021012710272</v>
      </c>
      <c r="AE69" s="4">
        <f>'[30]Predicted Coke Prices'!AS300</f>
        <v>0</v>
      </c>
      <c r="AF69" s="4">
        <f>'[31]Predicted Other Prices'!AT300</f>
        <v>3.5378887067375899</v>
      </c>
      <c r="AH69" s="115">
        <f t="shared" si="0"/>
        <v>4.5451324094228696</v>
      </c>
      <c r="AI69" s="4">
        <f>'[32]Quantity Shares_1998 forward'!AH69</f>
        <v>4.5404972461848656</v>
      </c>
    </row>
    <row r="70" spans="4:35" x14ac:dyDescent="0.2">
      <c r="D70">
        <f>[13]Quantity_shares!BB296</f>
        <v>2000</v>
      </c>
      <c r="E70" t="str">
        <f>[13]Quantity_shares!BC296</f>
        <v>337</v>
      </c>
      <c r="F70" s="26">
        <f>[13]Quantity_shares!BD296</f>
        <v>0.5427095622230016</v>
      </c>
      <c r="G70" s="26">
        <f>[13]Quantity_shares!BE296</f>
        <v>2.5661873332695637E-2</v>
      </c>
      <c r="H70" s="26">
        <f>[13]Quantity_shares!BF296</f>
        <v>3.5769324788232415E-2</v>
      </c>
      <c r="I70" s="26">
        <f>[13]Quantity_shares!BG296</f>
        <v>0.39585923965607028</v>
      </c>
      <c r="Q70" s="26">
        <f t="shared" si="11"/>
        <v>1.2602007655087746E-2</v>
      </c>
      <c r="R70" s="26">
        <f t="shared" si="11"/>
        <v>2.7406658481981656E-2</v>
      </c>
      <c r="S70" s="26">
        <f t="shared" si="11"/>
        <v>0.70719289376760308</v>
      </c>
      <c r="T70" s="26">
        <f t="shared" si="11"/>
        <v>2.7406658481981656E-2</v>
      </c>
      <c r="U70" s="26">
        <f t="shared" si="10"/>
        <v>3.8419874341012496E-2</v>
      </c>
      <c r="V70" s="26">
        <f t="shared" si="10"/>
        <v>0</v>
      </c>
      <c r="W70" s="26">
        <f t="shared" si="10"/>
        <v>0.18697190727233337</v>
      </c>
      <c r="X70" s="26">
        <f t="shared" si="7"/>
        <v>1</v>
      </c>
      <c r="Z70" s="4">
        <f>'[25]Predicted Residual Prices'!AS343</f>
        <v>3.1741510393830414</v>
      </c>
      <c r="AA70" s="4">
        <f>'[26]Predicted Distillate Prices'!AS343</f>
        <v>7.6838378431446133</v>
      </c>
      <c r="AB70" s="4">
        <f>'[27]Predicted Gas Prices'!AR343</f>
        <v>5.8775310801585618</v>
      </c>
      <c r="AC70" s="4">
        <f>'[28]Predicted LPG Prices'!AS343</f>
        <v>9.8687013974578406</v>
      </c>
      <c r="AD70" s="4">
        <f>'[29]Predicted Coal Prices'!AS343</f>
        <v>2.2498178718996984</v>
      </c>
      <c r="AE70" s="4">
        <f>'[30]Predicted Coke Prices'!AS301</f>
        <v>0</v>
      </c>
      <c r="AF70" s="4">
        <f>'[31]Predicted Other Prices'!AT301</f>
        <v>3.2613696004833459</v>
      </c>
      <c r="AH70" s="115">
        <f t="shared" si="0"/>
        <v>5.3738275513927709</v>
      </c>
      <c r="AI70" s="4">
        <f>'[32]Quantity Shares_1998 forward'!AH70</f>
        <v>5.3985798068688036</v>
      </c>
    </row>
    <row r="71" spans="4:35" x14ac:dyDescent="0.2">
      <c r="D71">
        <f>[13]Quantity_shares!BB297</f>
        <v>2000</v>
      </c>
      <c r="E71" t="str">
        <f>[13]Quantity_shares!BC297</f>
        <v>339</v>
      </c>
      <c r="F71" s="26">
        <f>[13]Quantity_shares!BD297</f>
        <v>0.85895221646516973</v>
      </c>
      <c r="G71" s="26">
        <f>[13]Quantity_shares!BE297</f>
        <v>4.4976971790443292E-2</v>
      </c>
      <c r="H71" s="26">
        <f>[13]Quantity_shares!BF297</f>
        <v>2.5906735751296726E-3</v>
      </c>
      <c r="I71" s="26">
        <f>[13]Quantity_shares!BG297</f>
        <v>9.3480138169257321E-2</v>
      </c>
      <c r="Q71" s="26">
        <f t="shared" si="11"/>
        <v>1.7560155697098373E-2</v>
      </c>
      <c r="R71" s="26">
        <f t="shared" si="11"/>
        <v>2.8175866949752298E-2</v>
      </c>
      <c r="S71" s="26">
        <f t="shared" si="11"/>
        <v>0.86907289455060144</v>
      </c>
      <c r="T71" s="26">
        <f t="shared" si="11"/>
        <v>2.4504600141542814E-2</v>
      </c>
      <c r="U71" s="26">
        <f t="shared" si="10"/>
        <v>1.0615711252653928E-3</v>
      </c>
      <c r="V71" s="26">
        <f t="shared" si="10"/>
        <v>0</v>
      </c>
      <c r="W71" s="26">
        <f t="shared" si="10"/>
        <v>5.962491153573956E-2</v>
      </c>
      <c r="X71" s="26">
        <f t="shared" si="7"/>
        <v>0.99999999999999978</v>
      </c>
      <c r="Z71" s="4">
        <f>'[25]Predicted Residual Prices'!AS344</f>
        <v>4.8096166422238191</v>
      </c>
      <c r="AA71" s="4">
        <f>'[26]Predicted Distillate Prices'!AS344</f>
        <v>6.0693109814134623</v>
      </c>
      <c r="AB71" s="4">
        <f>'[27]Predicted Gas Prices'!AR344</f>
        <v>5.6304216832080165</v>
      </c>
      <c r="AC71" s="4">
        <f>'[28]Predicted LPG Prices'!AS344</f>
        <v>12.45425921591309</v>
      </c>
      <c r="AD71" s="4">
        <f>'[29]Predicted Coal Prices'!AS344</f>
        <v>1.9168143548947816</v>
      </c>
      <c r="AE71" s="4">
        <f>'[30]Predicted Coke Prices'!AS302</f>
        <v>0</v>
      </c>
      <c r="AF71" s="4">
        <f>'[31]Predicted Other Prices'!AT302</f>
        <v>2.6775296055090863</v>
      </c>
      <c r="AH71" s="115">
        <f t="shared" si="0"/>
        <v>5.6155815283153707</v>
      </c>
      <c r="AI71" s="4">
        <f>'[32]Quantity Shares_1998 forward'!AH71</f>
        <v>5.6354701915439911</v>
      </c>
    </row>
    <row r="72" spans="4:35" x14ac:dyDescent="0.2">
      <c r="D72">
        <f>[13]Quantity_shares!BB298</f>
        <v>2001</v>
      </c>
      <c r="E72" t="str">
        <f>[13]Quantity_shares!BC298</f>
        <v>311</v>
      </c>
      <c r="F72" s="26">
        <f>[13]Quantity_shares!BD298</f>
        <v>0.65761660867132266</v>
      </c>
      <c r="G72" s="26">
        <f>[13]Quantity_shares!BE298</f>
        <v>3.6113306875504236E-2</v>
      </c>
      <c r="H72" s="26">
        <f>[13]Quantity_shares!BF298</f>
        <v>0.19456487193487135</v>
      </c>
      <c r="I72" s="26">
        <f>[13]Quantity_shares!BG298</f>
        <v>0.11170521251830182</v>
      </c>
      <c r="P72">
        <v>2001</v>
      </c>
      <c r="Q72" s="26">
        <f t="shared" ref="Q72:T87" si="12">0.25*Q9+0.75*Q93</f>
        <v>1.6009930709626901E-2</v>
      </c>
      <c r="R72" s="26">
        <f t="shared" si="12"/>
        <v>2.1965473180710383E-2</v>
      </c>
      <c r="S72" s="26">
        <f t="shared" si="12"/>
        <v>0.69166922117377838</v>
      </c>
      <c r="T72" s="26">
        <f t="shared" si="12"/>
        <v>6.0340745956544047E-3</v>
      </c>
      <c r="U72" s="26">
        <f t="shared" ref="U72:W92" si="13">0.25*U9+0.75*U93</f>
        <v>0.20438042326918232</v>
      </c>
      <c r="V72" s="26">
        <f t="shared" si="13"/>
        <v>1.5281516800563304E-3</v>
      </c>
      <c r="W72" s="26">
        <f t="shared" si="13"/>
        <v>5.8412725390991342E-2</v>
      </c>
      <c r="X72" s="26">
        <f t="shared" si="7"/>
        <v>1</v>
      </c>
      <c r="Z72" s="4">
        <f>'[25]Predicted Residual Prices'!AS345</f>
        <v>4.3205800364418412</v>
      </c>
      <c r="AA72" s="4">
        <f>'[26]Predicted Distillate Prices'!AS345</f>
        <v>7.4277234273847164</v>
      </c>
      <c r="AB72" s="4">
        <f>'[27]Predicted Gas Prices'!AR345</f>
        <v>5.262383592291255</v>
      </c>
      <c r="AC72" s="4">
        <f>'[28]Predicted LPG Prices'!AS345</f>
        <v>9.3067495147172998</v>
      </c>
      <c r="AD72" s="4">
        <f>'[29]Predicted Coal Prices'!AS345</f>
        <v>1.4176601476870117</v>
      </c>
      <c r="AE72" s="4">
        <f>'[30]Predicted Coke Prices'!AS303</f>
        <v>5.1739024426468125</v>
      </c>
      <c r="AF72" s="4">
        <f>'[31]Predicted Other Prices'!AT303</f>
        <v>3.8727050456416467</v>
      </c>
      <c r="AH72" s="115">
        <f t="shared" si="0"/>
        <v>4.4521757734570944</v>
      </c>
      <c r="AI72" s="4">
        <f>'[32]Quantity Shares_1998 forward'!AH72</f>
        <v>4.5010495155760228</v>
      </c>
    </row>
    <row r="73" spans="4:35" x14ac:dyDescent="0.2">
      <c r="D73">
        <f>[13]Quantity_shares!BB299</f>
        <v>2001</v>
      </c>
      <c r="E73" t="str">
        <f>[13]Quantity_shares!BC299</f>
        <v>312</v>
      </c>
      <c r="F73" s="26">
        <f>[13]Quantity_shares!BD299</f>
        <v>0.57784986098239111</v>
      </c>
      <c r="G73" s="26">
        <f>[13]Quantity_shares!BE299</f>
        <v>5.0509731232622798E-2</v>
      </c>
      <c r="H73" s="26">
        <f>[13]Quantity_shares!BF299</f>
        <v>0.25081093605189991</v>
      </c>
      <c r="I73" s="26">
        <f>[13]Quantity_shares!BG299</f>
        <v>0.1208294717330862</v>
      </c>
      <c r="Q73" s="26">
        <f t="shared" si="12"/>
        <v>2.5578080456129235E-2</v>
      </c>
      <c r="R73" s="26">
        <f t="shared" si="12"/>
        <v>2.5578080456129235E-2</v>
      </c>
      <c r="S73" s="26">
        <f t="shared" si="12"/>
        <v>0.58524707000316756</v>
      </c>
      <c r="T73" s="26">
        <f t="shared" si="12"/>
        <v>1.2789040228064617E-2</v>
      </c>
      <c r="U73" s="26">
        <f t="shared" si="13"/>
        <v>0.25399904973075704</v>
      </c>
      <c r="V73" s="26">
        <f t="shared" si="13"/>
        <v>0</v>
      </c>
      <c r="W73" s="26">
        <f t="shared" si="13"/>
        <v>9.6808679125752292E-2</v>
      </c>
      <c r="X73" s="26">
        <f t="shared" si="7"/>
        <v>1</v>
      </c>
      <c r="Z73" s="4">
        <f>'[25]Predicted Residual Prices'!AS346</f>
        <v>4.307699301368201</v>
      </c>
      <c r="AA73" s="4">
        <f>'[26]Predicted Distillate Prices'!AS346</f>
        <v>9.649938334949324</v>
      </c>
      <c r="AB73" s="4">
        <f>'[27]Predicted Gas Prices'!AR346</f>
        <v>5.1205849907174477</v>
      </c>
      <c r="AC73" s="4">
        <f>'[28]Predicted LPG Prices'!AS346</f>
        <v>9.838746151520855</v>
      </c>
      <c r="AD73" s="4">
        <f>'[29]Predicted Coal Prices'!AS346</f>
        <v>2.1094105381320212</v>
      </c>
      <c r="AE73" s="4">
        <f>'[30]Predicted Coke Prices'!AS304</f>
        <v>0</v>
      </c>
      <c r="AF73" s="4">
        <f>'[31]Predicted Other Prices'!AT304</f>
        <v>2.5092500992244502</v>
      </c>
      <c r="AH73" s="115">
        <f t="shared" ref="AH73:AH136" si="14">SUMPRODUCT(Q73:W73,Z73:AF73)</f>
        <v>4.2583505211639867</v>
      </c>
      <c r="AI73" s="4">
        <f>'[32]Quantity Shares_1998 forward'!AH73</f>
        <v>4.40420230717974</v>
      </c>
    </row>
    <row r="74" spans="4:35" x14ac:dyDescent="0.2">
      <c r="D74">
        <f>[13]Quantity_shares!BB300</f>
        <v>2001</v>
      </c>
      <c r="E74" t="str">
        <f>[13]Quantity_shares!BC300</f>
        <v>313</v>
      </c>
      <c r="F74" s="26">
        <f>[13]Quantity_shares!BD300</f>
        <v>0.63468720821661995</v>
      </c>
      <c r="G74" s="26">
        <f>[13]Quantity_shares!BE300</f>
        <v>6.3958916900093379E-2</v>
      </c>
      <c r="H74" s="26">
        <f>[13]Quantity_shares!BF300</f>
        <v>0.17133520074696545</v>
      </c>
      <c r="I74" s="26">
        <f>[13]Quantity_shares!BG300</f>
        <v>0.13001867413632118</v>
      </c>
      <c r="Q74" s="26">
        <f t="shared" si="12"/>
        <v>4.4564922743290866E-2</v>
      </c>
      <c r="R74" s="26">
        <f t="shared" si="12"/>
        <v>1.9056654920032529E-2</v>
      </c>
      <c r="S74" s="26">
        <f t="shared" si="12"/>
        <v>0.63090268365410684</v>
      </c>
      <c r="T74" s="26">
        <f t="shared" si="12"/>
        <v>1.5830848468419628E-2</v>
      </c>
      <c r="U74" s="26">
        <f t="shared" si="13"/>
        <v>0.17091352670100299</v>
      </c>
      <c r="V74" s="26">
        <f t="shared" si="13"/>
        <v>0</v>
      </c>
      <c r="W74" s="26">
        <f t="shared" si="13"/>
        <v>0.1187313635131472</v>
      </c>
      <c r="X74" s="26">
        <f t="shared" si="7"/>
        <v>1.0000000000000002</v>
      </c>
      <c r="Z74" s="4">
        <f>'[25]Predicted Residual Prices'!AS347</f>
        <v>4.6773787014277444</v>
      </c>
      <c r="AA74" s="4">
        <f>'[26]Predicted Distillate Prices'!AS347</f>
        <v>7.0741182996251553</v>
      </c>
      <c r="AB74" s="4">
        <f>'[27]Predicted Gas Prices'!AR347</f>
        <v>5.951027150316226</v>
      </c>
      <c r="AC74" s="4">
        <f>'[28]Predicted LPG Prices'!AS347</f>
        <v>9.6758132741597453</v>
      </c>
      <c r="AD74" s="4">
        <f>'[29]Predicted Coal Prices'!AS347</f>
        <v>2.1715161184633742</v>
      </c>
      <c r="AE74" s="4">
        <f>'[30]Predicted Coke Prices'!AS305</f>
        <v>0</v>
      </c>
      <c r="AF74" s="4">
        <f>'[31]Predicted Other Prices'!AT305</f>
        <v>3.0724598947375563</v>
      </c>
      <c r="AH74" s="115">
        <f t="shared" si="14"/>
        <v>4.986890215890889</v>
      </c>
      <c r="AI74" s="4">
        <f>'[32]Quantity Shares_1998 forward'!AH74</f>
        <v>4.9879178609410451</v>
      </c>
    </row>
    <row r="75" spans="4:35" x14ac:dyDescent="0.2">
      <c r="D75">
        <f>[13]Quantity_shares!BB301</f>
        <v>2001</v>
      </c>
      <c r="E75" t="str">
        <f>[13]Quantity_shares!BC301</f>
        <v>314</v>
      </c>
      <c r="F75" s="26">
        <f>[13]Quantity_shares!BD301</f>
        <v>0.71613117530409587</v>
      </c>
      <c r="G75" s="26">
        <f>[13]Quantity_shares!BE301</f>
        <v>4.0552689242272025E-2</v>
      </c>
      <c r="H75" s="26">
        <f>[13]Quantity_shares!BF301</f>
        <v>0.22209496278048954</v>
      </c>
      <c r="I75" s="26">
        <f>[13]Quantity_shares!BG301</f>
        <v>2.1221172673142587E-2</v>
      </c>
      <c r="Q75" s="26">
        <f t="shared" si="12"/>
        <v>5.8153004119397361E-2</v>
      </c>
      <c r="R75" s="26">
        <f t="shared" si="12"/>
        <v>3.427280690958321E-2</v>
      </c>
      <c r="S75" s="26">
        <f t="shared" si="12"/>
        <v>0.6903972431168417</v>
      </c>
      <c r="T75" s="26">
        <f t="shared" si="12"/>
        <v>1.9672113344965138E-2</v>
      </c>
      <c r="U75" s="26">
        <f t="shared" si="13"/>
        <v>0.17940011728336969</v>
      </c>
      <c r="V75" s="26">
        <f t="shared" si="13"/>
        <v>0</v>
      </c>
      <c r="W75" s="26">
        <f t="shared" si="13"/>
        <v>1.8104715225842883E-2</v>
      </c>
      <c r="X75" s="26">
        <f t="shared" si="7"/>
        <v>1</v>
      </c>
      <c r="Z75" s="4">
        <f>'[25]Predicted Residual Prices'!AS348</f>
        <v>4.7131165912295696</v>
      </c>
      <c r="AA75" s="4">
        <f>'[26]Predicted Distillate Prices'!AS348</f>
        <v>7.1813191715665656</v>
      </c>
      <c r="AB75" s="4">
        <f>'[27]Predicted Gas Prices'!AR348</f>
        <v>5.889039527586907</v>
      </c>
      <c r="AC75" s="4">
        <f>'[28]Predicted LPG Prices'!AS348</f>
        <v>10.085144570441408</v>
      </c>
      <c r="AD75" s="4">
        <f>'[29]Predicted Coal Prices'!AS348</f>
        <v>1.9378013605713997</v>
      </c>
      <c r="AE75" s="4">
        <f>'[30]Predicted Coke Prices'!AS306</f>
        <v>0</v>
      </c>
      <c r="AF75" s="4">
        <f>'[31]Predicted Other Prices'!AT306</f>
        <v>2.9742088649043703</v>
      </c>
      <c r="AH75" s="115">
        <f t="shared" si="14"/>
        <v>5.185867611290008</v>
      </c>
      <c r="AI75" s="4">
        <f>'[32]Quantity Shares_1998 forward'!AH75</f>
        <v>5.1840744774046144</v>
      </c>
    </row>
    <row r="76" spans="4:35" x14ac:dyDescent="0.2">
      <c r="D76">
        <f>[13]Quantity_shares!BB302</f>
        <v>2001</v>
      </c>
      <c r="E76" t="str">
        <f>[13]Quantity_shares!BC302</f>
        <v>315</v>
      </c>
      <c r="F76" s="26">
        <f>[13]Quantity_shares!BD302</f>
        <v>0.82833614864864824</v>
      </c>
      <c r="G76" s="26">
        <f>[13]Quantity_shares!BE302</f>
        <v>8.4248310810810773E-2</v>
      </c>
      <c r="H76" s="26">
        <f>[13]Quantity_shares!BF302</f>
        <v>7.8125000000004059E-3</v>
      </c>
      <c r="I76" s="26">
        <f>[13]Quantity_shares!BG302</f>
        <v>7.9603040540540515E-2</v>
      </c>
      <c r="Q76" s="26">
        <f t="shared" si="12"/>
        <v>2.8840896664844174E-2</v>
      </c>
      <c r="R76" s="26">
        <f t="shared" si="12"/>
        <v>5.0437397484964459E-2</v>
      </c>
      <c r="S76" s="26">
        <f t="shared" si="12"/>
        <v>0.86344997266265722</v>
      </c>
      <c r="T76" s="26">
        <f t="shared" si="12"/>
        <v>1.2301804264625477E-2</v>
      </c>
      <c r="U76" s="26">
        <f t="shared" si="13"/>
        <v>8.0645161290322578E-3</v>
      </c>
      <c r="V76" s="26">
        <f t="shared" si="13"/>
        <v>0</v>
      </c>
      <c r="W76" s="26">
        <f t="shared" si="13"/>
        <v>3.6905412793876435E-2</v>
      </c>
      <c r="X76" s="26">
        <f t="shared" si="7"/>
        <v>1</v>
      </c>
      <c r="Z76" s="4">
        <f>'[25]Predicted Residual Prices'!AS349</f>
        <v>4.7488301672693245</v>
      </c>
      <c r="AA76" s="4">
        <f>'[26]Predicted Distillate Prices'!AS349</f>
        <v>7.4075000000000006</v>
      </c>
      <c r="AB76" s="4">
        <f>'[27]Predicted Gas Prices'!AR349</f>
        <v>6.7179428666197536</v>
      </c>
      <c r="AC76" s="4">
        <f>'[28]Predicted LPG Prices'!AS349</f>
        <v>12.054020683138422</v>
      </c>
      <c r="AD76" s="4">
        <f>'[29]Predicted Coal Prices'!AS349</f>
        <v>2.313691316480984</v>
      </c>
      <c r="AE76" s="4">
        <f>'[30]Predicted Coke Prices'!AS307</f>
        <v>0</v>
      </c>
      <c r="AF76" s="4">
        <f>'[31]Predicted Other Prices'!AT307</f>
        <v>2.9137240447716657</v>
      </c>
      <c r="AH76" s="115">
        <f t="shared" si="14"/>
        <v>6.5856603191599232</v>
      </c>
      <c r="AI76" s="4">
        <f>'[32]Quantity Shares_1998 forward'!AH76</f>
        <v>6.5904264956061054</v>
      </c>
    </row>
    <row r="77" spans="4:35" x14ac:dyDescent="0.2">
      <c r="D77">
        <f>[13]Quantity_shares!BB303</f>
        <v>2001</v>
      </c>
      <c r="E77" t="str">
        <f>[13]Quantity_shares!BC303</f>
        <v>316</v>
      </c>
      <c r="F77" s="26">
        <f>[13]Quantity_shares!BD303</f>
        <v>0.82499999999999829</v>
      </c>
      <c r="G77" s="26">
        <f>[13]Quantity_shares!BE303</f>
        <v>8.7499999999999828E-2</v>
      </c>
      <c r="H77" s="26">
        <f>[13]Quantity_shares!BF303</f>
        <v>2.0624999999999956E-15</v>
      </c>
      <c r="I77" s="26">
        <f>[13]Quantity_shares!BG303</f>
        <v>8.7499999999999828E-2</v>
      </c>
      <c r="Q77" s="26">
        <f t="shared" si="12"/>
        <v>2.5000000000000001E-2</v>
      </c>
      <c r="R77" s="26">
        <f t="shared" si="12"/>
        <v>0.08</v>
      </c>
      <c r="S77" s="26">
        <f t="shared" si="12"/>
        <v>0.80000000000000016</v>
      </c>
      <c r="T77" s="26">
        <f t="shared" si="12"/>
        <v>3.0000000000000002E-2</v>
      </c>
      <c r="U77" s="26">
        <f t="shared" si="13"/>
        <v>0</v>
      </c>
      <c r="V77" s="26">
        <f t="shared" si="13"/>
        <v>0</v>
      </c>
      <c r="W77" s="26">
        <f t="shared" si="13"/>
        <v>6.5000000000000002E-2</v>
      </c>
      <c r="X77" s="26">
        <f t="shared" si="7"/>
        <v>1.0000000000000002</v>
      </c>
      <c r="Z77" s="4">
        <f>'[25]Predicted Residual Prices'!AS350</f>
        <v>3.843584823807324</v>
      </c>
      <c r="AA77" s="4">
        <f>'[26]Predicted Distillate Prices'!AS350</f>
        <v>6.6091081619278054</v>
      </c>
      <c r="AB77" s="4">
        <f>'[27]Predicted Gas Prices'!AR350</f>
        <v>6.1146374658339502</v>
      </c>
      <c r="AC77" s="4">
        <f>'[28]Predicted LPG Prices'!AS350</f>
        <v>11.258102601352334</v>
      </c>
      <c r="AD77" s="4">
        <f>'[29]Predicted Coal Prices'!AS350</f>
        <v>1.7246500784725272</v>
      </c>
      <c r="AE77" s="4">
        <f>'[30]Predicted Coke Prices'!AS308</f>
        <v>0</v>
      </c>
      <c r="AF77" s="4">
        <f>'[31]Predicted Other Prices'!AT308</f>
        <v>3.0693620223858327</v>
      </c>
      <c r="AH77" s="115">
        <f t="shared" si="14"/>
        <v>6.0537798557122171</v>
      </c>
      <c r="AI77" s="4">
        <f>'[32]Quantity Shares_1998 forward'!AH77</f>
        <v>6.0610621831009084</v>
      </c>
    </row>
    <row r="78" spans="4:35" x14ac:dyDescent="0.2">
      <c r="D78">
        <f>[13]Quantity_shares!BB304</f>
        <v>2001</v>
      </c>
      <c r="E78" t="str">
        <f>[13]Quantity_shares!BC304</f>
        <v>321</v>
      </c>
      <c r="F78" s="26">
        <f>[13]Quantity_shares!BD304</f>
        <v>0.18294690707602873</v>
      </c>
      <c r="G78" s="26">
        <f>[13]Quantity_shares!BE304</f>
        <v>3.5255245708057048E-2</v>
      </c>
      <c r="H78" s="26">
        <f>[13]Quantity_shares!BF304</f>
        <v>3.6220365155781634E-3</v>
      </c>
      <c r="I78" s="26">
        <f>[13]Quantity_shares!BG304</f>
        <v>0.77817581070033615</v>
      </c>
      <c r="Q78" s="26">
        <f t="shared" si="12"/>
        <v>7.238863287250384E-3</v>
      </c>
      <c r="R78" s="26">
        <f t="shared" si="12"/>
        <v>7.4769585253456228E-2</v>
      </c>
      <c r="S78" s="26">
        <f t="shared" si="12"/>
        <v>0.43166282642089093</v>
      </c>
      <c r="T78" s="26">
        <f t="shared" si="12"/>
        <v>3.5003840245775728E-2</v>
      </c>
      <c r="U78" s="26">
        <f t="shared" si="13"/>
        <v>8.4293394777265745E-3</v>
      </c>
      <c r="V78" s="26">
        <f t="shared" si="13"/>
        <v>0</v>
      </c>
      <c r="W78" s="26">
        <f t="shared" si="13"/>
        <v>0.44289554531490011</v>
      </c>
      <c r="X78" s="26">
        <f t="shared" si="7"/>
        <v>1</v>
      </c>
      <c r="Z78" s="4">
        <f>'[25]Predicted Residual Prices'!AS351</f>
        <v>4.1305381588899799</v>
      </c>
      <c r="AA78" s="4">
        <f>'[26]Predicted Distillate Prices'!AS351</f>
        <v>7.4614512857742161</v>
      </c>
      <c r="AB78" s="4">
        <f>'[27]Predicted Gas Prices'!AR351</f>
        <v>5.8926263138621602</v>
      </c>
      <c r="AC78" s="4">
        <f>'[28]Predicted LPG Prices'!AS351</f>
        <v>9.4822512140453448</v>
      </c>
      <c r="AD78" s="4">
        <f>'[29]Predicted Coal Prices'!AS351</f>
        <v>1.9425690058640681</v>
      </c>
      <c r="AE78" s="4">
        <f>'[30]Predicted Coke Prices'!AS309</f>
        <v>0</v>
      </c>
      <c r="AF78" s="4">
        <f>'[31]Predicted Other Prices'!AT309</f>
        <v>1.4849871927521932</v>
      </c>
      <c r="AH78" s="115">
        <f t="shared" si="14"/>
        <v>4.1374017415407565</v>
      </c>
      <c r="AI78" s="4">
        <f>'[32]Quantity Shares_1998 forward'!AH78</f>
        <v>4.136061249462812</v>
      </c>
    </row>
    <row r="79" spans="4:35" x14ac:dyDescent="0.2">
      <c r="D79">
        <f>[13]Quantity_shares!BB305</f>
        <v>2001</v>
      </c>
      <c r="E79" t="str">
        <f>[13]Quantity_shares!BC305</f>
        <v>322</v>
      </c>
      <c r="F79" s="26">
        <f>[13]Quantity_shares!BD305</f>
        <v>0.23534317824399728</v>
      </c>
      <c r="G79" s="26">
        <f>[13]Quantity_shares!BE305</f>
        <v>5.5620091564988997E-2</v>
      </c>
      <c r="H79" s="26">
        <f>[13]Quantity_shares!BF305</f>
        <v>0.10975815273105893</v>
      </c>
      <c r="I79" s="26">
        <f>[13]Quantity_shares!BG305</f>
        <v>0.59927857745995472</v>
      </c>
      <c r="Q79" s="26">
        <f t="shared" si="12"/>
        <v>9.1308899463026935E-2</v>
      </c>
      <c r="R79" s="26">
        <f t="shared" si="12"/>
        <v>9.9665036350645615E-3</v>
      </c>
      <c r="S79" s="26">
        <f t="shared" si="12"/>
        <v>0.42885014842259556</v>
      </c>
      <c r="T79" s="26">
        <f t="shared" si="12"/>
        <v>4.751456603884768E-3</v>
      </c>
      <c r="U79" s="26">
        <f t="shared" si="13"/>
        <v>0.19999162130508763</v>
      </c>
      <c r="V79" s="26">
        <f t="shared" si="13"/>
        <v>2.5706940874035992E-3</v>
      </c>
      <c r="W79" s="26">
        <f t="shared" si="13"/>
        <v>0.26256067648293691</v>
      </c>
      <c r="X79" s="26">
        <f t="shared" si="7"/>
        <v>1</v>
      </c>
      <c r="Z79" s="4">
        <f>'[25]Predicted Residual Prices'!AS352</f>
        <v>3.5961718307108996</v>
      </c>
      <c r="AA79" s="4">
        <f>'[26]Predicted Distillate Prices'!AS352</f>
        <v>5.8371829000260007</v>
      </c>
      <c r="AB79" s="4">
        <f>'[27]Predicted Gas Prices'!AR352</f>
        <v>4.8586393953829967</v>
      </c>
      <c r="AC79" s="4">
        <f>'[28]Predicted LPG Prices'!AS352</f>
        <v>9.7900206874782612</v>
      </c>
      <c r="AD79" s="4">
        <f>'[29]Predicted Coal Prices'!AS352</f>
        <v>1.8618807725240014</v>
      </c>
      <c r="AE79" s="4">
        <f>'[30]Predicted Coke Prices'!AS310</f>
        <v>4.3212500000000009</v>
      </c>
      <c r="AF79" s="4">
        <f>'[31]Predicted Other Prices'!AT310</f>
        <v>2.5073650636740066</v>
      </c>
      <c r="AH79" s="115">
        <f t="shared" si="14"/>
        <v>3.5584885145303184</v>
      </c>
      <c r="AI79" s="4">
        <f>'[32]Quantity Shares_1998 forward'!AH79</f>
        <v>3.5627236790895291</v>
      </c>
    </row>
    <row r="80" spans="4:35" x14ac:dyDescent="0.2">
      <c r="D80">
        <f>[13]Quantity_shares!BB306</f>
        <v>2001</v>
      </c>
      <c r="E80" t="str">
        <f>[13]Quantity_shares!BC306</f>
        <v>323</v>
      </c>
      <c r="F80" s="26">
        <f>[13]Quantity_shares!BD306</f>
        <v>0.94024303535647324</v>
      </c>
      <c r="G80" s="26">
        <f>[13]Quantity_shares!BE306</f>
        <v>1.1877060306379677E-2</v>
      </c>
      <c r="H80" s="26">
        <f>[13]Quantity_shares!BF306</f>
        <v>1.3089005235603639E-3</v>
      </c>
      <c r="I80" s="26">
        <f>[13]Quantity_shares!BG306</f>
        <v>4.6571003813586705E-2</v>
      </c>
      <c r="Q80" s="26">
        <f t="shared" si="12"/>
        <v>3.7246621621621627E-3</v>
      </c>
      <c r="R80" s="26">
        <f t="shared" si="12"/>
        <v>8.9527027027027032E-3</v>
      </c>
      <c r="S80" s="26">
        <f t="shared" si="12"/>
        <v>0.9511824324324325</v>
      </c>
      <c r="T80" s="26">
        <f t="shared" si="12"/>
        <v>2.1030405405405406E-2</v>
      </c>
      <c r="U80" s="26">
        <f t="shared" si="13"/>
        <v>2.7027027027027033E-4</v>
      </c>
      <c r="V80" s="26">
        <f t="shared" si="13"/>
        <v>0</v>
      </c>
      <c r="W80" s="26">
        <f t="shared" si="13"/>
        <v>1.4839527027027028E-2</v>
      </c>
      <c r="X80" s="26">
        <f t="shared" si="7"/>
        <v>1</v>
      </c>
      <c r="Z80" s="4">
        <f>'[25]Predicted Residual Prices'!AS353</f>
        <v>4.8850410935415525</v>
      </c>
      <c r="AA80" s="4">
        <f>'[26]Predicted Distillate Prices'!AS353</f>
        <v>6.8505861141014694</v>
      </c>
      <c r="AB80" s="4">
        <f>'[27]Predicted Gas Prices'!AR353</f>
        <v>6.365451439892059</v>
      </c>
      <c r="AC80" s="4">
        <f>'[28]Predicted LPG Prices'!AS353</f>
        <v>12.25437581239251</v>
      </c>
      <c r="AD80" s="4">
        <f>'[29]Predicted Coal Prices'!AS353</f>
        <v>1.981890273907102</v>
      </c>
      <c r="AE80" s="4">
        <f>'[30]Predicted Coke Prices'!AS311</f>
        <v>0</v>
      </c>
      <c r="AF80" s="4">
        <f>'[31]Predicted Other Prices'!AT311</f>
        <v>2.4519438615108249</v>
      </c>
      <c r="AH80" s="115">
        <f t="shared" si="14"/>
        <v>6.4288677972140205</v>
      </c>
      <c r="AI80" s="4">
        <f>'[32]Quantity Shares_1998 forward'!AH80</f>
        <v>6.4024649115733503</v>
      </c>
    </row>
    <row r="81" spans="4:35" x14ac:dyDescent="0.2">
      <c r="D81">
        <f>[13]Quantity_shares!BB307</f>
        <v>2001</v>
      </c>
      <c r="E81" t="str">
        <f>[13]Quantity_shares!BC307</f>
        <v>324</v>
      </c>
      <c r="F81" s="26">
        <f>[13]Quantity_shares!BD307</f>
        <v>0.28586998818706133</v>
      </c>
      <c r="G81" s="26">
        <f>[13]Quantity_shares!BE307</f>
        <v>1.7122507122507125E-2</v>
      </c>
      <c r="H81" s="26">
        <f>[13]Quantity_shares!BF307</f>
        <v>4.0254325620179277E-3</v>
      </c>
      <c r="I81" s="26">
        <f>[13]Quantity_shares!BG307</f>
        <v>0.69298207212841367</v>
      </c>
      <c r="Q81" s="26">
        <f t="shared" si="12"/>
        <v>1.4535650892589014E-2</v>
      </c>
      <c r="R81" s="26">
        <f t="shared" si="12"/>
        <v>1.2205806446555847E-2</v>
      </c>
      <c r="S81" s="26">
        <f t="shared" si="12"/>
        <v>0.75785456074336044</v>
      </c>
      <c r="T81" s="26">
        <f t="shared" si="12"/>
        <v>9.6902124120131286E-3</v>
      </c>
      <c r="U81" s="26">
        <f t="shared" si="13"/>
        <v>8.4961651073566808E-3</v>
      </c>
      <c r="V81" s="26">
        <f t="shared" si="13"/>
        <v>6.5211720719937394E-5</v>
      </c>
      <c r="W81" s="26">
        <f t="shared" si="13"/>
        <v>0.19715239267740503</v>
      </c>
      <c r="X81" s="26">
        <f t="shared" si="7"/>
        <v>1.0000000000000002</v>
      </c>
      <c r="Z81" s="4">
        <f>'[25]Predicted Residual Prices'!AS354</f>
        <v>3.4469941392851755</v>
      </c>
      <c r="AA81" s="4">
        <f>'[26]Predicted Distillate Prices'!AS354</f>
        <v>6.3986774098513015</v>
      </c>
      <c r="AB81" s="4">
        <f>'[27]Predicted Gas Prices'!AR354</f>
        <v>4.3917878036474782</v>
      </c>
      <c r="AC81" s="4">
        <f>'[28]Predicted LPG Prices'!AS354</f>
        <v>7.2306421194339476</v>
      </c>
      <c r="AD81" s="4">
        <f>'[29]Predicted Coal Prices'!AS354</f>
        <v>1.9479196557277239</v>
      </c>
      <c r="AE81" s="4">
        <f>'[30]Predicted Coke Prices'!AS312</f>
        <v>0</v>
      </c>
      <c r="AF81" s="4">
        <f>'[31]Predicted Other Prices'!AT312</f>
        <v>3.29624498624375</v>
      </c>
      <c r="AH81" s="115">
        <f t="shared" si="14"/>
        <v>4.1930206291396983</v>
      </c>
      <c r="AI81" s="4">
        <f>'[32]Quantity Shares_1998 forward'!AH81</f>
        <v>4.1618143993005949</v>
      </c>
    </row>
    <row r="82" spans="4:35" x14ac:dyDescent="0.2">
      <c r="D82">
        <f>[13]Quantity_shares!BB308</f>
        <v>2001</v>
      </c>
      <c r="E82" t="str">
        <f>[13]Quantity_shares!BC308</f>
        <v>325</v>
      </c>
      <c r="F82" s="26">
        <f>[13]Quantity_shares!BD308</f>
        <v>0.56343370470194121</v>
      </c>
      <c r="G82" s="26">
        <f>[13]Quantity_shares!BE308</f>
        <v>1.7514458278319128E-2</v>
      </c>
      <c r="H82" s="26">
        <f>[13]Quantity_shares!BF308</f>
        <v>9.7728304398590191E-2</v>
      </c>
      <c r="I82" s="26">
        <f>[13]Quantity_shares!BG308</f>
        <v>0.32132353262114943</v>
      </c>
      <c r="Q82" s="26">
        <f t="shared" si="12"/>
        <v>1.5997915671243881E-2</v>
      </c>
      <c r="R82" s="26">
        <f t="shared" si="12"/>
        <v>4.5579284126555462E-3</v>
      </c>
      <c r="S82" s="26">
        <f t="shared" si="12"/>
        <v>0.66116209984003982</v>
      </c>
      <c r="T82" s="26">
        <f t="shared" si="12"/>
        <v>1.3728178601353083E-2</v>
      </c>
      <c r="U82" s="26">
        <f t="shared" si="13"/>
        <v>0.11609288766091226</v>
      </c>
      <c r="V82" s="26">
        <f t="shared" si="13"/>
        <v>4.6841999570669827E-4</v>
      </c>
      <c r="W82" s="26">
        <f t="shared" si="13"/>
        <v>0.18799256981808865</v>
      </c>
      <c r="X82" s="26">
        <f t="shared" si="7"/>
        <v>1</v>
      </c>
      <c r="Z82" s="4">
        <f>'[25]Predicted Residual Prices'!AS355</f>
        <v>3.6282719295419441</v>
      </c>
      <c r="AA82" s="4">
        <f>'[26]Predicted Distillate Prices'!AS355</f>
        <v>6.7415228985474718</v>
      </c>
      <c r="AB82" s="4">
        <f>'[27]Predicted Gas Prices'!AR355</f>
        <v>4.3071638128709724</v>
      </c>
      <c r="AC82" s="4">
        <f>'[28]Predicted LPG Prices'!AS355</f>
        <v>6.2827256289511482</v>
      </c>
      <c r="AD82" s="4">
        <f>'[29]Predicted Coal Prices'!AS355</f>
        <v>1.8683684900321849</v>
      </c>
      <c r="AE82" s="4">
        <f>'[30]Predicted Coke Prices'!AS313</f>
        <v>4.6472739190568237</v>
      </c>
      <c r="AF82" s="4">
        <f>'[31]Predicted Other Prices'!AT313</f>
        <v>3.3451456212017256</v>
      </c>
      <c r="AH82" s="115">
        <f t="shared" si="14"/>
        <v>3.8706997085325012</v>
      </c>
      <c r="AI82" s="4">
        <f>'[32]Quantity Shares_1998 forward'!AH82</f>
        <v>3.8434920145034903</v>
      </c>
    </row>
    <row r="83" spans="4:35" x14ac:dyDescent="0.2">
      <c r="D83">
        <f>[13]Quantity_shares!BB309</f>
        <v>2001</v>
      </c>
      <c r="E83" t="str">
        <f>[13]Quantity_shares!BC309</f>
        <v>326</v>
      </c>
      <c r="F83" s="26">
        <f>[13]Quantity_shares!BD309</f>
        <v>0.85048676189609684</v>
      </c>
      <c r="G83" s="26">
        <f>[13]Quantity_shares!BE309</f>
        <v>5.4869893549267586E-2</v>
      </c>
      <c r="H83" s="26">
        <f>[13]Quantity_shares!BF309</f>
        <v>3.7824128832681284E-2</v>
      </c>
      <c r="I83" s="26">
        <f>[13]Quantity_shares!BG309</f>
        <v>5.6819215721954329E-2</v>
      </c>
      <c r="Q83" s="26">
        <f t="shared" si="12"/>
        <v>4.0498737373737381E-2</v>
      </c>
      <c r="R83" s="26">
        <f t="shared" si="12"/>
        <v>1.0827020202020202E-2</v>
      </c>
      <c r="S83" s="26">
        <f t="shared" si="12"/>
        <v>0.80056818181818179</v>
      </c>
      <c r="T83" s="26">
        <f t="shared" si="12"/>
        <v>2.0580808080808081E-2</v>
      </c>
      <c r="U83" s="26">
        <f t="shared" si="13"/>
        <v>0.10066287878787877</v>
      </c>
      <c r="V83" s="26">
        <f t="shared" si="13"/>
        <v>0</v>
      </c>
      <c r="W83" s="26">
        <f t="shared" si="13"/>
        <v>2.6862373737373737E-2</v>
      </c>
      <c r="X83" s="26">
        <f t="shared" si="7"/>
        <v>0.99999999999999989</v>
      </c>
      <c r="Z83" s="4">
        <f>'[25]Predicted Residual Prices'!AS356</f>
        <v>3.7445537414082732</v>
      </c>
      <c r="AA83" s="4">
        <f>'[26]Predicted Distillate Prices'!AS356</f>
        <v>7.5280541220166386</v>
      </c>
      <c r="AB83" s="4">
        <f>'[27]Predicted Gas Prices'!AR356</f>
        <v>5.8219723456966213</v>
      </c>
      <c r="AC83" s="4">
        <f>'[28]Predicted LPG Prices'!AS356</f>
        <v>12.019666062971559</v>
      </c>
      <c r="AD83" s="4">
        <f>'[29]Predicted Coal Prices'!AS356</f>
        <v>2.0334363707400733</v>
      </c>
      <c r="AE83" s="4">
        <f>'[30]Predicted Coke Prices'!AS314</f>
        <v>0</v>
      </c>
      <c r="AF83" s="4">
        <f>'[31]Predicted Other Prices'!AT314</f>
        <v>3.9406298933572819</v>
      </c>
      <c r="AH83" s="115">
        <f t="shared" si="14"/>
        <v>5.4519625803103162</v>
      </c>
      <c r="AI83" s="4">
        <f>'[32]Quantity Shares_1998 forward'!AH83</f>
        <v>5.4845953413316284</v>
      </c>
    </row>
    <row r="84" spans="4:35" x14ac:dyDescent="0.2">
      <c r="D84">
        <f>[13]Quantity_shares!BB310</f>
        <v>2001</v>
      </c>
      <c r="E84" t="str">
        <f>[13]Quantity_shares!BC310</f>
        <v>327</v>
      </c>
      <c r="F84" s="26">
        <f>[13]Quantity_shares!BD310</f>
        <v>0.47795809273897594</v>
      </c>
      <c r="G84" s="26">
        <f>[13]Quantity_shares!BE310</f>
        <v>3.4204236192752611E-2</v>
      </c>
      <c r="H84" s="26">
        <f>[13]Quantity_shares!BF310</f>
        <v>0.34747043043927278</v>
      </c>
      <c r="I84" s="26">
        <f>[13]Quantity_shares!BG310</f>
        <v>0.14036724062899861</v>
      </c>
      <c r="Q84" s="26">
        <f t="shared" si="12"/>
        <v>4.0244965972622369E-3</v>
      </c>
      <c r="R84" s="26">
        <f t="shared" si="12"/>
        <v>3.3518524286359458E-2</v>
      </c>
      <c r="S84" s="26">
        <f t="shared" si="12"/>
        <v>0.52549289084764761</v>
      </c>
      <c r="T84" s="26">
        <f t="shared" si="12"/>
        <v>3.7060252596826191E-3</v>
      </c>
      <c r="U84" s="26">
        <f t="shared" si="13"/>
        <v>0.37344034697023964</v>
      </c>
      <c r="V84" s="26">
        <f t="shared" si="13"/>
        <v>1.3270287947923318E-2</v>
      </c>
      <c r="W84" s="26">
        <f t="shared" si="13"/>
        <v>4.6547428090885024E-2</v>
      </c>
      <c r="X84" s="26">
        <f t="shared" si="7"/>
        <v>1</v>
      </c>
      <c r="Z84" s="4">
        <f>'[25]Predicted Residual Prices'!AS357</f>
        <v>3.9211857192894515</v>
      </c>
      <c r="AA84" s="4">
        <f>'[26]Predicted Distillate Prices'!AS357</f>
        <v>7.8461458966894391</v>
      </c>
      <c r="AB84" s="4">
        <f>'[27]Predicted Gas Prices'!AR357</f>
        <v>5.0768451359738949</v>
      </c>
      <c r="AC84" s="4">
        <f>'[28]Predicted LPG Prices'!AS357</f>
        <v>11.040260430256215</v>
      </c>
      <c r="AD84" s="4">
        <f>'[29]Predicted Coal Prices'!AS357</f>
        <v>1.6658866425411856</v>
      </c>
      <c r="AE84" s="4">
        <f>'[30]Predicted Coke Prices'!AS315</f>
        <v>1.9388960719510395</v>
      </c>
      <c r="AF84" s="4">
        <f>'[31]Predicted Other Prices'!AT315</f>
        <v>1.2795098933098865</v>
      </c>
      <c r="AH84" s="115">
        <f t="shared" si="14"/>
        <v>3.6949304310237365</v>
      </c>
      <c r="AI84" s="4">
        <f>'[32]Quantity Shares_1998 forward'!AH84</f>
        <v>3.8649361710719834</v>
      </c>
    </row>
    <row r="85" spans="4:35" x14ac:dyDescent="0.2">
      <c r="D85">
        <f>[13]Quantity_shares!BB311</f>
        <v>2001</v>
      </c>
      <c r="E85" t="str">
        <f>[13]Quantity_shares!BC311</f>
        <v>331</v>
      </c>
      <c r="F85" s="26">
        <f>[13]Quantity_shares!BD311</f>
        <v>0.4140093768594702</v>
      </c>
      <c r="G85" s="26">
        <f>[13]Quantity_shares!BE311</f>
        <v>1.1570104683096358E-2</v>
      </c>
      <c r="H85" s="26">
        <f>[13]Quantity_shares!BF311</f>
        <v>0.3614773463399763</v>
      </c>
      <c r="I85" s="26">
        <f>[13]Quantity_shares!BG311</f>
        <v>0.21294317211745706</v>
      </c>
      <c r="Q85" s="26">
        <f t="shared" si="12"/>
        <v>5.8420986207741339E-3</v>
      </c>
      <c r="R85" s="26">
        <f t="shared" si="12"/>
        <v>1.1477103019399732E-2</v>
      </c>
      <c r="S85" s="26">
        <f t="shared" si="12"/>
        <v>0.60340188219107238</v>
      </c>
      <c r="T85" s="26">
        <f t="shared" si="12"/>
        <v>2.5366335604616141E-3</v>
      </c>
      <c r="U85" s="26">
        <f t="shared" si="13"/>
        <v>4.4047966671904602E-2</v>
      </c>
      <c r="V85" s="26">
        <f t="shared" si="13"/>
        <v>0.30144102934025568</v>
      </c>
      <c r="W85" s="26">
        <f t="shared" si="13"/>
        <v>3.1253286596131934E-2</v>
      </c>
      <c r="X85" s="26">
        <f t="shared" si="7"/>
        <v>1</v>
      </c>
      <c r="Z85" s="4">
        <f>'[25]Predicted Residual Prices'!AS358</f>
        <v>4.1497367768248283</v>
      </c>
      <c r="AA85" s="4">
        <f>'[26]Predicted Distillate Prices'!AS358</f>
        <v>5.8403774686833501</v>
      </c>
      <c r="AB85" s="4">
        <f>'[27]Predicted Gas Prices'!AR358</f>
        <v>4.6411531285257865</v>
      </c>
      <c r="AC85" s="4">
        <f>'[28]Predicted LPG Prices'!AS358</f>
        <v>9.6907166157577755</v>
      </c>
      <c r="AD85" s="4">
        <f>'[29]Predicted Coal Prices'!AS358</f>
        <v>1.7643743939191614</v>
      </c>
      <c r="AE85" s="4">
        <f>'[30]Predicted Coke Prices'!AS316</f>
        <v>4.4917712862418506</v>
      </c>
      <c r="AF85" s="4">
        <f>'[31]Predicted Other Prices'!AT316</f>
        <v>2.8183020108928223</v>
      </c>
      <c r="AH85" s="115">
        <f t="shared" si="14"/>
        <v>4.4361385807093709</v>
      </c>
      <c r="AI85" s="4">
        <f>'[32]Quantity Shares_1998 forward'!AH85</f>
        <v>4.6419357050932373</v>
      </c>
    </row>
    <row r="86" spans="4:35" x14ac:dyDescent="0.2">
      <c r="D86">
        <f>[13]Quantity_shares!BB312</f>
        <v>2001</v>
      </c>
      <c r="E86" t="str">
        <f>[13]Quantity_shares!BC312</f>
        <v>332</v>
      </c>
      <c r="F86" s="26">
        <f>[13]Quantity_shares!BD312</f>
        <v>0.91728653510275371</v>
      </c>
      <c r="G86" s="26">
        <f>[13]Quantity_shares!BE312</f>
        <v>3.451185870753963E-2</v>
      </c>
      <c r="H86" s="26">
        <f>[13]Quantity_shares!BF312</f>
        <v>7.735909113167818E-3</v>
      </c>
      <c r="I86" s="26">
        <f>[13]Quantity_shares!BG312</f>
        <v>4.0465697076538867E-2</v>
      </c>
      <c r="Q86" s="26">
        <f t="shared" si="12"/>
        <v>5.1907572105394408E-3</v>
      </c>
      <c r="R86" s="26">
        <f t="shared" si="12"/>
        <v>2.5484165904746073E-2</v>
      </c>
      <c r="S86" s="26">
        <f t="shared" si="12"/>
        <v>0.91788712492727131</v>
      </c>
      <c r="T86" s="26">
        <f t="shared" si="12"/>
        <v>1.4628875405203225E-2</v>
      </c>
      <c r="U86" s="26">
        <f t="shared" si="13"/>
        <v>6.1341534369545349E-3</v>
      </c>
      <c r="V86" s="26">
        <f t="shared" si="13"/>
        <v>1.8406616241376444E-2</v>
      </c>
      <c r="W86" s="26">
        <f t="shared" si="13"/>
        <v>1.226830687390907E-2</v>
      </c>
      <c r="X86" s="26">
        <f t="shared" si="7"/>
        <v>1</v>
      </c>
      <c r="Z86" s="4">
        <f>'[25]Predicted Residual Prices'!AS359</f>
        <v>4.2783508877516088</v>
      </c>
      <c r="AA86" s="4">
        <f>'[26]Predicted Distillate Prices'!AS359</f>
        <v>7.6191005351951748</v>
      </c>
      <c r="AB86" s="4">
        <f>'[27]Predicted Gas Prices'!AR359</f>
        <v>6.0362043738982356</v>
      </c>
      <c r="AC86" s="4">
        <f>'[28]Predicted LPG Prices'!AS359</f>
        <v>13.05518818952863</v>
      </c>
      <c r="AD86" s="4">
        <f>'[29]Predicted Coal Prices'!AS359</f>
        <v>4.363987890464565</v>
      </c>
      <c r="AE86" s="4">
        <f>'[30]Predicted Coke Prices'!AS317</f>
        <v>4.9996857816831008</v>
      </c>
      <c r="AF86" s="4">
        <f>'[31]Predicted Other Prices'!AT317</f>
        <v>14.578878530541349</v>
      </c>
      <c r="AH86" s="115">
        <f t="shared" si="14"/>
        <v>6.2455661269687877</v>
      </c>
      <c r="AI86" s="4">
        <f>'[32]Quantity Shares_1998 forward'!AH86</f>
        <v>6.4453655654228692</v>
      </c>
    </row>
    <row r="87" spans="4:35" x14ac:dyDescent="0.2">
      <c r="D87">
        <f>[13]Quantity_shares!BB313</f>
        <v>2001</v>
      </c>
      <c r="E87" t="str">
        <f>[13]Quantity_shares!BC313</f>
        <v>333</v>
      </c>
      <c r="F87" s="26">
        <f>[13]Quantity_shares!BD313</f>
        <v>0.86573720397249809</v>
      </c>
      <c r="G87" s="26">
        <f>[13]Quantity_shares!BE313</f>
        <v>3.6478227654698242E-2</v>
      </c>
      <c r="H87" s="26">
        <f>[13]Quantity_shares!BF313</f>
        <v>2.0626432391138275E-2</v>
      </c>
      <c r="I87" s="26">
        <f>[13]Quantity_shares!BG313</f>
        <v>7.7158135981665391E-2</v>
      </c>
      <c r="Q87" s="26">
        <f t="shared" si="12"/>
        <v>2.9784435444187895E-3</v>
      </c>
      <c r="R87" s="26">
        <f t="shared" si="12"/>
        <v>2.293093985389303E-2</v>
      </c>
      <c r="S87" s="26">
        <f t="shared" si="12"/>
        <v>0.88844439607857983</v>
      </c>
      <c r="T87" s="26">
        <f t="shared" si="12"/>
        <v>2.293093985389303E-2</v>
      </c>
      <c r="U87" s="26">
        <f t="shared" si="13"/>
        <v>2.1163745789015483E-2</v>
      </c>
      <c r="V87" s="26">
        <f t="shared" si="13"/>
        <v>0</v>
      </c>
      <c r="W87" s="26">
        <f t="shared" si="13"/>
        <v>4.1551534880199859E-2</v>
      </c>
      <c r="X87" s="26">
        <f t="shared" si="7"/>
        <v>1</v>
      </c>
      <c r="Z87" s="4">
        <f>'[25]Predicted Residual Prices'!AS360</f>
        <v>4.0516861884831883</v>
      </c>
      <c r="AA87" s="4">
        <f>'[26]Predicted Distillate Prices'!AS360</f>
        <v>9.0640755148325329</v>
      </c>
      <c r="AB87" s="4">
        <f>'[27]Predicted Gas Prices'!AR360</f>
        <v>6.5085068377887403</v>
      </c>
      <c r="AC87" s="4">
        <f>'[28]Predicted LPG Prices'!AS360</f>
        <v>11.277877377374118</v>
      </c>
      <c r="AD87" s="4">
        <f>'[29]Predicted Coal Prices'!AS360</f>
        <v>1.469207185133542</v>
      </c>
      <c r="AE87" s="4">
        <f>'[30]Predicted Coke Prices'!AS318</f>
        <v>0</v>
      </c>
      <c r="AF87" s="4">
        <f>'[31]Predicted Other Prices'!AT318</f>
        <v>7.4669244384313815</v>
      </c>
      <c r="AH87" s="115">
        <f t="shared" si="14"/>
        <v>6.6023303423553994</v>
      </c>
      <c r="AI87" s="4">
        <f>'[32]Quantity Shares_1998 forward'!AH87</f>
        <v>6.5464616908802906</v>
      </c>
    </row>
    <row r="88" spans="4:35" x14ac:dyDescent="0.2">
      <c r="D88">
        <f>[13]Quantity_shares!BB314</f>
        <v>2001</v>
      </c>
      <c r="E88" t="str">
        <f>[13]Quantity_shares!BC314</f>
        <v>334</v>
      </c>
      <c r="F88" s="26">
        <f>[13]Quantity_shares!BD314</f>
        <v>0.92950862794612787</v>
      </c>
      <c r="G88" s="26">
        <f>[13]Quantity_shares!BE314</f>
        <v>2.8714225589225588E-2</v>
      </c>
      <c r="H88" s="26">
        <f>[13]Quantity_shares!BF314</f>
        <v>3.056607744107744E-3</v>
      </c>
      <c r="I88" s="26">
        <f>[13]Quantity_shares!BG314</f>
        <v>3.8720538720538718E-2</v>
      </c>
      <c r="Q88" s="26">
        <f t="shared" ref="Q88:T92" si="15">0.25*Q25+0.75*Q109</f>
        <v>1.4536375141088347E-2</v>
      </c>
      <c r="R88" s="26">
        <f t="shared" si="15"/>
        <v>1.4536375141088347E-2</v>
      </c>
      <c r="S88" s="26">
        <f t="shared" si="15"/>
        <v>0.94116615931867154</v>
      </c>
      <c r="T88" s="26">
        <f t="shared" si="15"/>
        <v>2.5631049697301365E-3</v>
      </c>
      <c r="U88" s="26">
        <f t="shared" si="13"/>
        <v>1.8234599993159351E-3</v>
      </c>
      <c r="V88" s="26">
        <f t="shared" si="13"/>
        <v>0</v>
      </c>
      <c r="W88" s="26">
        <f t="shared" si="13"/>
        <v>2.5374525430105686E-2</v>
      </c>
      <c r="X88" s="26">
        <f t="shared" si="7"/>
        <v>1</v>
      </c>
      <c r="Z88" s="4">
        <f>'[25]Predicted Residual Prices'!AS361</f>
        <v>4.9461075811857249</v>
      </c>
      <c r="AA88" s="4">
        <f>'[26]Predicted Distillate Prices'!AS361</f>
        <v>7.456382794642642</v>
      </c>
      <c r="AB88" s="4">
        <f>'[27]Predicted Gas Prices'!AR361</f>
        <v>6.1755082875558518</v>
      </c>
      <c r="AC88" s="4">
        <f>'[28]Predicted LPG Prices'!AS361</f>
        <v>10.433518268811234</v>
      </c>
      <c r="AD88" s="4">
        <f>'[29]Predicted Coal Prices'!AS361</f>
        <v>2.7777319893880081</v>
      </c>
      <c r="AE88" s="4">
        <f>'[30]Predicted Coke Prices'!AS319</f>
        <v>0</v>
      </c>
      <c r="AF88" s="4">
        <f>'[31]Predicted Other Prices'!AT319</f>
        <v>4.8919142449024173</v>
      </c>
      <c r="AH88" s="115">
        <f t="shared" si="14"/>
        <v>6.1484039577335476</v>
      </c>
      <c r="AI88" s="4">
        <f>'[32]Quantity Shares_1998 forward'!AH88</f>
        <v>5.8753201246207531</v>
      </c>
    </row>
    <row r="89" spans="4:35" x14ac:dyDescent="0.2">
      <c r="D89">
        <f>[13]Quantity_shares!BB315</f>
        <v>2001</v>
      </c>
      <c r="E89" t="str">
        <f>[13]Quantity_shares!BC315</f>
        <v>335</v>
      </c>
      <c r="F89" s="26">
        <f>[13]Quantity_shares!BD315</f>
        <v>0.8487356676640595</v>
      </c>
      <c r="G89" s="26">
        <f>[13]Quantity_shares!BE315</f>
        <v>2.5437251377845929E-2</v>
      </c>
      <c r="H89" s="26">
        <f>[13]Quantity_shares!BF315</f>
        <v>8.1052689226663744E-3</v>
      </c>
      <c r="I89" s="26">
        <f>[13]Quantity_shares!BG315</f>
        <v>0.1177218120354282</v>
      </c>
      <c r="Q89" s="26">
        <f t="shared" si="15"/>
        <v>5.557492545926709E-3</v>
      </c>
      <c r="R89" s="26">
        <f t="shared" si="15"/>
        <v>1.7568168702510337E-2</v>
      </c>
      <c r="S89" s="26">
        <f t="shared" si="15"/>
        <v>0.92688996826007486</v>
      </c>
      <c r="T89" s="26">
        <f t="shared" si="15"/>
        <v>2.1791141675483308E-2</v>
      </c>
      <c r="U89" s="26">
        <f t="shared" si="13"/>
        <v>2.1791141675483313E-3</v>
      </c>
      <c r="V89" s="26">
        <f t="shared" si="13"/>
        <v>0</v>
      </c>
      <c r="W89" s="26">
        <f t="shared" si="13"/>
        <v>2.6014114648456283E-2</v>
      </c>
      <c r="X89" s="26">
        <f t="shared" si="7"/>
        <v>0.99999999999999989</v>
      </c>
      <c r="Z89" s="4">
        <f>'[25]Predicted Residual Prices'!AS362</f>
        <v>5.1679348030739733</v>
      </c>
      <c r="AA89" s="4">
        <f>'[26]Predicted Distillate Prices'!AS362</f>
        <v>7.5445062531576204</v>
      </c>
      <c r="AB89" s="4">
        <f>'[27]Predicted Gas Prices'!AR362</f>
        <v>5.8313580443156274</v>
      </c>
      <c r="AC89" s="4">
        <f>'[28]Predicted LPG Prices'!AS362</f>
        <v>11.335580138178241</v>
      </c>
      <c r="AD89" s="4">
        <f>'[29]Predicted Coal Prices'!AS362</f>
        <v>2.3169930561949275</v>
      </c>
      <c r="AE89" s="4">
        <f>'[30]Predicted Coke Prices'!AS320</f>
        <v>0</v>
      </c>
      <c r="AF89" s="4">
        <f>'[31]Predicted Other Prices'!AT320</f>
        <v>1.9244153599038571</v>
      </c>
      <c r="AH89" s="115">
        <f t="shared" si="14"/>
        <v>5.8684173773508714</v>
      </c>
      <c r="AI89" s="4">
        <f>'[32]Quantity Shares_1998 forward'!AH89</f>
        <v>6.2541675895379774</v>
      </c>
    </row>
    <row r="90" spans="4:35" x14ac:dyDescent="0.2">
      <c r="D90">
        <f>[13]Quantity_shares!BB316</f>
        <v>2001</v>
      </c>
      <c r="E90" t="str">
        <f>[13]Quantity_shares!BC316</f>
        <v>336</v>
      </c>
      <c r="F90" s="26">
        <f>[13]Quantity_shares!BD316</f>
        <v>0.77410845544648366</v>
      </c>
      <c r="G90" s="26">
        <f>[13]Quantity_shares!BE316</f>
        <v>4.6177739839711671E-2</v>
      </c>
      <c r="H90" s="26">
        <f>[13]Quantity_shares!BF316</f>
        <v>4.7884952814530278E-2</v>
      </c>
      <c r="I90" s="26">
        <f>[13]Quantity_shares!BG316</f>
        <v>0.13182885189927446</v>
      </c>
      <c r="Q90" s="26">
        <f t="shared" si="15"/>
        <v>2.2165574988182859E-2</v>
      </c>
      <c r="R90" s="26">
        <f t="shared" si="15"/>
        <v>2.1676007833074482E-2</v>
      </c>
      <c r="S90" s="26">
        <f t="shared" si="15"/>
        <v>0.78538726450131668</v>
      </c>
      <c r="T90" s="26">
        <f t="shared" si="15"/>
        <v>1.5342021743534337E-2</v>
      </c>
      <c r="U90" s="26">
        <f t="shared" si="13"/>
        <v>4.8480653656560201E-2</v>
      </c>
      <c r="V90" s="26">
        <f t="shared" si="13"/>
        <v>8.4745762711864404E-4</v>
      </c>
      <c r="W90" s="26">
        <f t="shared" si="13"/>
        <v>0.10610101965021271</v>
      </c>
      <c r="X90" s="26">
        <f t="shared" si="7"/>
        <v>1</v>
      </c>
      <c r="Z90" s="4">
        <f>'[25]Predicted Residual Prices'!AS363</f>
        <v>4.2983955857943821</v>
      </c>
      <c r="AA90" s="4">
        <f>'[26]Predicted Distillate Prices'!AS363</f>
        <v>8.0567709504024059</v>
      </c>
      <c r="AB90" s="4">
        <f>'[27]Predicted Gas Prices'!AR363</f>
        <v>5.5295063905319219</v>
      </c>
      <c r="AC90" s="4">
        <f>'[28]Predicted LPG Prices'!AS363</f>
        <v>10.362978351293039</v>
      </c>
      <c r="AD90" s="4">
        <f>'[29]Predicted Coal Prices'!AS363</f>
        <v>2.0762230974111691</v>
      </c>
      <c r="AE90" s="4">
        <f>'[30]Predicted Coke Prices'!AS321</f>
        <v>0</v>
      </c>
      <c r="AF90" s="4">
        <f>'[31]Predicted Other Prices'!AT321</f>
        <v>3.5088172564289613</v>
      </c>
      <c r="AH90" s="115">
        <f t="shared" si="14"/>
        <v>5.2446537187844546</v>
      </c>
      <c r="AI90" s="4">
        <f>'[32]Quantity Shares_1998 forward'!AH90</f>
        <v>5.2358302894030349</v>
      </c>
    </row>
    <row r="91" spans="4:35" x14ac:dyDescent="0.2">
      <c r="D91">
        <f>[13]Quantity_shares!BB317</f>
        <v>2001</v>
      </c>
      <c r="E91" t="str">
        <f>[13]Quantity_shares!BC317</f>
        <v>337</v>
      </c>
      <c r="F91" s="26">
        <f>[13]Quantity_shares!BD317</f>
        <v>0.58621624206867962</v>
      </c>
      <c r="G91" s="26">
        <f>[13]Quantity_shares!BE317</f>
        <v>2.7944286792292397E-2</v>
      </c>
      <c r="H91" s="26">
        <f>[13]Quantity_shares!BF317</f>
        <v>3.677635005154694E-2</v>
      </c>
      <c r="I91" s="26">
        <f>[13]Quantity_shares!BG317</f>
        <v>0.349063121087481</v>
      </c>
      <c r="Q91" s="26">
        <f t="shared" si="15"/>
        <v>1.4497725139019282E-2</v>
      </c>
      <c r="R91" s="26">
        <f t="shared" si="15"/>
        <v>3.0096771863941649E-2</v>
      </c>
      <c r="S91" s="26">
        <f t="shared" si="15"/>
        <v>0.76343251245757204</v>
      </c>
      <c r="T91" s="26">
        <f t="shared" si="15"/>
        <v>3.0096771863941649E-2</v>
      </c>
      <c r="U91" s="26">
        <f t="shared" si="13"/>
        <v>3.5603379793457068E-2</v>
      </c>
      <c r="V91" s="26">
        <f t="shared" si="13"/>
        <v>0</v>
      </c>
      <c r="W91" s="26">
        <f t="shared" si="13"/>
        <v>0.12627283888206831</v>
      </c>
      <c r="X91" s="26">
        <f t="shared" si="7"/>
        <v>1</v>
      </c>
      <c r="Z91" s="4">
        <f>'[25]Predicted Residual Prices'!AS364</f>
        <v>4.1871857351361434</v>
      </c>
      <c r="AA91" s="4">
        <f>'[26]Predicted Distillate Prices'!AS364</f>
        <v>8.7874763465418795</v>
      </c>
      <c r="AB91" s="4">
        <f>'[27]Predicted Gas Prices'!AR364</f>
        <v>6.8608955890423013</v>
      </c>
      <c r="AC91" s="4">
        <f>'[28]Predicted LPG Prices'!AS364</f>
        <v>10.968120073576758</v>
      </c>
      <c r="AD91" s="4">
        <f>'[29]Predicted Coal Prices'!AS364</f>
        <v>2.4159477915736192</v>
      </c>
      <c r="AE91" s="4">
        <f>'[30]Predicted Coke Prices'!AS322</f>
        <v>0</v>
      </c>
      <c r="AF91" s="4">
        <f>'[31]Predicted Other Prices'!AT322</f>
        <v>2.609275459845827</v>
      </c>
      <c r="AH91" s="115">
        <f t="shared" si="14"/>
        <v>6.3086116301626838</v>
      </c>
      <c r="AI91" s="4">
        <f>'[32]Quantity Shares_1998 forward'!AH91</f>
        <v>6.3049699845590288</v>
      </c>
    </row>
    <row r="92" spans="4:35" x14ac:dyDescent="0.2">
      <c r="D92">
        <f>[13]Quantity_shares!BB318</f>
        <v>2001</v>
      </c>
      <c r="E92" t="str">
        <f>[13]Quantity_shares!BC318</f>
        <v>339</v>
      </c>
      <c r="F92" s="26">
        <f>[13]Quantity_shares!BD318</f>
        <v>0.87392055267702917</v>
      </c>
      <c r="G92" s="26">
        <f>[13]Quantity_shares!BE318</f>
        <v>3.637737478411053E-2</v>
      </c>
      <c r="H92" s="26">
        <f>[13]Quantity_shares!BF318</f>
        <v>1.2953367875649753E-3</v>
      </c>
      <c r="I92" s="26">
        <f>[13]Quantity_shares!BG318</f>
        <v>8.8406735751295318E-2</v>
      </c>
      <c r="Q92" s="26">
        <f t="shared" si="15"/>
        <v>1.5724522292993631E-2</v>
      </c>
      <c r="R92" s="26">
        <f t="shared" si="15"/>
        <v>2.1032377919320593E-2</v>
      </c>
      <c r="S92" s="26">
        <f t="shared" si="15"/>
        <v>0.87898089171974514</v>
      </c>
      <c r="T92" s="26">
        <f t="shared" si="15"/>
        <v>2.6141188959660295E-2</v>
      </c>
      <c r="U92" s="26">
        <f t="shared" si="13"/>
        <v>5.3078556263269638E-4</v>
      </c>
      <c r="V92" s="26">
        <f t="shared" si="13"/>
        <v>0</v>
      </c>
      <c r="W92" s="26">
        <f t="shared" si="13"/>
        <v>5.7590233545647559E-2</v>
      </c>
      <c r="X92" s="26">
        <f t="shared" si="7"/>
        <v>1</v>
      </c>
      <c r="Z92" s="4">
        <f>'[25]Predicted Residual Prices'!AS365</f>
        <v>3.9473487325592371</v>
      </c>
      <c r="AA92" s="4">
        <f>'[26]Predicted Distillate Prices'!AS365</f>
        <v>7.6165724676375133</v>
      </c>
      <c r="AB92" s="4">
        <f>'[27]Predicted Gas Prices'!AR365</f>
        <v>6.6336292511944555</v>
      </c>
      <c r="AC92" s="4">
        <f>'[28]Predicted LPG Prices'!AS365</f>
        <v>13.8869678653984</v>
      </c>
      <c r="AD92" s="4">
        <f>'[29]Predicted Coal Prices'!AS365</f>
        <v>1.941284236390779</v>
      </c>
      <c r="AE92" s="4">
        <f>'[30]Predicted Coke Prices'!AS323</f>
        <v>0</v>
      </c>
      <c r="AF92" s="4">
        <f>'[31]Predicted Other Prices'!AT323</f>
        <v>2.3135554829806777</v>
      </c>
      <c r="AH92" s="115">
        <f t="shared" si="14"/>
        <v>6.5503886155631026</v>
      </c>
      <c r="AI92" s="4">
        <f>'[32]Quantity Shares_1998 forward'!AH92</f>
        <v>6.5461127651876918</v>
      </c>
    </row>
    <row r="93" spans="4:35" x14ac:dyDescent="0.2">
      <c r="D93" s="27">
        <f>[13]Quantity_shares!BB319</f>
        <v>2002</v>
      </c>
      <c r="E93" s="27" t="str">
        <f>[13]Quantity_shares!BC319</f>
        <v>311</v>
      </c>
      <c r="F93" s="28">
        <f>[13]Quantity_shares!BD319</f>
        <v>0.6489841986455982</v>
      </c>
      <c r="G93" s="28">
        <f>[13]Quantity_shares!BE319</f>
        <v>3.6117381489841983E-2</v>
      </c>
      <c r="H93" s="28">
        <f>[13]Quantity_shares!BF319</f>
        <v>0.20767494356659141</v>
      </c>
      <c r="I93" s="28">
        <f>[13]Quantity_shares!BG319</f>
        <v>0.1072234762979684</v>
      </c>
      <c r="K93" s="17">
        <f>S93</f>
        <v>0.6788665879574971</v>
      </c>
      <c r="L93" s="17">
        <f>Q93+R93</f>
        <v>3.7780401416765051E-2</v>
      </c>
      <c r="M93" s="17">
        <f>U93+V93</f>
        <v>0.21841794569067297</v>
      </c>
      <c r="N93" s="17">
        <f>T93+W93</f>
        <v>6.4935064935064943E-2</v>
      </c>
      <c r="P93">
        <v>2002</v>
      </c>
      <c r="Q93" s="31">
        <f>MECS_data!AR32</f>
        <v>1.5348288075560802E-2</v>
      </c>
      <c r="R93" s="31">
        <f>MECS_data!AS32</f>
        <v>2.2432113341204249E-2</v>
      </c>
      <c r="S93" s="31">
        <f>MECS_data!AT32</f>
        <v>0.6788665879574971</v>
      </c>
      <c r="T93" s="31">
        <f>MECS_data!AU32</f>
        <v>5.9031877213695395E-3</v>
      </c>
      <c r="U93" s="31">
        <f>MECS_data!AV32</f>
        <v>0.21723730814639905</v>
      </c>
      <c r="V93" s="31">
        <f>MECS_data!AW32</f>
        <v>1.1806375442739079E-3</v>
      </c>
      <c r="W93" s="31">
        <f>MECS_data!AX32</f>
        <v>5.9031877213695398E-2</v>
      </c>
      <c r="X93" s="32">
        <f>MECS_data!AY32</f>
        <v>1</v>
      </c>
      <c r="Z93" s="4">
        <f>'[25]Predicted Residual Prices'!AS366</f>
        <v>4.29</v>
      </c>
      <c r="AA93" s="4">
        <f>'[26]Predicted Distillate Prices'!AS366</f>
        <v>7.04</v>
      </c>
      <c r="AB93" s="4">
        <f>'[27]Predicted Gas Prices'!AR366</f>
        <v>4.38</v>
      </c>
      <c r="AC93" s="4">
        <f>'[28]Predicted LPG Prices'!AS366</f>
        <v>8.31</v>
      </c>
      <c r="AD93" s="4">
        <f>'[29]Predicted Coal Prices'!AS366</f>
        <v>1.46</v>
      </c>
      <c r="AE93" s="4">
        <f>'[30]Predicted Coke Prices'!AS324</f>
        <v>5.18</v>
      </c>
      <c r="AF93" s="4">
        <f>'[31]Predicted Other Prices'!AT324</f>
        <v>4.375</v>
      </c>
      <c r="AH93" s="115">
        <f t="shared" si="14"/>
        <v>3.827804014167651</v>
      </c>
      <c r="AI93" s="4">
        <f>'[32]Quantity Shares_1998 forward'!AH93</f>
        <v>3.827804014167651</v>
      </c>
    </row>
    <row r="94" spans="4:35" x14ac:dyDescent="0.2">
      <c r="D94" s="27">
        <f>[13]Quantity_shares!BB320</f>
        <v>2002</v>
      </c>
      <c r="E94" s="27" t="str">
        <f>[13]Quantity_shares!BC320</f>
        <v>312</v>
      </c>
      <c r="F94" s="28">
        <f>[13]Quantity_shares!BD320</f>
        <v>0.58974358974358976</v>
      </c>
      <c r="G94" s="28">
        <f>[13]Quantity_shares!BE320</f>
        <v>5.128205128205128E-2</v>
      </c>
      <c r="H94" s="28">
        <f>[13]Quantity_shares!BF320</f>
        <v>0.21794871794871795</v>
      </c>
      <c r="I94" s="28">
        <f>[13]Quantity_shares!BG320</f>
        <v>0.14102564102564102</v>
      </c>
      <c r="K94" s="17">
        <f t="shared" ref="K94:K113" si="16">S94</f>
        <v>0.59740259740259738</v>
      </c>
      <c r="L94" s="17">
        <f t="shared" ref="L94:L113" si="17">Q94+R94</f>
        <v>5.1948051948051951E-2</v>
      </c>
      <c r="M94" s="17">
        <f t="shared" ref="M94:M113" si="18">U94+V94</f>
        <v>0.22077922077922077</v>
      </c>
      <c r="N94" s="17">
        <f t="shared" ref="N94:N113" si="19">T94+W94</f>
        <v>0.12987012987012986</v>
      </c>
      <c r="Q94" s="31">
        <f>MECS_data!AR33</f>
        <v>2.5974025974025976E-2</v>
      </c>
      <c r="R94" s="31">
        <f>MECS_data!AS33</f>
        <v>2.5974025974025976E-2</v>
      </c>
      <c r="S94" s="31">
        <f>MECS_data!AT33</f>
        <v>0.59740259740259738</v>
      </c>
      <c r="T94" s="31">
        <f>MECS_data!AU33</f>
        <v>1.2987012987012988E-2</v>
      </c>
      <c r="U94" s="31">
        <f>MECS_data!AV33</f>
        <v>0.22077922077922077</v>
      </c>
      <c r="V94" s="31">
        <f>MECS_data!AW33</f>
        <v>0</v>
      </c>
      <c r="W94" s="31">
        <f>MECS_data!AX33</f>
        <v>0.11688311688311688</v>
      </c>
      <c r="X94" s="32">
        <f>MECS_data!AY33</f>
        <v>1</v>
      </c>
      <c r="Z94" s="4">
        <f>'[25]Predicted Residual Prices'!AS367</f>
        <v>4.59</v>
      </c>
      <c r="AA94" s="4">
        <f>'[26]Predicted Distillate Prices'!AS367</f>
        <v>9.75</v>
      </c>
      <c r="AB94" s="4">
        <f>'[27]Predicted Gas Prices'!AR367</f>
        <v>4.3899999999999997</v>
      </c>
      <c r="AC94" s="4">
        <f>'[28]Predicted LPG Prices'!AS367</f>
        <v>9.15</v>
      </c>
      <c r="AD94" s="4">
        <f>'[29]Predicted Coal Prices'!AS367</f>
        <v>2.3199999999999998</v>
      </c>
      <c r="AE94" s="4">
        <f>'[30]Predicted Coke Prices'!AS325</f>
        <v>0</v>
      </c>
      <c r="AF94" s="4">
        <f>'[31]Predicted Other Prices'!AT325</f>
        <v>2.7777777777777777</v>
      </c>
      <c r="AH94" s="115">
        <f t="shared" si="14"/>
        <v>3.9507792207792205</v>
      </c>
      <c r="AI94" s="4">
        <f>'[32]Quantity Shares_1998 forward'!AH94</f>
        <v>3.9507792207792205</v>
      </c>
    </row>
    <row r="95" spans="4:35" x14ac:dyDescent="0.2">
      <c r="D95" s="27">
        <f>[13]Quantity_shares!BB321</f>
        <v>2002</v>
      </c>
      <c r="E95" s="27" t="str">
        <f>[13]Quantity_shares!BC321</f>
        <v>313</v>
      </c>
      <c r="F95" s="28">
        <f>[13]Quantity_shares!BD321</f>
        <v>0.62184873949579833</v>
      </c>
      <c r="G95" s="28">
        <f>[13]Quantity_shares!BE321</f>
        <v>5.0420168067226892E-2</v>
      </c>
      <c r="H95" s="28">
        <f>[13]Quantity_shares!BF321</f>
        <v>0.18487394957983194</v>
      </c>
      <c r="I95" s="28">
        <f>[13]Quantity_shares!BG321</f>
        <v>0.14285714285714285</v>
      </c>
      <c r="K95" s="17">
        <f t="shared" si="16"/>
        <v>0.62184873949579833</v>
      </c>
      <c r="L95" s="17">
        <f t="shared" si="17"/>
        <v>5.0420168067226892E-2</v>
      </c>
      <c r="M95" s="17">
        <f t="shared" si="18"/>
        <v>0.18487394957983194</v>
      </c>
      <c r="N95" s="17">
        <f t="shared" si="19"/>
        <v>0.14285714285714285</v>
      </c>
      <c r="Q95" s="31">
        <f>MECS_data!AR34</f>
        <v>3.3613445378151259E-2</v>
      </c>
      <c r="R95" s="31">
        <f>MECS_data!AS34</f>
        <v>1.680672268907563E-2</v>
      </c>
      <c r="S95" s="31">
        <f>MECS_data!AT34</f>
        <v>0.62184873949579833</v>
      </c>
      <c r="T95" s="31">
        <f>MECS_data!AU34</f>
        <v>1.680672268907563E-2</v>
      </c>
      <c r="U95" s="31">
        <f>MECS_data!AV34</f>
        <v>0.18487394957983194</v>
      </c>
      <c r="V95" s="31">
        <f>MECS_data!AW34</f>
        <v>0</v>
      </c>
      <c r="W95" s="31">
        <f>MECS_data!AX34</f>
        <v>0.12605042016806722</v>
      </c>
      <c r="X95" s="32">
        <f>MECS_data!AY34</f>
        <v>1</v>
      </c>
      <c r="Z95" s="4">
        <f>'[25]Predicted Residual Prices'!AS368</f>
        <v>4.8899999999999997</v>
      </c>
      <c r="AA95" s="4">
        <f>'[26]Predicted Distillate Prices'!AS368</f>
        <v>6.73</v>
      </c>
      <c r="AB95" s="4">
        <f>'[27]Predicted Gas Prices'!AR368</f>
        <v>4.6100000000000003</v>
      </c>
      <c r="AC95" s="4">
        <f>'[28]Predicted LPG Prices'!AS368</f>
        <v>9.35</v>
      </c>
      <c r="AD95" s="4">
        <f>'[29]Predicted Coal Prices'!AS368</f>
        <v>2.2799999999999998</v>
      </c>
      <c r="AE95" s="4">
        <f>'[30]Predicted Coke Prices'!AS326</f>
        <v>0</v>
      </c>
      <c r="AF95" s="4">
        <f>'[31]Predicted Other Prices'!AT326</f>
        <v>3.3888888888888888</v>
      </c>
      <c r="AH95" s="115">
        <f t="shared" si="14"/>
        <v>4.1500280112044816</v>
      </c>
      <c r="AI95" s="4">
        <f>'[32]Quantity Shares_1998 forward'!AH95</f>
        <v>4.1500280112044816</v>
      </c>
    </row>
    <row r="96" spans="4:35" x14ac:dyDescent="0.2">
      <c r="D96" s="27">
        <f>[13]Quantity_shares!BB322</f>
        <v>2002</v>
      </c>
      <c r="E96" s="27" t="str">
        <f>[13]Quantity_shares!BC322</f>
        <v>314</v>
      </c>
      <c r="F96" s="28">
        <f>[13]Quantity_shares!BD322</f>
        <v>0.67441860465116277</v>
      </c>
      <c r="G96" s="28">
        <f>[13]Quantity_shares!BE322</f>
        <v>4.6511627906976744E-2</v>
      </c>
      <c r="H96" s="28">
        <f>[13]Quantity_shares!BF322</f>
        <v>0.2558139534883721</v>
      </c>
      <c r="I96" s="28">
        <f>[13]Quantity_shares!BG322</f>
        <v>2.3255813953488372E-2</v>
      </c>
      <c r="K96" s="17">
        <f t="shared" si="16"/>
        <v>0.66974595842956119</v>
      </c>
      <c r="L96" s="17">
        <f t="shared" si="17"/>
        <v>7.6212471131639731E-2</v>
      </c>
      <c r="M96" s="17">
        <f t="shared" si="18"/>
        <v>0.20785219399538107</v>
      </c>
      <c r="N96" s="17">
        <f t="shared" si="19"/>
        <v>4.6189376443418015E-2</v>
      </c>
      <c r="Q96" s="31">
        <f>MECS_data!AR35</f>
        <v>4.6189376443418015E-2</v>
      </c>
      <c r="R96" s="31">
        <f>MECS_data!AS35</f>
        <v>3.0023094688221712E-2</v>
      </c>
      <c r="S96" s="31">
        <f>MECS_data!AT35</f>
        <v>0.66974595842956119</v>
      </c>
      <c r="T96" s="31">
        <f>MECS_data!AU35</f>
        <v>2.3094688221709007E-2</v>
      </c>
      <c r="U96" s="31">
        <f>MECS_data!AV35</f>
        <v>0.20785219399538107</v>
      </c>
      <c r="V96" s="31">
        <f>MECS_data!AW35</f>
        <v>0</v>
      </c>
      <c r="W96" s="31">
        <f>MECS_data!AX35</f>
        <v>2.3094688221709007E-2</v>
      </c>
      <c r="X96" s="32">
        <f>MECS_data!AY35</f>
        <v>1</v>
      </c>
      <c r="Z96" s="4">
        <f>'[25]Predicted Residual Prices'!AS369</f>
        <v>5</v>
      </c>
      <c r="AA96" s="4">
        <f>'[26]Predicted Distillate Prices'!AS369</f>
        <v>6.73</v>
      </c>
      <c r="AB96" s="4">
        <f>'[27]Predicted Gas Prices'!AR369</f>
        <v>4.46</v>
      </c>
      <c r="AC96" s="4">
        <f>'[28]Predicted LPG Prices'!AS369</f>
        <v>9.1</v>
      </c>
      <c r="AD96" s="4">
        <f>'[29]Predicted Coal Prices'!AS369</f>
        <v>2</v>
      </c>
      <c r="AE96" s="4">
        <f>'[30]Predicted Coke Prices'!AS327</f>
        <v>0</v>
      </c>
      <c r="AF96" s="4">
        <f>'[31]Predicted Other Prices'!AT327</f>
        <v>3.3</v>
      </c>
      <c r="AH96" s="115">
        <f t="shared" si="14"/>
        <v>4.1221478060046186</v>
      </c>
      <c r="AI96" s="4">
        <f>'[32]Quantity Shares_1998 forward'!AH96</f>
        <v>4.1221478060046186</v>
      </c>
    </row>
    <row r="97" spans="4:35" x14ac:dyDescent="0.2">
      <c r="D97" s="27">
        <f>[13]Quantity_shares!BB323</f>
        <v>2002</v>
      </c>
      <c r="E97" s="27" t="str">
        <f>[13]Quantity_shares!BC323</f>
        <v>315</v>
      </c>
      <c r="F97" s="28">
        <f>[13]Quantity_shares!BD323</f>
        <v>0.86486486486486436</v>
      </c>
      <c r="G97" s="28">
        <f>[13]Quantity_shares!BE323</f>
        <v>8.108108108108103E-2</v>
      </c>
      <c r="H97" s="28">
        <f>[13]Quantity_shares!BF323</f>
        <v>5.4054054054054022E-16</v>
      </c>
      <c r="I97" s="28">
        <f>[13]Quantity_shares!BG323</f>
        <v>5.4054054054054022E-2</v>
      </c>
      <c r="K97" s="17">
        <f t="shared" si="16"/>
        <v>0.90395480225988689</v>
      </c>
      <c r="L97" s="17">
        <f t="shared" si="17"/>
        <v>7.3446327683615809E-2</v>
      </c>
      <c r="M97" s="17">
        <f t="shared" si="18"/>
        <v>0</v>
      </c>
      <c r="N97" s="17">
        <f t="shared" si="19"/>
        <v>2.2598870056497172E-2</v>
      </c>
      <c r="Q97" s="31">
        <f>MECS_data!AR36</f>
        <v>1.6949152542372878E-2</v>
      </c>
      <c r="R97" s="31">
        <f>MECS_data!AS36</f>
        <v>5.6497175141242931E-2</v>
      </c>
      <c r="S97" s="31">
        <f>MECS_data!AT36</f>
        <v>0.90395480225988689</v>
      </c>
      <c r="T97" s="31">
        <f>MECS_data!AU36</f>
        <v>5.6497175141242929E-3</v>
      </c>
      <c r="U97" s="31">
        <f>MECS_data!AV36</f>
        <v>0</v>
      </c>
      <c r="V97" s="31">
        <f>MECS_data!AW36</f>
        <v>0</v>
      </c>
      <c r="W97" s="31">
        <f>MECS_data!AX36</f>
        <v>1.6949152542372878E-2</v>
      </c>
      <c r="X97" s="32">
        <f>MECS_data!AY36</f>
        <v>0.99999999999999978</v>
      </c>
      <c r="Z97" s="4">
        <f>'[25]Predicted Residual Prices'!AS370</f>
        <v>5</v>
      </c>
      <c r="AA97" s="4">
        <f>'[26]Predicted Distillate Prices'!AS370</f>
        <v>6.74</v>
      </c>
      <c r="AB97" s="4">
        <f>'[27]Predicted Gas Prices'!AR370</f>
        <v>5.2</v>
      </c>
      <c r="AC97" s="4">
        <f>'[28]Predicted LPG Prices'!AS370</f>
        <v>12.07</v>
      </c>
      <c r="AD97" s="4">
        <f>'[29]Predicted Coal Prices'!AS370</f>
        <v>2.5</v>
      </c>
      <c r="AE97" s="4">
        <f>'[30]Predicted Coke Prices'!AS328</f>
        <v>0</v>
      </c>
      <c r="AF97" s="4">
        <f>'[31]Predicted Other Prices'!AT328</f>
        <v>3.3</v>
      </c>
      <c r="AH97" s="115">
        <f t="shared" si="14"/>
        <v>5.2902259887005645</v>
      </c>
      <c r="AI97" s="4">
        <f>'[32]Quantity Shares_1998 forward'!AH97</f>
        <v>5.2902259887005645</v>
      </c>
    </row>
    <row r="98" spans="4:35" x14ac:dyDescent="0.2">
      <c r="D98" s="27">
        <f>[13]Quantity_shares!BB324</f>
        <v>2002</v>
      </c>
      <c r="E98" s="27" t="str">
        <f>[13]Quantity_shares!BC324</f>
        <v>316</v>
      </c>
      <c r="F98" s="28">
        <f>[13]Quantity_shares!BD324</f>
        <v>0.83333333333333148</v>
      </c>
      <c r="G98" s="28">
        <f>[13]Quantity_shares!BE324</f>
        <v>8.3333333333333162E-2</v>
      </c>
      <c r="H98" s="28">
        <f>[13]Quantity_shares!BF324</f>
        <v>2.0833333333333287E-15</v>
      </c>
      <c r="I98" s="28">
        <f>[13]Quantity_shares!BG324</f>
        <v>8.3333333333333162E-2</v>
      </c>
      <c r="K98" s="17">
        <f t="shared" si="16"/>
        <v>0.8</v>
      </c>
      <c r="L98" s="17">
        <f t="shared" si="17"/>
        <v>0.1</v>
      </c>
      <c r="M98" s="17">
        <f t="shared" si="18"/>
        <v>0</v>
      </c>
      <c r="N98" s="17">
        <f t="shared" si="19"/>
        <v>0.1</v>
      </c>
      <c r="Q98" s="31">
        <f>MECS_data!AR37</f>
        <v>0.02</v>
      </c>
      <c r="R98" s="31">
        <f>MECS_data!AS37</f>
        <v>0.08</v>
      </c>
      <c r="S98" s="31">
        <f>MECS_data!AT37</f>
        <v>0.8</v>
      </c>
      <c r="T98" s="31">
        <f>MECS_data!AU37</f>
        <v>0.02</v>
      </c>
      <c r="U98" s="31">
        <f>MECS_data!AV37</f>
        <v>0</v>
      </c>
      <c r="V98" s="31">
        <f>MECS_data!AW37</f>
        <v>0</v>
      </c>
      <c r="W98" s="31">
        <f>MECS_data!AX37</f>
        <v>0.08</v>
      </c>
      <c r="X98" s="32">
        <f>MECS_data!AY37</f>
        <v>1</v>
      </c>
      <c r="Z98" s="4">
        <f>'[25]Predicted Residual Prices'!AS371</f>
        <v>3.87</v>
      </c>
      <c r="AA98" s="4">
        <f>'[26]Predicted Distillate Prices'!AS371</f>
        <v>5.87</v>
      </c>
      <c r="AB98" s="4">
        <f>'[27]Predicted Gas Prices'!AR371</f>
        <v>4.57</v>
      </c>
      <c r="AC98" s="4">
        <f>'[28]Predicted LPG Prices'!AS371</f>
        <v>10.65</v>
      </c>
      <c r="AD98" s="4">
        <f>'[29]Predicted Coal Prices'!AS371</f>
        <v>1.87</v>
      </c>
      <c r="AE98" s="4">
        <f>'[30]Predicted Coke Prices'!AS329</f>
        <v>0</v>
      </c>
      <c r="AF98" s="4">
        <f>'[31]Predicted Other Prices'!AT329</f>
        <v>3.3</v>
      </c>
      <c r="AH98" s="115">
        <f t="shared" si="14"/>
        <v>4.6800000000000006</v>
      </c>
      <c r="AI98" s="4">
        <f>'[32]Quantity Shares_1998 forward'!AH98</f>
        <v>4.6800000000000006</v>
      </c>
    </row>
    <row r="99" spans="4:35" x14ac:dyDescent="0.2">
      <c r="D99" s="27">
        <f>[13]Quantity_shares!BB325</f>
        <v>2002</v>
      </c>
      <c r="E99" s="27" t="str">
        <f>[13]Quantity_shares!BC325</f>
        <v>321</v>
      </c>
      <c r="F99" s="28">
        <f>[13]Quantity_shares!BD325</f>
        <v>0.18811881188118812</v>
      </c>
      <c r="G99" s="28">
        <f>[13]Quantity_shares!BE325</f>
        <v>3.6303630363036306E-2</v>
      </c>
      <c r="H99" s="28">
        <f>[13]Quantity_shares!BF325</f>
        <v>3.3003300330033004E-3</v>
      </c>
      <c r="I99" s="28">
        <f>[13]Quantity_shares!BG325</f>
        <v>0.7722772277227723</v>
      </c>
      <c r="K99" s="17">
        <f t="shared" si="16"/>
        <v>0.45967741935483869</v>
      </c>
      <c r="L99" s="17">
        <f t="shared" si="17"/>
        <v>8.8709677419354843E-2</v>
      </c>
      <c r="M99" s="17">
        <f t="shared" si="18"/>
        <v>8.0645161290322578E-3</v>
      </c>
      <c r="N99" s="17">
        <f t="shared" si="19"/>
        <v>0.44354838709677419</v>
      </c>
      <c r="Q99" s="31">
        <f>MECS_data!AR38</f>
        <v>8.0645161290322578E-3</v>
      </c>
      <c r="R99" s="31">
        <f>MECS_data!AS38</f>
        <v>8.0645161290322578E-2</v>
      </c>
      <c r="S99" s="31">
        <f>MECS_data!AT38</f>
        <v>0.45967741935483869</v>
      </c>
      <c r="T99" s="31">
        <f>MECS_data!AU38</f>
        <v>4.0322580645161289E-2</v>
      </c>
      <c r="U99" s="31">
        <f>MECS_data!AV38</f>
        <v>8.0645161290322578E-3</v>
      </c>
      <c r="V99" s="31">
        <f>MECS_data!AW38</f>
        <v>0</v>
      </c>
      <c r="W99" s="31">
        <f>MECS_data!AX38</f>
        <v>0.40322580645161288</v>
      </c>
      <c r="X99" s="32">
        <f>MECS_data!AY38</f>
        <v>0.99999999999999989</v>
      </c>
      <c r="Z99" s="4">
        <f>'[25]Predicted Residual Prices'!AS372</f>
        <v>4</v>
      </c>
      <c r="AA99" s="4">
        <f>'[26]Predicted Distillate Prices'!AS372</f>
        <v>7.02</v>
      </c>
      <c r="AB99" s="4">
        <f>'[27]Predicted Gas Prices'!AR372</f>
        <v>4.74</v>
      </c>
      <c r="AC99" s="4">
        <f>'[28]Predicted LPG Prices'!AS372</f>
        <v>8.7100000000000009</v>
      </c>
      <c r="AD99" s="4">
        <f>'[29]Predicted Coal Prices'!AS372</f>
        <v>2</v>
      </c>
      <c r="AE99" s="4">
        <f>'[30]Predicted Coke Prices'!AS330</f>
        <v>0</v>
      </c>
      <c r="AF99" s="4">
        <f>'[31]Predicted Other Prices'!AT330</f>
        <v>1.3491271820448878</v>
      </c>
      <c r="AH99" s="115">
        <f t="shared" si="14"/>
        <v>3.6885996701793897</v>
      </c>
      <c r="AI99" s="4">
        <f>'[32]Quantity Shares_1998 forward'!AH99</f>
        <v>3.6885996701793897</v>
      </c>
    </row>
    <row r="100" spans="4:35" x14ac:dyDescent="0.2">
      <c r="D100" s="27">
        <f>[13]Quantity_shares!BB326</f>
        <v>2002</v>
      </c>
      <c r="E100" s="27" t="str">
        <f>[13]Quantity_shares!BC326</f>
        <v>322</v>
      </c>
      <c r="F100" s="28">
        <f>[13]Quantity_shares!BD326</f>
        <v>0.2358446420215255</v>
      </c>
      <c r="G100" s="28">
        <f>[13]Quantity_shares!BE326</f>
        <v>5.2877866167524566E-2</v>
      </c>
      <c r="H100" s="28">
        <f>[13]Quantity_shares!BF326</f>
        <v>0.10949929808142256</v>
      </c>
      <c r="I100" s="28">
        <f>[13]Quantity_shares!BG326</f>
        <v>0.60177819372952734</v>
      </c>
      <c r="K100" s="17">
        <f t="shared" si="16"/>
        <v>0.43187660668380462</v>
      </c>
      <c r="L100" s="17">
        <f t="shared" si="17"/>
        <v>9.6829477292202218E-2</v>
      </c>
      <c r="M100" s="17">
        <f t="shared" si="18"/>
        <v>0.20394173093401885</v>
      </c>
      <c r="N100" s="17">
        <f t="shared" si="19"/>
        <v>0.26735218508997427</v>
      </c>
      <c r="Q100" s="31">
        <f>MECS_data!AR39</f>
        <v>8.5689802913453295E-2</v>
      </c>
      <c r="R100" s="31">
        <f>MECS_data!AS39</f>
        <v>1.1139674378748929E-2</v>
      </c>
      <c r="S100" s="31">
        <f>MECS_data!AT39</f>
        <v>0.43187660668380462</v>
      </c>
      <c r="T100" s="31">
        <f>MECS_data!AU39</f>
        <v>5.1413881748071976E-3</v>
      </c>
      <c r="U100" s="31">
        <f>MECS_data!AV39</f>
        <v>0.20051413881748073</v>
      </c>
      <c r="V100" s="31">
        <f>MECS_data!AW39</f>
        <v>3.4275921165381321E-3</v>
      </c>
      <c r="W100" s="31">
        <f>MECS_data!AX39</f>
        <v>0.26221079691516708</v>
      </c>
      <c r="X100" s="32">
        <f>MECS_data!AY39</f>
        <v>1</v>
      </c>
      <c r="Z100" s="4">
        <f>'[25]Predicted Residual Prices'!AS373</f>
        <v>3.71</v>
      </c>
      <c r="AA100" s="4">
        <f>'[26]Predicted Distillate Prices'!AS373</f>
        <v>5.13</v>
      </c>
      <c r="AB100" s="4">
        <f>'[27]Predicted Gas Prices'!AR373</f>
        <v>4.1500000000000004</v>
      </c>
      <c r="AC100" s="4">
        <f>'[28]Predicted LPG Prices'!AS373</f>
        <v>8.9700000000000006</v>
      </c>
      <c r="AD100" s="4">
        <f>'[29]Predicted Coal Prices'!AS373</f>
        <v>1.97</v>
      </c>
      <c r="AE100" s="4">
        <f>'[30]Predicted Coke Prices'!AS331</f>
        <v>5</v>
      </c>
      <c r="AF100" s="4">
        <f>'[31]Predicted Other Prices'!AT331</f>
        <v>2.6971153846153846</v>
      </c>
      <c r="AH100" s="115">
        <f t="shared" si="14"/>
        <v>3.3328254564629884</v>
      </c>
      <c r="AI100" s="4">
        <f>'[32]Quantity Shares_1998 forward'!AH100</f>
        <v>3.3328254564629884</v>
      </c>
    </row>
    <row r="101" spans="4:35" x14ac:dyDescent="0.2">
      <c r="D101" s="27">
        <f>[13]Quantity_shares!BB327</f>
        <v>2002</v>
      </c>
      <c r="E101" s="27" t="str">
        <f>[13]Quantity_shares!BC327</f>
        <v>323</v>
      </c>
      <c r="F101" s="28">
        <f>[13]Quantity_shares!BD327</f>
        <v>0.94650205761316852</v>
      </c>
      <c r="G101" s="28">
        <f>[13]Quantity_shares!BE327</f>
        <v>1.2345679012345677E-2</v>
      </c>
      <c r="H101" s="28">
        <f>[13]Quantity_shares!BF327</f>
        <v>2.0576131687242794E-16</v>
      </c>
      <c r="I101" s="28">
        <f>[13]Quantity_shares!BG327</f>
        <v>4.115226337448559E-2</v>
      </c>
      <c r="K101" s="17">
        <f t="shared" si="16"/>
        <v>0.95833333333333337</v>
      </c>
      <c r="L101" s="17">
        <f t="shared" si="17"/>
        <v>1.0416666666666666E-2</v>
      </c>
      <c r="M101" s="17">
        <f t="shared" si="18"/>
        <v>0</v>
      </c>
      <c r="N101" s="17">
        <f t="shared" si="19"/>
        <v>3.125E-2</v>
      </c>
      <c r="Q101" s="31">
        <f>MECS_data!AR40</f>
        <v>2.0833333333333333E-3</v>
      </c>
      <c r="R101" s="31">
        <f>MECS_data!AS40</f>
        <v>8.3333333333333332E-3</v>
      </c>
      <c r="S101" s="31">
        <f>MECS_data!AT40</f>
        <v>0.95833333333333337</v>
      </c>
      <c r="T101" s="31">
        <f>MECS_data!AU40</f>
        <v>2.0833333333333332E-2</v>
      </c>
      <c r="U101" s="31">
        <f>MECS_data!AV40</f>
        <v>0</v>
      </c>
      <c r="V101" s="31">
        <f>MECS_data!AW40</f>
        <v>0</v>
      </c>
      <c r="W101" s="31">
        <f>MECS_data!AX40</f>
        <v>1.0416666666666666E-2</v>
      </c>
      <c r="X101" s="32">
        <f>MECS_data!AY40</f>
        <v>1</v>
      </c>
      <c r="Z101" s="4">
        <f>'[25]Predicted Residual Prices'!AS374</f>
        <v>5</v>
      </c>
      <c r="AA101" s="4">
        <f>'[26]Predicted Distillate Prices'!AS374</f>
        <v>6.28</v>
      </c>
      <c r="AB101" s="4">
        <f>'[27]Predicted Gas Prices'!AR374</f>
        <v>4.9800000000000004</v>
      </c>
      <c r="AC101" s="4">
        <f>'[28]Predicted LPG Prices'!AS374</f>
        <v>11.68</v>
      </c>
      <c r="AD101" s="4">
        <f>'[29]Predicted Coal Prices'!AS374</f>
        <v>2.0570000000000004</v>
      </c>
      <c r="AE101" s="4">
        <f>'[30]Predicted Coke Prices'!AS332</f>
        <v>0</v>
      </c>
      <c r="AF101" s="4">
        <f>'[31]Predicted Other Prices'!AT332</f>
        <v>2.5</v>
      </c>
      <c r="AH101" s="115">
        <f t="shared" si="14"/>
        <v>5.1046250000000013</v>
      </c>
      <c r="AI101" s="4">
        <f>'[32]Quantity Shares_1998 forward'!AH101</f>
        <v>5.1046250000000013</v>
      </c>
    </row>
    <row r="102" spans="4:35" x14ac:dyDescent="0.2">
      <c r="D102" s="27">
        <f>[13]Quantity_shares!BB328</f>
        <v>2002</v>
      </c>
      <c r="E102" s="27" t="str">
        <f>[13]Quantity_shares!BC328</f>
        <v>324</v>
      </c>
      <c r="F102" s="28">
        <f>[13]Quantity_shares!BD328</f>
        <v>0.28552845528455284</v>
      </c>
      <c r="G102" s="28">
        <f>[13]Quantity_shares!BE328</f>
        <v>1.3333333333333334E-2</v>
      </c>
      <c r="H102" s="28">
        <f>[13]Quantity_shares!BF328</f>
        <v>4.2276422764227642E-3</v>
      </c>
      <c r="I102" s="28">
        <f>[13]Quantity_shares!BG328</f>
        <v>0.69691056910569105</v>
      </c>
      <c r="K102" s="17">
        <f t="shared" si="16"/>
        <v>0.76341187722806714</v>
      </c>
      <c r="L102" s="17">
        <f t="shared" si="17"/>
        <v>2.3476219459177466E-2</v>
      </c>
      <c r="M102" s="17">
        <f t="shared" si="18"/>
        <v>1.1390313885749065E-2</v>
      </c>
      <c r="N102" s="17">
        <f t="shared" si="19"/>
        <v>0.20172158942700638</v>
      </c>
      <c r="Q102" s="31">
        <f>MECS_data!AR41</f>
        <v>1.2172854534388315E-2</v>
      </c>
      <c r="R102" s="31">
        <f>MECS_data!AS41</f>
        <v>1.130336492478915E-2</v>
      </c>
      <c r="S102" s="31">
        <f>MECS_data!AT41</f>
        <v>0.76341187722806714</v>
      </c>
      <c r="T102" s="31">
        <f>MECS_data!AU41</f>
        <v>8.6948960959916544E-3</v>
      </c>
      <c r="U102" s="31">
        <f>MECS_data!AV41</f>
        <v>1.130336492478915E-2</v>
      </c>
      <c r="V102" s="31">
        <f>MECS_data!AW41</f>
        <v>8.6948960959916535E-5</v>
      </c>
      <c r="W102" s="31">
        <f>MECS_data!AX41</f>
        <v>0.19302669333101471</v>
      </c>
      <c r="X102" s="32">
        <f>MECS_data!AY41</f>
        <v>1</v>
      </c>
      <c r="Z102" s="4">
        <f>'[25]Predicted Residual Prices'!AS375</f>
        <v>3.23</v>
      </c>
      <c r="AA102" s="4">
        <f>'[26]Predicted Distillate Prices'!AS375</f>
        <v>6.08</v>
      </c>
      <c r="AB102" s="4">
        <f>'[27]Predicted Gas Prices'!AR375</f>
        <v>3.42</v>
      </c>
      <c r="AC102" s="4">
        <f>'[28]Predicted LPG Prices'!AS375</f>
        <v>6.68</v>
      </c>
      <c r="AD102" s="4">
        <f>'[29]Predicted Coal Prices'!AS375</f>
        <v>2</v>
      </c>
      <c r="AE102" s="4">
        <f>'[30]Predicted Coke Prices'!AS333</f>
        <v>0</v>
      </c>
      <c r="AF102" s="4">
        <f>'[31]Predicted Other Prices'!AT333</f>
        <v>3.5632183908045976</v>
      </c>
      <c r="AH102" s="115">
        <f t="shared" si="14"/>
        <v>3.4873962983728553</v>
      </c>
      <c r="AI102" s="4">
        <f>'[32]Quantity Shares_1998 forward'!AH102</f>
        <v>3.4873962983728553</v>
      </c>
    </row>
    <row r="103" spans="4:35" x14ac:dyDescent="0.2">
      <c r="D103" s="27">
        <f>[13]Quantity_shares!BB329</f>
        <v>2002</v>
      </c>
      <c r="E103" s="27" t="str">
        <f>[13]Quantity_shares!BC329</f>
        <v>325</v>
      </c>
      <c r="F103" s="28">
        <f>[13]Quantity_shares!BD329</f>
        <v>0.51726263871763256</v>
      </c>
      <c r="G103" s="28">
        <f>[13]Quantity_shares!BE329</f>
        <v>1.7570900123304561E-2</v>
      </c>
      <c r="H103" s="28">
        <f>[13]Quantity_shares!BF329</f>
        <v>9.6794081381011102E-2</v>
      </c>
      <c r="I103" s="28">
        <f>[13]Quantity_shares!BG329</f>
        <v>0.36837237977805176</v>
      </c>
      <c r="K103" s="17">
        <f t="shared" si="16"/>
        <v>0.64335126825518829</v>
      </c>
      <c r="L103" s="17">
        <f t="shared" si="17"/>
        <v>2.1521906225980013E-2</v>
      </c>
      <c r="M103" s="17">
        <f t="shared" si="18"/>
        <v>0.12106072252113759</v>
      </c>
      <c r="N103" s="17">
        <f t="shared" si="19"/>
        <v>0.2140661029976941</v>
      </c>
      <c r="Q103" s="31">
        <f>MECS_data!AR42</f>
        <v>1.6525749423520367E-2</v>
      </c>
      <c r="R103" s="31">
        <f>MECS_data!AS42</f>
        <v>4.9961568024596463E-3</v>
      </c>
      <c r="S103" s="31">
        <f>MECS_data!AT42</f>
        <v>0.64335126825518829</v>
      </c>
      <c r="T103" s="31">
        <f>MECS_data!AU42</f>
        <v>1.2298232129131437E-2</v>
      </c>
      <c r="U103" s="31">
        <f>MECS_data!AV42</f>
        <v>0.12067640276710223</v>
      </c>
      <c r="V103" s="31">
        <f>MECS_data!AW42</f>
        <v>3.8431975403535742E-4</v>
      </c>
      <c r="W103" s="31">
        <f>MECS_data!AX42</f>
        <v>0.20176787086856265</v>
      </c>
      <c r="X103" s="32">
        <f>MECS_data!AY42</f>
        <v>1</v>
      </c>
      <c r="Z103" s="4">
        <f>'[25]Predicted Residual Prices'!AS376</f>
        <v>3.64</v>
      </c>
      <c r="AA103" s="4">
        <f>'[26]Predicted Distillate Prices'!AS376</f>
        <v>6.1</v>
      </c>
      <c r="AB103" s="4">
        <f>'[27]Predicted Gas Prices'!AR376</f>
        <v>3.37</v>
      </c>
      <c r="AC103" s="4">
        <f>'[28]Predicted LPG Prices'!AS376</f>
        <v>5.77</v>
      </c>
      <c r="AD103" s="4">
        <f>'[29]Predicted Coal Prices'!AS376</f>
        <v>1.99</v>
      </c>
      <c r="AE103" s="4">
        <f>'[30]Predicted Coke Prices'!AS334</f>
        <v>5</v>
      </c>
      <c r="AF103" s="4">
        <f>'[31]Predicted Other Prices'!AT334</f>
        <v>3.4020408163265308</v>
      </c>
      <c r="AH103" s="115">
        <f t="shared" si="14"/>
        <v>3.2581750301965524</v>
      </c>
      <c r="AI103" s="4">
        <f>'[32]Quantity Shares_1998 forward'!AH103</f>
        <v>3.2581750301965524</v>
      </c>
    </row>
    <row r="104" spans="4:35" x14ac:dyDescent="0.2">
      <c r="D104" s="27">
        <f>[13]Quantity_shares!BB330</f>
        <v>2002</v>
      </c>
      <c r="E104" s="27" t="str">
        <f>[13]Quantity_shares!BC330</f>
        <v>326</v>
      </c>
      <c r="F104" s="28">
        <f>[13]Quantity_shares!BD330</f>
        <v>0.84432717678100266</v>
      </c>
      <c r="G104" s="28">
        <f>[13]Quantity_shares!BE330</f>
        <v>5.9366754617414252E-2</v>
      </c>
      <c r="H104" s="28">
        <f>[13]Quantity_shares!BF330</f>
        <v>4.3535620052770445E-2</v>
      </c>
      <c r="I104" s="28">
        <f>[13]Quantity_shares!BG330</f>
        <v>5.2770448548812667E-2</v>
      </c>
      <c r="K104" s="17">
        <f t="shared" si="16"/>
        <v>0.77575757575757576</v>
      </c>
      <c r="L104" s="17">
        <f t="shared" si="17"/>
        <v>5.454545454545455E-2</v>
      </c>
      <c r="M104" s="17">
        <f t="shared" si="18"/>
        <v>0.12727272727272726</v>
      </c>
      <c r="N104" s="17">
        <f t="shared" si="19"/>
        <v>4.242424242424242E-2</v>
      </c>
      <c r="Q104" s="31">
        <f>MECS_data!AR43</f>
        <v>4.2424242424242427E-2</v>
      </c>
      <c r="R104" s="31">
        <f>MECS_data!AS43</f>
        <v>1.2121212121212121E-2</v>
      </c>
      <c r="S104" s="31">
        <f>MECS_data!AT43</f>
        <v>0.77575757575757576</v>
      </c>
      <c r="T104" s="31">
        <f>MECS_data!AU43</f>
        <v>1.8181818181818181E-2</v>
      </c>
      <c r="U104" s="31">
        <f>MECS_data!AV43</f>
        <v>0.12727272727272726</v>
      </c>
      <c r="V104" s="31">
        <f>MECS_data!AW43</f>
        <v>0</v>
      </c>
      <c r="W104" s="31">
        <f>MECS_data!AX43</f>
        <v>2.4242424242424242E-2</v>
      </c>
      <c r="X104" s="32">
        <f>MECS_data!AY43</f>
        <v>1</v>
      </c>
      <c r="Z104" s="4">
        <f>'[25]Predicted Residual Prices'!AS377</f>
        <v>3.86</v>
      </c>
      <c r="AA104" s="4">
        <f>'[26]Predicted Distillate Prices'!AS377</f>
        <v>6.66</v>
      </c>
      <c r="AB104" s="4">
        <f>'[27]Predicted Gas Prices'!AR377</f>
        <v>4.9800000000000004</v>
      </c>
      <c r="AC104" s="4">
        <f>'[28]Predicted LPG Prices'!AS377</f>
        <v>11.26</v>
      </c>
      <c r="AD104" s="4">
        <f>'[29]Predicted Coal Prices'!AS377</f>
        <v>2</v>
      </c>
      <c r="AE104" s="4">
        <f>'[30]Predicted Coke Prices'!AS335</f>
        <v>0</v>
      </c>
      <c r="AF104" s="4">
        <f>'[31]Predicted Other Prices'!AT335</f>
        <v>4</v>
      </c>
      <c r="AH104" s="115">
        <f t="shared" si="14"/>
        <v>4.6640000000000006</v>
      </c>
      <c r="AI104" s="4">
        <f>'[32]Quantity Shares_1998 forward'!AH104</f>
        <v>4.6640000000000006</v>
      </c>
    </row>
    <row r="105" spans="4:35" x14ac:dyDescent="0.2">
      <c r="D105" s="27">
        <f>[13]Quantity_shares!BB331</f>
        <v>2002</v>
      </c>
      <c r="E105" s="27" t="str">
        <f>[13]Quantity_shares!BC331</f>
        <v>327</v>
      </c>
      <c r="F105" s="28">
        <f>[13]Quantity_shares!BD331</f>
        <v>0.46212952799121843</v>
      </c>
      <c r="G105" s="28">
        <f>[13]Quantity_shares!BE331</f>
        <v>3.7321624588364431E-2</v>
      </c>
      <c r="H105" s="28">
        <f>[13]Quantity_shares!BF331</f>
        <v>0.35126234906695941</v>
      </c>
      <c r="I105" s="28">
        <f>[13]Quantity_shares!BG331</f>
        <v>0.14928649835345773</v>
      </c>
      <c r="K105" s="17">
        <f t="shared" si="16"/>
        <v>0.5146699266503667</v>
      </c>
      <c r="L105" s="17">
        <f t="shared" si="17"/>
        <v>4.1564792176039124E-2</v>
      </c>
      <c r="M105" s="17">
        <f t="shared" si="18"/>
        <v>0.39119804400977992</v>
      </c>
      <c r="N105" s="17">
        <f t="shared" si="19"/>
        <v>5.2567237163814187E-2</v>
      </c>
      <c r="Q105" s="31">
        <f>MECS_data!AR44</f>
        <v>3.667481662591687E-3</v>
      </c>
      <c r="R105" s="31">
        <f>MECS_data!AS44</f>
        <v>3.7897310513447434E-2</v>
      </c>
      <c r="S105" s="31">
        <f>MECS_data!AT44</f>
        <v>0.5146699266503667</v>
      </c>
      <c r="T105" s="31">
        <f>MECS_data!AU44</f>
        <v>3.667481662591687E-3</v>
      </c>
      <c r="U105" s="31">
        <f>MECS_data!AV44</f>
        <v>0.37775061124694376</v>
      </c>
      <c r="V105" s="31">
        <f>MECS_data!AW44</f>
        <v>1.3447432762836185E-2</v>
      </c>
      <c r="W105" s="31">
        <f>MECS_data!AX44</f>
        <v>4.8899755501222497E-2</v>
      </c>
      <c r="X105" s="32">
        <f>MECS_data!AY44</f>
        <v>1</v>
      </c>
      <c r="Z105" s="4">
        <f>'[25]Predicted Residual Prices'!AS378</f>
        <v>3.99</v>
      </c>
      <c r="AA105" s="4">
        <f>'[26]Predicted Distillate Prices'!AS378</f>
        <v>7.5</v>
      </c>
      <c r="AB105" s="4">
        <f>'[27]Predicted Gas Prices'!AR378</f>
        <v>4.2</v>
      </c>
      <c r="AC105" s="4">
        <f>'[28]Predicted LPG Prices'!AS378</f>
        <v>10.210000000000001</v>
      </c>
      <c r="AD105" s="4">
        <f>'[29]Predicted Coal Prices'!AS378</f>
        <v>1.75</v>
      </c>
      <c r="AE105" s="4">
        <f>'[30]Predicted Coke Prices'!AS336</f>
        <v>1.96</v>
      </c>
      <c r="AF105" s="4">
        <f>'[31]Predicted Other Prices'!AT336</f>
        <v>1.288</v>
      </c>
      <c r="AH105" s="115">
        <f t="shared" si="14"/>
        <v>3.2483251833740829</v>
      </c>
      <c r="AI105" s="4">
        <f>'[32]Quantity Shares_1998 forward'!AH105</f>
        <v>3.2483251833740829</v>
      </c>
    </row>
    <row r="106" spans="4:35" x14ac:dyDescent="0.2">
      <c r="D106" s="27">
        <f>[13]Quantity_shares!BB332</f>
        <v>2002</v>
      </c>
      <c r="E106" s="27" t="str">
        <f>[13]Quantity_shares!BC332</f>
        <v>331</v>
      </c>
      <c r="F106" s="28">
        <f>[13]Quantity_shares!BD332</f>
        <v>0.41042944785276075</v>
      </c>
      <c r="G106" s="28">
        <f>[13]Quantity_shares!BE332</f>
        <v>9.8159509202453993E-3</v>
      </c>
      <c r="H106" s="28">
        <f>[13]Quantity_shares!BF332</f>
        <v>0.36809815950920244</v>
      </c>
      <c r="I106" s="28">
        <f>[13]Quantity_shares!BG332</f>
        <v>0.21165644171779141</v>
      </c>
      <c r="K106" s="17">
        <f t="shared" si="16"/>
        <v>0.60053859964093359</v>
      </c>
      <c r="L106" s="17">
        <f t="shared" si="17"/>
        <v>1.4362657091561939E-2</v>
      </c>
      <c r="M106" s="17">
        <f t="shared" si="18"/>
        <v>0.34739676840215444</v>
      </c>
      <c r="N106" s="17">
        <f t="shared" si="19"/>
        <v>3.7701974865350089E-2</v>
      </c>
      <c r="Q106" s="31">
        <f>MECS_data!AR45</f>
        <v>8.9766606822262122E-4</v>
      </c>
      <c r="R106" s="31">
        <f>MECS_data!AS45</f>
        <v>1.3464991023339317E-2</v>
      </c>
      <c r="S106" s="31">
        <f>MECS_data!AT45</f>
        <v>0.60053859964093359</v>
      </c>
      <c r="T106" s="31">
        <f>MECS_data!AU45</f>
        <v>2.6929982046678637E-3</v>
      </c>
      <c r="U106" s="31">
        <f>MECS_data!AV45</f>
        <v>4.2190305206463198E-2</v>
      </c>
      <c r="V106" s="31">
        <f>MECS_data!AW45</f>
        <v>0.30520646319569122</v>
      </c>
      <c r="W106" s="31">
        <f>MECS_data!AX45</f>
        <v>3.5008976660682228E-2</v>
      </c>
      <c r="X106" s="32">
        <f>MECS_data!AY45</f>
        <v>1</v>
      </c>
      <c r="Z106" s="4">
        <f>'[25]Predicted Residual Prices'!AS379</f>
        <v>4.25</v>
      </c>
      <c r="AA106" s="4">
        <f>'[26]Predicted Distillate Prices'!AS379</f>
        <v>4.7300000000000004</v>
      </c>
      <c r="AB106" s="4">
        <f>'[27]Predicted Gas Prices'!AR379</f>
        <v>4.08</v>
      </c>
      <c r="AC106" s="4">
        <f>'[28]Predicted LPG Prices'!AS379</f>
        <v>8.98</v>
      </c>
      <c r="AD106" s="4">
        <f>'[29]Predicted Coal Prices'!AS379</f>
        <v>1.95</v>
      </c>
      <c r="AE106" s="4">
        <f>'[30]Predicted Coke Prices'!AS337</f>
        <v>4.66</v>
      </c>
      <c r="AF106" s="4">
        <f>'[31]Predicted Other Prices'!AT337</f>
        <v>2.0393258426966292</v>
      </c>
      <c r="AH106" s="115">
        <f t="shared" si="14"/>
        <v>4.1178130232182832</v>
      </c>
      <c r="AI106" s="4">
        <f>'[32]Quantity Shares_1998 forward'!AH106</f>
        <v>4.1178130232182832</v>
      </c>
    </row>
    <row r="107" spans="4:35" x14ac:dyDescent="0.2">
      <c r="D107" s="27">
        <f>[13]Quantity_shares!BB333</f>
        <v>2002</v>
      </c>
      <c r="E107" s="27" t="str">
        <f>[13]Quantity_shares!BC333</f>
        <v>332</v>
      </c>
      <c r="F107" s="28">
        <f>[13]Quantity_shares!BD333</f>
        <v>0.92551784927280745</v>
      </c>
      <c r="G107" s="28">
        <f>[13]Quantity_shares!BE333</f>
        <v>3.613926840017629E-2</v>
      </c>
      <c r="H107" s="28">
        <f>[13]Quantity_shares!BF333</f>
        <v>6.6108417805200532E-3</v>
      </c>
      <c r="I107" s="28">
        <f>[13]Quantity_shares!BG333</f>
        <v>3.1732040546496261E-2</v>
      </c>
      <c r="K107" s="17">
        <f t="shared" si="16"/>
        <v>0.92070484581497802</v>
      </c>
      <c r="L107" s="17">
        <f t="shared" si="17"/>
        <v>3.0837004405286344E-2</v>
      </c>
      <c r="M107" s="17">
        <f t="shared" si="18"/>
        <v>2.643171806167401E-2</v>
      </c>
      <c r="N107" s="17">
        <f t="shared" si="19"/>
        <v>2.2026431718061675E-2</v>
      </c>
      <c r="Q107" s="31">
        <f>MECS_data!AR46</f>
        <v>4.4052863436123352E-3</v>
      </c>
      <c r="R107" s="31">
        <f>MECS_data!AS46</f>
        <v>2.643171806167401E-2</v>
      </c>
      <c r="S107" s="31">
        <f>MECS_data!AT46</f>
        <v>0.92070484581497802</v>
      </c>
      <c r="T107" s="31">
        <f>MECS_data!AU46</f>
        <v>1.3215859030837005E-2</v>
      </c>
      <c r="U107" s="31">
        <f>MECS_data!AV46</f>
        <v>4.4052863436123352E-3</v>
      </c>
      <c r="V107" s="31">
        <f>MECS_data!AW46</f>
        <v>2.2026431718061675E-2</v>
      </c>
      <c r="W107" s="31">
        <f>MECS_data!AX46</f>
        <v>8.8105726872246704E-3</v>
      </c>
      <c r="X107" s="32">
        <f>MECS_data!AY46</f>
        <v>1</v>
      </c>
      <c r="Z107" s="4">
        <f>'[25]Predicted Residual Prices'!AS380</f>
        <v>4.25</v>
      </c>
      <c r="AA107" s="4">
        <f>'[26]Predicted Distillate Prices'!AS380</f>
        <v>6.77</v>
      </c>
      <c r="AB107" s="4">
        <f>'[27]Predicted Gas Prices'!AR380</f>
        <v>4.92</v>
      </c>
      <c r="AC107" s="4">
        <f>'[28]Predicted LPG Prices'!AS380</f>
        <v>12.66</v>
      </c>
      <c r="AD107" s="4">
        <f>'[29]Predicted Coal Prices'!AS380</f>
        <v>5.03</v>
      </c>
      <c r="AE107" s="4">
        <f>'[30]Predicted Coke Prices'!AS338</f>
        <v>4.5</v>
      </c>
      <c r="AF107" s="4">
        <f>'[31]Predicted Other Prices'!AT338</f>
        <v>15.333333333333336</v>
      </c>
      <c r="AH107" s="115">
        <f t="shared" si="14"/>
        <v>5.1512187958883997</v>
      </c>
      <c r="AI107" s="4">
        <f>'[32]Quantity Shares_1998 forward'!AH107</f>
        <v>5.1512187958883997</v>
      </c>
    </row>
    <row r="108" spans="4:35" x14ac:dyDescent="0.2">
      <c r="D108" s="27">
        <f>[13]Quantity_shares!BB334</f>
        <v>2002</v>
      </c>
      <c r="E108" s="27" t="str">
        <f>[13]Quantity_shares!BC334</f>
        <v>333</v>
      </c>
      <c r="F108" s="28">
        <f>[13]Quantity_shares!BD334</f>
        <v>0.87700534759358284</v>
      </c>
      <c r="G108" s="28">
        <f>[13]Quantity_shares!BE334</f>
        <v>3.7433155080213901E-2</v>
      </c>
      <c r="H108" s="28">
        <f>[13]Quantity_shares!BF334</f>
        <v>1.06951871657754E-2</v>
      </c>
      <c r="I108" s="28">
        <f>[13]Quantity_shares!BG334</f>
        <v>7.4866310160427801E-2</v>
      </c>
      <c r="K108" s="17">
        <f t="shared" si="16"/>
        <v>0.9001097694840835</v>
      </c>
      <c r="L108" s="17">
        <f t="shared" si="17"/>
        <v>2.3051591657519212E-2</v>
      </c>
      <c r="M108" s="17">
        <f t="shared" si="18"/>
        <v>1.0976948408342482E-2</v>
      </c>
      <c r="N108" s="17">
        <f t="shared" si="19"/>
        <v>6.5861690450054883E-2</v>
      </c>
      <c r="Q108" s="31">
        <f>MECS_data!AR47</f>
        <v>1.0976948408342481E-3</v>
      </c>
      <c r="R108" s="31">
        <f>MECS_data!AS47</f>
        <v>2.1953896816684963E-2</v>
      </c>
      <c r="S108" s="31">
        <f>MECS_data!AT47</f>
        <v>0.9001097694840835</v>
      </c>
      <c r="T108" s="31">
        <f>MECS_data!AU47</f>
        <v>2.1953896816684963E-2</v>
      </c>
      <c r="U108" s="31">
        <f>MECS_data!AV47</f>
        <v>1.0976948408342482E-2</v>
      </c>
      <c r="V108" s="31">
        <f>MECS_data!AW47</f>
        <v>0</v>
      </c>
      <c r="W108" s="31">
        <f>MECS_data!AX47</f>
        <v>4.3907793633369926E-2</v>
      </c>
      <c r="X108" s="32">
        <f>MECS_data!AY47</f>
        <v>1</v>
      </c>
      <c r="Z108" s="4">
        <f>'[25]Predicted Residual Prices'!AS381</f>
        <v>4.1500000000000004</v>
      </c>
      <c r="AA108" s="4">
        <f>'[26]Predicted Distillate Prices'!AS381</f>
        <v>8.69</v>
      </c>
      <c r="AB108" s="4">
        <f>'[27]Predicted Gas Prices'!AR381</f>
        <v>5.28</v>
      </c>
      <c r="AC108" s="4">
        <f>'[28]Predicted LPG Prices'!AS381</f>
        <v>10.7</v>
      </c>
      <c r="AD108" s="4">
        <f>'[29]Predicted Coal Prices'!AS381</f>
        <v>1.49</v>
      </c>
      <c r="AE108" s="4">
        <f>'[30]Predicted Coke Prices'!AS339</f>
        <v>0</v>
      </c>
      <c r="AF108" s="4">
        <f>'[31]Predicted Other Prices'!AT339</f>
        <v>7.4</v>
      </c>
      <c r="AH108" s="115">
        <f t="shared" si="14"/>
        <v>5.5240944017563125</v>
      </c>
      <c r="AI108" s="4">
        <f>'[32]Quantity Shares_1998 forward'!AH108</f>
        <v>5.5240944017563125</v>
      </c>
    </row>
    <row r="109" spans="4:35" x14ac:dyDescent="0.2">
      <c r="D109" s="27">
        <f>[13]Quantity_shares!BB335</f>
        <v>2002</v>
      </c>
      <c r="E109" s="27" t="str">
        <f>[13]Quantity_shares!BC335</f>
        <v>334</v>
      </c>
      <c r="F109" s="28">
        <f>[13]Quantity_shares!BD335</f>
        <v>0.92329545454545447</v>
      </c>
      <c r="G109" s="28">
        <f>[13]Quantity_shares!BE335</f>
        <v>2.8409090909090908E-2</v>
      </c>
      <c r="H109" s="28">
        <f>[13]Quantity_shares!BF335</f>
        <v>2.840909090909091E-3</v>
      </c>
      <c r="I109" s="28">
        <f>[13]Quantity_shares!BG335</f>
        <v>4.5454545454545456E-2</v>
      </c>
      <c r="K109" s="17">
        <f t="shared" si="16"/>
        <v>0.93930635838150289</v>
      </c>
      <c r="L109" s="17">
        <f t="shared" si="17"/>
        <v>2.8901734104046242E-2</v>
      </c>
      <c r="M109" s="17">
        <f t="shared" si="18"/>
        <v>1.4450867052023121E-3</v>
      </c>
      <c r="N109" s="17">
        <f t="shared" si="19"/>
        <v>3.0346820809248554E-2</v>
      </c>
      <c r="Q109" s="31">
        <f>MECS_data!AR48</f>
        <v>1.4450867052023121E-2</v>
      </c>
      <c r="R109" s="31">
        <f>MECS_data!AS48</f>
        <v>1.4450867052023121E-2</v>
      </c>
      <c r="S109" s="31">
        <f>MECS_data!AT48</f>
        <v>0.93930635838150289</v>
      </c>
      <c r="T109" s="31">
        <f>MECS_data!AU48</f>
        <v>1.4450867052023121E-3</v>
      </c>
      <c r="U109" s="31">
        <f>MECS_data!AV48</f>
        <v>1.4450867052023121E-3</v>
      </c>
      <c r="V109" s="31">
        <f>MECS_data!AW48</f>
        <v>0</v>
      </c>
      <c r="W109" s="31">
        <f>MECS_data!AX48</f>
        <v>2.8901734104046242E-2</v>
      </c>
      <c r="X109" s="32">
        <f>MECS_data!AY48</f>
        <v>1</v>
      </c>
      <c r="Z109" s="4">
        <f>'[25]Predicted Residual Prices'!AS382</f>
        <v>4.97</v>
      </c>
      <c r="AA109" s="4">
        <f>'[26]Predicted Distillate Prices'!AS382</f>
        <v>6.88</v>
      </c>
      <c r="AB109" s="4">
        <f>'[27]Predicted Gas Prices'!AR382</f>
        <v>5.47</v>
      </c>
      <c r="AC109" s="4">
        <f>'[28]Predicted LPG Prices'!AS382</f>
        <v>9.4700000000000006</v>
      </c>
      <c r="AD109" s="4">
        <f>'[29]Predicted Coal Prices'!AS382</f>
        <v>3.11</v>
      </c>
      <c r="AE109" s="4">
        <f>'[30]Predicted Coke Prices'!AS340</f>
        <v>0</v>
      </c>
      <c r="AF109" s="4">
        <f>'[31]Predicted Other Prices'!AT340</f>
        <v>5</v>
      </c>
      <c r="AH109" s="115">
        <f t="shared" si="14"/>
        <v>5.4719364161849713</v>
      </c>
      <c r="AI109" s="4">
        <f>'[32]Quantity Shares_1998 forward'!AH109</f>
        <v>5.4719364161849713</v>
      </c>
    </row>
    <row r="110" spans="4:35" x14ac:dyDescent="0.2">
      <c r="D110" s="27">
        <f>[13]Quantity_shares!BB336</f>
        <v>2002</v>
      </c>
      <c r="E110" s="27" t="str">
        <f>[13]Quantity_shares!BC336</f>
        <v>335</v>
      </c>
      <c r="F110" s="28">
        <f>[13]Quantity_shares!BD336</f>
        <v>0.93145869947275928</v>
      </c>
      <c r="G110" s="28">
        <f>[13]Quantity_shares!BE336</f>
        <v>2.6362038664323375E-2</v>
      </c>
      <c r="H110" s="28">
        <f>[13]Quantity_shares!BF336</f>
        <v>7.0298769771529003E-3</v>
      </c>
      <c r="I110" s="28">
        <f>[13]Quantity_shares!BG336</f>
        <v>3.5149384885764502E-2</v>
      </c>
      <c r="K110" s="17">
        <f t="shared" si="16"/>
        <v>0.94306049822064053</v>
      </c>
      <c r="L110" s="17">
        <f t="shared" si="17"/>
        <v>1.9572953736654804E-2</v>
      </c>
      <c r="M110" s="17">
        <f t="shared" si="18"/>
        <v>1.7793594306049821E-3</v>
      </c>
      <c r="N110" s="17">
        <f t="shared" si="19"/>
        <v>3.5587188612099641E-2</v>
      </c>
      <c r="Q110" s="31">
        <f>MECS_data!AR49</f>
        <v>1.7793594306049821E-3</v>
      </c>
      <c r="R110" s="31">
        <f>MECS_data!AS49</f>
        <v>1.779359430604982E-2</v>
      </c>
      <c r="S110" s="31">
        <f>MECS_data!AT49</f>
        <v>0.94306049822064053</v>
      </c>
      <c r="T110" s="31">
        <f>MECS_data!AU49</f>
        <v>1.779359430604982E-2</v>
      </c>
      <c r="U110" s="31">
        <f>MECS_data!AV49</f>
        <v>1.7793594306049821E-3</v>
      </c>
      <c r="V110" s="31">
        <f>MECS_data!AW49</f>
        <v>0</v>
      </c>
      <c r="W110" s="31">
        <f>MECS_data!AX49</f>
        <v>1.779359430604982E-2</v>
      </c>
      <c r="X110" s="32">
        <f>MECS_data!AY49</f>
        <v>1</v>
      </c>
      <c r="Z110" s="4">
        <f>'[25]Predicted Residual Prices'!AS383</f>
        <v>4.5999999999999996</v>
      </c>
      <c r="AA110" s="4">
        <f>'[26]Predicted Distillate Prices'!AS383</f>
        <v>6.73</v>
      </c>
      <c r="AB110" s="4">
        <f>'[27]Predicted Gas Prices'!AR383</f>
        <v>4.9000000000000004</v>
      </c>
      <c r="AC110" s="4">
        <f>'[28]Predicted LPG Prices'!AS383</f>
        <v>10.87</v>
      </c>
      <c r="AD110" s="4">
        <f>'[29]Predicted Coal Prices'!AS383</f>
        <v>2.5</v>
      </c>
      <c r="AE110" s="4">
        <f>'[30]Predicted Coke Prices'!AS341</f>
        <v>0</v>
      </c>
      <c r="AF110" s="4">
        <f>'[31]Predicted Other Prices'!AT341</f>
        <v>2.5</v>
      </c>
      <c r="AH110" s="115">
        <f t="shared" si="14"/>
        <v>4.9912811387900344</v>
      </c>
      <c r="AI110" s="4">
        <f>'[32]Quantity Shares_1998 forward'!AH110</f>
        <v>4.9912811387900344</v>
      </c>
    </row>
    <row r="111" spans="4:35" x14ac:dyDescent="0.2">
      <c r="D111" s="27">
        <f>[13]Quantity_shares!BB337</f>
        <v>2002</v>
      </c>
      <c r="E111" s="27" t="str">
        <f>[13]Quantity_shares!BC337</f>
        <v>336</v>
      </c>
      <c r="F111" s="28">
        <f>[13]Quantity_shares!BD337</f>
        <v>0.79420970266040691</v>
      </c>
      <c r="G111" s="28">
        <f>[13]Quantity_shares!BE337</f>
        <v>3.912363067292645E-2</v>
      </c>
      <c r="H111" s="28">
        <f>[13]Quantity_shares!BF337</f>
        <v>3.1298904538341159E-2</v>
      </c>
      <c r="I111" s="28">
        <f>[13]Quantity_shares!BG337</f>
        <v>0.13536776212832552</v>
      </c>
      <c r="K111" s="17">
        <f t="shared" si="16"/>
        <v>0.80876494023904377</v>
      </c>
      <c r="L111" s="17">
        <f t="shared" si="17"/>
        <v>3.5856573705179279E-2</v>
      </c>
      <c r="M111" s="17">
        <f t="shared" si="18"/>
        <v>3.1872509960159362E-2</v>
      </c>
      <c r="N111" s="17">
        <f t="shared" si="19"/>
        <v>0.12350597609561753</v>
      </c>
      <c r="Q111" s="31">
        <f>MECS_data!AR50</f>
        <v>2.3904382470119521E-2</v>
      </c>
      <c r="R111" s="31">
        <f>MECS_data!AS50</f>
        <v>1.1952191235059761E-2</v>
      </c>
      <c r="S111" s="31">
        <f>MECS_data!AT50</f>
        <v>0.80876494023904377</v>
      </c>
      <c r="T111" s="31">
        <f>MECS_data!AU50</f>
        <v>1.5936254980079681E-2</v>
      </c>
      <c r="U111" s="31">
        <f>MECS_data!AV50</f>
        <v>3.1872509960159362E-2</v>
      </c>
      <c r="V111" s="31">
        <f>MECS_data!AW50</f>
        <v>0</v>
      </c>
      <c r="W111" s="31">
        <f>MECS_data!AX50</f>
        <v>0.10756972111553785</v>
      </c>
      <c r="X111" s="32">
        <f>MECS_data!AY50</f>
        <v>0.99999999999999989</v>
      </c>
      <c r="Z111" s="4">
        <f>'[25]Predicted Residual Prices'!AS384</f>
        <v>4.24</v>
      </c>
      <c r="AA111" s="4">
        <f>'[26]Predicted Distillate Prices'!AS384</f>
        <v>7.73</v>
      </c>
      <c r="AB111" s="4">
        <f>'[27]Predicted Gas Prices'!AR384</f>
        <v>4.26</v>
      </c>
      <c r="AC111" s="4">
        <f>'[28]Predicted LPG Prices'!AS384</f>
        <v>9.44</v>
      </c>
      <c r="AD111" s="4">
        <f>'[29]Predicted Coal Prices'!AS384</f>
        <v>2.2599999999999998</v>
      </c>
      <c r="AE111" s="4">
        <f>'[30]Predicted Coke Prices'!AS342</f>
        <v>0</v>
      </c>
      <c r="AF111" s="4">
        <f>'[31]Predicted Other Prices'!AT342</f>
        <v>3.5161290322580645</v>
      </c>
      <c r="AH111" s="115">
        <f t="shared" si="14"/>
        <v>4.2397828042668033</v>
      </c>
      <c r="AI111" s="4">
        <f>'[32]Quantity Shares_1998 forward'!AH111</f>
        <v>4.2397828042668033</v>
      </c>
    </row>
    <row r="112" spans="4:35" x14ac:dyDescent="0.2">
      <c r="D112" s="27">
        <f>[13]Quantity_shares!BB338</f>
        <v>2002</v>
      </c>
      <c r="E112" s="27" t="str">
        <f>[13]Quantity_shares!BC338</f>
        <v>337</v>
      </c>
      <c r="F112" s="28">
        <f>[13]Quantity_shares!BD338</f>
        <v>0.62972292191435764</v>
      </c>
      <c r="G112" s="28">
        <f>[13]Quantity_shares!BE338</f>
        <v>3.0226700251889164E-2</v>
      </c>
      <c r="H112" s="28">
        <f>[13]Quantity_shares!BF338</f>
        <v>3.7783375314861457E-2</v>
      </c>
      <c r="I112" s="28">
        <f>[13]Quantity_shares!BG338</f>
        <v>0.30226700251889166</v>
      </c>
      <c r="K112" s="17">
        <f t="shared" si="16"/>
        <v>0.81967213114754101</v>
      </c>
      <c r="L112" s="17">
        <f t="shared" si="17"/>
        <v>4.9180327868852458E-2</v>
      </c>
      <c r="M112" s="17">
        <f t="shared" si="18"/>
        <v>3.2786885245901641E-2</v>
      </c>
      <c r="N112" s="17">
        <f t="shared" si="19"/>
        <v>9.8360655737704916E-2</v>
      </c>
      <c r="Q112" s="31">
        <f>MECS_data!AR51</f>
        <v>1.6393442622950821E-2</v>
      </c>
      <c r="R112" s="31">
        <f>MECS_data!AS51</f>
        <v>3.2786885245901641E-2</v>
      </c>
      <c r="S112" s="31">
        <f>MECS_data!AT51</f>
        <v>0.81967213114754101</v>
      </c>
      <c r="T112" s="31">
        <f>MECS_data!AU51</f>
        <v>3.2786885245901641E-2</v>
      </c>
      <c r="U112" s="31">
        <f>MECS_data!AV51</f>
        <v>3.2786885245901641E-2</v>
      </c>
      <c r="V112" s="31">
        <f>MECS_data!AW51</f>
        <v>0</v>
      </c>
      <c r="W112" s="31">
        <f>MECS_data!AX51</f>
        <v>6.5573770491803282E-2</v>
      </c>
      <c r="X112" s="32">
        <f>MECS_data!AY51</f>
        <v>1.0000000000000002</v>
      </c>
      <c r="Z112" s="4">
        <f>'[25]Predicted Residual Prices'!AS385</f>
        <v>4</v>
      </c>
      <c r="AA112" s="4">
        <f>'[26]Predicted Distillate Prices'!AS385</f>
        <v>8.2200000000000006</v>
      </c>
      <c r="AB112" s="4">
        <f>'[27]Predicted Gas Prices'!AR385</f>
        <v>5.15</v>
      </c>
      <c r="AC112" s="4">
        <f>'[28]Predicted LPG Prices'!AS385</f>
        <v>10.220000000000001</v>
      </c>
      <c r="AD112" s="4">
        <f>'[29]Predicted Coal Prices'!AS385</f>
        <v>2.6</v>
      </c>
      <c r="AE112" s="4">
        <f>'[30]Predicted Coke Prices'!AS343</f>
        <v>0</v>
      </c>
      <c r="AF112" s="4">
        <f>'[31]Predicted Other Prices'!AT343</f>
        <v>2</v>
      </c>
      <c r="AH112" s="115">
        <f t="shared" si="14"/>
        <v>5.107868852459017</v>
      </c>
      <c r="AI112" s="4">
        <f>'[32]Quantity Shares_1998 forward'!AH112</f>
        <v>5.107868852459017</v>
      </c>
    </row>
    <row r="113" spans="4:35" x14ac:dyDescent="0.2">
      <c r="D113" s="27">
        <f>[13]Quantity_shares!BB339</f>
        <v>2002</v>
      </c>
      <c r="E113" s="27" t="str">
        <f>[13]Quantity_shares!BC339</f>
        <v>339</v>
      </c>
      <c r="F113" s="28">
        <f>[13]Quantity_shares!BD339</f>
        <v>0.88888888888888873</v>
      </c>
      <c r="G113" s="28">
        <f>[13]Quantity_shares!BE339</f>
        <v>2.7777777777777773E-2</v>
      </c>
      <c r="H113" s="28">
        <f>[13]Quantity_shares!BF339</f>
        <v>2.777777777777777E-16</v>
      </c>
      <c r="I113" s="28">
        <f>[13]Quantity_shares!BG339</f>
        <v>8.3333333333333315E-2</v>
      </c>
      <c r="K113" s="17">
        <f t="shared" si="16"/>
        <v>0.88888888888888884</v>
      </c>
      <c r="L113" s="17">
        <f t="shared" si="17"/>
        <v>2.7777777777777776E-2</v>
      </c>
      <c r="M113" s="17">
        <f t="shared" si="18"/>
        <v>0</v>
      </c>
      <c r="N113" s="17">
        <f t="shared" si="19"/>
        <v>8.3333333333333329E-2</v>
      </c>
      <c r="Q113" s="31">
        <f>MECS_data!AR52</f>
        <v>1.3888888888888888E-2</v>
      </c>
      <c r="R113" s="31">
        <f>MECS_data!AS52</f>
        <v>1.3888888888888888E-2</v>
      </c>
      <c r="S113" s="31">
        <f>MECS_data!AT52</f>
        <v>0.88888888888888884</v>
      </c>
      <c r="T113" s="31">
        <f>MECS_data!AU52</f>
        <v>2.7777777777777776E-2</v>
      </c>
      <c r="U113" s="31">
        <f>MECS_data!AV52</f>
        <v>0</v>
      </c>
      <c r="V113" s="31">
        <f>MECS_data!AW52</f>
        <v>0</v>
      </c>
      <c r="W113" s="31">
        <f>MECS_data!AX52</f>
        <v>5.5555555555555552E-2</v>
      </c>
      <c r="X113" s="32">
        <f>MECS_data!AY52</f>
        <v>1</v>
      </c>
      <c r="Z113" s="4">
        <f>'[25]Predicted Residual Prices'!AS386</f>
        <v>4</v>
      </c>
      <c r="AA113" s="4">
        <f>'[26]Predicted Distillate Prices'!AS386</f>
        <v>7.07</v>
      </c>
      <c r="AB113" s="4">
        <f>'[27]Predicted Gas Prices'!AR386</f>
        <v>5.07</v>
      </c>
      <c r="AC113" s="4">
        <f>'[28]Predicted LPG Prices'!AS386</f>
        <v>12.17</v>
      </c>
      <c r="AD113" s="4">
        <f>'[29]Predicted Coal Prices'!AS386</f>
        <v>2</v>
      </c>
      <c r="AE113" s="4">
        <f>'[30]Predicted Coke Prices'!AS344</f>
        <v>0</v>
      </c>
      <c r="AF113" s="4">
        <f>'[31]Predicted Other Prices'!AT344</f>
        <v>2</v>
      </c>
      <c r="AH113" s="115">
        <f t="shared" si="14"/>
        <v>5.1095833333333331</v>
      </c>
      <c r="AI113" s="4">
        <f>'[32]Quantity Shares_1998 forward'!AH113</f>
        <v>5.1095833333333331</v>
      </c>
    </row>
    <row r="114" spans="4:35" x14ac:dyDescent="0.2">
      <c r="D114">
        <f>[13]Quantity_shares!BB340</f>
        <v>2003</v>
      </c>
      <c r="E114" t="str">
        <f>[13]Quantity_shares!BC340</f>
        <v>311</v>
      </c>
      <c r="F114" s="26">
        <f>[13]Quantity_shares!BD340</f>
        <v>0.65652424524088315</v>
      </c>
      <c r="G114" s="26">
        <f>[13]Quantity_shares!BE340</f>
        <v>3.8317982641445661E-2</v>
      </c>
      <c r="H114" s="26">
        <f>[13]Quantity_shares!BF340</f>
        <v>0.19532840018831255</v>
      </c>
      <c r="I114" s="26">
        <f>[13]Quantity_shares!BG340</f>
        <v>0.10982937192935865</v>
      </c>
      <c r="P114">
        <v>2003</v>
      </c>
      <c r="Q114" s="26">
        <f t="shared" ref="Q114:W114" si="20">0.75*Q93+0.25*Q177</f>
        <v>1.8956805976487325E-2</v>
      </c>
      <c r="R114" s="26">
        <f t="shared" si="20"/>
        <v>2.1405986495021172E-2</v>
      </c>
      <c r="S114" s="26">
        <f t="shared" si="20"/>
        <v>0.69099415631749284</v>
      </c>
      <c r="T114" s="26">
        <f t="shared" si="20"/>
        <v>5.2864973202367774E-3</v>
      </c>
      <c r="U114" s="26">
        <f t="shared" si="20"/>
        <v>0.20502420104107077</v>
      </c>
      <c r="V114" s="26">
        <f t="shared" si="20"/>
        <v>1.1718470012753049E-3</v>
      </c>
      <c r="W114" s="26">
        <f t="shared" si="20"/>
        <v>5.716050584841588E-2</v>
      </c>
      <c r="X114" s="26">
        <f>SUM(Q114:W114)</f>
        <v>1</v>
      </c>
      <c r="Z114" s="4">
        <f>'[25]Predicted Residual Prices'!AS387</f>
        <v>4.825580808235582</v>
      </c>
      <c r="AA114" s="4">
        <f>'[26]Predicted Distillate Prices'!AS387</f>
        <v>8.6989479214038088</v>
      </c>
      <c r="AB114" s="4">
        <f>'[27]Predicted Gas Prices'!AR387</f>
        <v>5.7540039738093194</v>
      </c>
      <c r="AC114" s="4">
        <f>'[28]Predicted LPG Prices'!AS387</f>
        <v>8.8567278349353806</v>
      </c>
      <c r="AD114" s="4">
        <f>'[29]Predicted Coal Prices'!AS387</f>
        <v>1.4301810882647896</v>
      </c>
      <c r="AE114" s="4">
        <f>'[30]Predicted Coke Prices'!AS345</f>
        <v>5.5225976013159652</v>
      </c>
      <c r="AF114" s="4">
        <f>'[31]Predicted Other Prices'!AT345</f>
        <v>3.9122117592235508</v>
      </c>
      <c r="AH114" s="115">
        <f t="shared" si="14"/>
        <v>4.8238087276745976</v>
      </c>
      <c r="AI114" s="4">
        <f>'[32]Quantity Shares_1998 forward'!AH114</f>
        <v>4.8897098638501806</v>
      </c>
    </row>
    <row r="115" spans="4:35" x14ac:dyDescent="0.2">
      <c r="D115">
        <f>[13]Quantity_shares!BB341</f>
        <v>2003</v>
      </c>
      <c r="E115" t="str">
        <f>[13]Quantity_shares!BC341</f>
        <v>312</v>
      </c>
      <c r="F115" s="26">
        <f>[13]Quantity_shares!BD341</f>
        <v>0.57371794871794868</v>
      </c>
      <c r="G115" s="26">
        <f>[13]Quantity_shares!BE341</f>
        <v>5.128205128205128E-2</v>
      </c>
      <c r="H115" s="26">
        <f>[13]Quantity_shares!BF341</f>
        <v>0.22756410256410256</v>
      </c>
      <c r="I115" s="26">
        <f>[13]Quantity_shares!BG341</f>
        <v>0.14743589743589744</v>
      </c>
      <c r="Q115" s="26">
        <f t="shared" ref="Q115:W115" si="21">0.75*Q94+0.25*Q178</f>
        <v>3.0043899762209621E-2</v>
      </c>
      <c r="R115" s="26">
        <f t="shared" si="21"/>
        <v>2.3001646241082859E-2</v>
      </c>
      <c r="S115" s="26">
        <f t="shared" si="21"/>
        <v>0.59241814523504666</v>
      </c>
      <c r="T115" s="26">
        <f t="shared" si="21"/>
        <v>1.3261386500823121E-2</v>
      </c>
      <c r="U115" s="26">
        <f t="shared" si="21"/>
        <v>0.23600695079568318</v>
      </c>
      <c r="V115" s="26">
        <f t="shared" si="21"/>
        <v>0</v>
      </c>
      <c r="W115" s="26">
        <f t="shared" si="21"/>
        <v>0.10526797146515457</v>
      </c>
      <c r="X115" s="26">
        <f t="shared" ref="X115:X176" si="22">SUM(Q115:W115)</f>
        <v>1</v>
      </c>
      <c r="Z115" s="4">
        <f>'[25]Predicted Residual Prices'!AS388</f>
        <v>5.3941214549163181</v>
      </c>
      <c r="AA115" s="4">
        <f>'[26]Predicted Distillate Prices'!AS388</f>
        <v>10.588352191287314</v>
      </c>
      <c r="AB115" s="4">
        <f>'[27]Predicted Gas Prices'!AR388</f>
        <v>5.6799019240177273</v>
      </c>
      <c r="AC115" s="4">
        <f>'[28]Predicted LPG Prices'!AS388</f>
        <v>10.031982814605367</v>
      </c>
      <c r="AD115" s="4">
        <f>'[29]Predicted Coal Prices'!AS388</f>
        <v>2.3390810722494617</v>
      </c>
      <c r="AE115" s="4">
        <f>'[30]Predicted Coke Prices'!AS346</f>
        <v>0</v>
      </c>
      <c r="AF115" s="4">
        <f>'[31]Predicted Other Prices'!AT346</f>
        <v>2.7459469350163723</v>
      </c>
      <c r="AH115" s="115">
        <f t="shared" si="14"/>
        <v>4.7446245952199524</v>
      </c>
      <c r="AI115" s="4">
        <f>'[32]Quantity Shares_1998 forward'!AH115</f>
        <v>5.0866863252037575</v>
      </c>
    </row>
    <row r="116" spans="4:35" x14ac:dyDescent="0.2">
      <c r="D116">
        <f>[13]Quantity_shares!BB342</f>
        <v>2003</v>
      </c>
      <c r="E116" t="str">
        <f>[13]Quantity_shares!BC342</f>
        <v>313</v>
      </c>
      <c r="F116" s="26">
        <f>[13]Quantity_shares!BD342</f>
        <v>0.61212646493575007</v>
      </c>
      <c r="G116" s="26">
        <f>[13]Quantity_shares!BE342</f>
        <v>4.3420507216339457E-2</v>
      </c>
      <c r="H116" s="26">
        <f>[13]Quantity_shares!BF342</f>
        <v>0.21040434110864076</v>
      </c>
      <c r="I116" s="26">
        <f>[13]Quantity_shares!BG342</f>
        <v>0.1340486867392697</v>
      </c>
      <c r="Q116" s="26">
        <f t="shared" ref="Q116:W116" si="23">0.75*Q95+0.25*Q179</f>
        <v>2.9690370771964701E-2</v>
      </c>
      <c r="R116" s="26">
        <f t="shared" si="23"/>
        <v>1.3725113701394537E-2</v>
      </c>
      <c r="S116" s="26">
        <f t="shared" si="23"/>
        <v>0.61199587361826446</v>
      </c>
      <c r="T116" s="26">
        <f t="shared" si="23"/>
        <v>1.2829056353724286E-2</v>
      </c>
      <c r="U116" s="26">
        <f t="shared" si="23"/>
        <v>0.21034004999849404</v>
      </c>
      <c r="V116" s="26">
        <f t="shared" si="23"/>
        <v>0</v>
      </c>
      <c r="W116" s="26">
        <f t="shared" si="23"/>
        <v>0.12141953555615795</v>
      </c>
      <c r="X116" s="26">
        <f t="shared" si="22"/>
        <v>0.99999999999999989</v>
      </c>
      <c r="Z116" s="4">
        <f>'[25]Predicted Residual Prices'!AS389</f>
        <v>5.5309630573083615</v>
      </c>
      <c r="AA116" s="4">
        <f>'[26]Predicted Distillate Prices'!AS389</f>
        <v>8.5408817003748467</v>
      </c>
      <c r="AB116" s="4">
        <f>'[27]Predicted Gas Prices'!AR389</f>
        <v>6.6895276841866949</v>
      </c>
      <c r="AC116" s="4">
        <f>'[28]Predicted LPG Prices'!AS389</f>
        <v>11.013097827985671</v>
      </c>
      <c r="AD116" s="4">
        <f>'[29]Predicted Coal Prices'!AS389</f>
        <v>2.3739262092941011</v>
      </c>
      <c r="AE116" s="4">
        <f>'[30]Predicted Coke Prices'!AS347</f>
        <v>0</v>
      </c>
      <c r="AF116" s="4">
        <f>'[31]Predicted Other Prices'!AT347</f>
        <v>3.5315576443746557</v>
      </c>
      <c r="AH116" s="115">
        <f t="shared" si="14"/>
        <v>5.4448237547124654</v>
      </c>
      <c r="AI116" s="4">
        <f>'[32]Quantity Shares_1998 forward'!AH116</f>
        <v>5.4520456799847983</v>
      </c>
    </row>
    <row r="117" spans="4:35" x14ac:dyDescent="0.2">
      <c r="D117">
        <f>[13]Quantity_shares!BB343</f>
        <v>2003</v>
      </c>
      <c r="E117" t="str">
        <f>[13]Quantity_shares!BC343</f>
        <v>314</v>
      </c>
      <c r="F117" s="26">
        <f>[13]Quantity_shares!BD343</f>
        <v>0.72696779964221825</v>
      </c>
      <c r="G117" s="26">
        <f>[13]Quantity_shares!BE343</f>
        <v>4.4499105545617174E-2</v>
      </c>
      <c r="H117" s="26">
        <f>[13]Quantity_shares!BF343</f>
        <v>0.206283542039356</v>
      </c>
      <c r="I117" s="26">
        <f>[13]Quantity_shares!BG343</f>
        <v>2.2249552772808587E-2</v>
      </c>
      <c r="Q117" s="26">
        <f t="shared" ref="Q117:W117" si="24">0.75*Q96+0.25*Q180</f>
        <v>4.1853570794101971E-2</v>
      </c>
      <c r="R117" s="26">
        <f t="shared" si="24"/>
        <v>2.2998090246935513E-2</v>
      </c>
      <c r="S117" s="26">
        <f t="shared" si="24"/>
        <v>0.72346331497601701</v>
      </c>
      <c r="T117" s="26">
        <f t="shared" si="24"/>
        <v>2.2128708473974062E-2</v>
      </c>
      <c r="U117" s="26">
        <f t="shared" si="24"/>
        <v>0.17031222241961275</v>
      </c>
      <c r="V117" s="26">
        <f t="shared" si="24"/>
        <v>0</v>
      </c>
      <c r="W117" s="26">
        <f t="shared" si="24"/>
        <v>1.9244093089358677E-2</v>
      </c>
      <c r="X117" s="26">
        <f t="shared" si="22"/>
        <v>1</v>
      </c>
      <c r="Z117" s="4">
        <f>'[25]Predicted Residual Prices'!AS390</f>
        <v>5.6581456665690366</v>
      </c>
      <c r="AA117" s="4">
        <f>'[26]Predicted Distillate Prices'!AS390</f>
        <v>7.1001203094393261</v>
      </c>
      <c r="AB117" s="4">
        <f>'[27]Predicted Gas Prices'!AR390</f>
        <v>6.6120300449513962</v>
      </c>
      <c r="AC117" s="4">
        <f>'[28]Predicted LPG Prices'!AS390</f>
        <v>10.470879891783127</v>
      </c>
      <c r="AD117" s="4">
        <f>'[29]Predicted Coal Prices'!AS390</f>
        <v>2.1813210658247697</v>
      </c>
      <c r="AE117" s="4">
        <f>'[30]Predicted Coke Prices'!AS348</f>
        <v>0</v>
      </c>
      <c r="AF117" s="4">
        <f>'[31]Predicted Other Prices'!AT348</f>
        <v>3.4656416159927628</v>
      </c>
      <c r="AH117" s="115">
        <f t="shared" si="14"/>
        <v>5.8535697998963547</v>
      </c>
      <c r="AI117" s="4">
        <f>'[32]Quantity Shares_1998 forward'!AH117</f>
        <v>5.8654047738510906</v>
      </c>
    </row>
    <row r="118" spans="4:35" x14ac:dyDescent="0.2">
      <c r="D118">
        <f>[13]Quantity_shares!BB344</f>
        <v>2003</v>
      </c>
      <c r="E118" t="str">
        <f>[13]Quantity_shares!BC344</f>
        <v>315</v>
      </c>
      <c r="F118" s="26">
        <f>[13]Quantity_shares!BD344</f>
        <v>0.88152536097741507</v>
      </c>
      <c r="G118" s="26">
        <f>[13]Quantity_shares!BE344</f>
        <v>7.1084783413550484E-2</v>
      </c>
      <c r="H118" s="26">
        <f>[13]Quantity_shares!BF344</f>
        <v>7.4787115883006223E-16</v>
      </c>
      <c r="I118" s="26">
        <f>[13]Quantity_shares!BG344</f>
        <v>4.7389855609033658E-2</v>
      </c>
      <c r="Q118" s="26">
        <f t="shared" ref="Q118:W118" si="25">0.75*Q97+0.25*Q181</f>
        <v>1.4424193173902946E-2</v>
      </c>
      <c r="R118" s="26">
        <f t="shared" si="25"/>
        <v>4.5797538890178777E-2</v>
      </c>
      <c r="S118" s="26">
        <f t="shared" si="25"/>
        <v>0.91769212909217557</v>
      </c>
      <c r="T118" s="26">
        <f t="shared" si="25"/>
        <v>5.949616902716507E-3</v>
      </c>
      <c r="U118" s="26">
        <f t="shared" si="25"/>
        <v>0</v>
      </c>
      <c r="V118" s="26">
        <f t="shared" si="25"/>
        <v>0</v>
      </c>
      <c r="W118" s="26">
        <f t="shared" si="25"/>
        <v>1.6136521941026234E-2</v>
      </c>
      <c r="X118" s="26">
        <f t="shared" si="22"/>
        <v>1.0000000000000002</v>
      </c>
      <c r="Z118" s="4">
        <f>'[25]Predicted Residual Prices'!AS391</f>
        <v>5.6225300819208872</v>
      </c>
      <c r="AA118" s="4">
        <f>'[26]Predicted Distillate Prices'!AS391</f>
        <v>7.6025000000000009</v>
      </c>
      <c r="AB118" s="4">
        <f>'[27]Predicted Gas Prices'!AR391</f>
        <v>7.3346503764763753</v>
      </c>
      <c r="AC118" s="4">
        <f>'[28]Predicted LPG Prices'!AS391</f>
        <v>11.729667029844563</v>
      </c>
      <c r="AD118" s="4">
        <f>'[29]Predicted Coal Prices'!AS391</f>
        <v>2.5590922823962425</v>
      </c>
      <c r="AE118" s="4">
        <f>'[30]Predicted Coke Prices'!AS349</f>
        <v>0</v>
      </c>
      <c r="AF118" s="4">
        <f>'[31]Predicted Other Prices'!AT349</f>
        <v>3.4459399118897243</v>
      </c>
      <c r="AH118" s="115">
        <f t="shared" si="14"/>
        <v>7.2856196797952899</v>
      </c>
      <c r="AI118" s="4">
        <f>'[32]Quantity Shares_1998 forward'!AH118</f>
        <v>7.2434482820959998</v>
      </c>
    </row>
    <row r="119" spans="4:35" x14ac:dyDescent="0.2">
      <c r="D119">
        <f>[13]Quantity_shares!BB345</f>
        <v>2003</v>
      </c>
      <c r="E119" t="str">
        <f>[13]Quantity_shares!BC345</f>
        <v>316</v>
      </c>
      <c r="F119" s="26">
        <f>[13]Quantity_shares!BD345</f>
        <v>0.80357142857142594</v>
      </c>
      <c r="G119" s="26">
        <f>[13]Quantity_shares!BE345</f>
        <v>9.8214285714285338E-2</v>
      </c>
      <c r="H119" s="26">
        <f>[13]Quantity_shares!BF345</f>
        <v>3.3482142857142694E-15</v>
      </c>
      <c r="I119" s="26">
        <f>[13]Quantity_shares!BG345</f>
        <v>9.8214285714285338E-2</v>
      </c>
      <c r="Q119" s="26">
        <f t="shared" ref="Q119:W119" si="26">0.75*Q98+0.25*Q182</f>
        <v>2.9285714285714283E-2</v>
      </c>
      <c r="R119" s="26">
        <f t="shared" si="26"/>
        <v>0.13142857142857142</v>
      </c>
      <c r="S119" s="26">
        <f t="shared" si="26"/>
        <v>0.74285714285714288</v>
      </c>
      <c r="T119" s="26">
        <f t="shared" si="26"/>
        <v>2.2142857142857141E-2</v>
      </c>
      <c r="U119" s="26">
        <f t="shared" si="26"/>
        <v>0</v>
      </c>
      <c r="V119" s="26">
        <f t="shared" si="26"/>
        <v>0</v>
      </c>
      <c r="W119" s="26">
        <f t="shared" si="26"/>
        <v>7.4285714285714288E-2</v>
      </c>
      <c r="X119" s="26">
        <f t="shared" si="22"/>
        <v>1</v>
      </c>
      <c r="Z119" s="4">
        <f>'[25]Predicted Residual Prices'!AS392</f>
        <v>5.1625949254335239</v>
      </c>
      <c r="AA119" s="4">
        <f>'[26]Predicted Distillate Prices'!AS392</f>
        <v>5.853391838072195</v>
      </c>
      <c r="AB119" s="4">
        <f>'[27]Predicted Gas Prices'!AR392</f>
        <v>7.0370187398498185</v>
      </c>
      <c r="AC119" s="4">
        <f>'[28]Predicted LPG Prices'!AS392</f>
        <v>7.2006795274008422</v>
      </c>
      <c r="AD119" s="4">
        <f>'[29]Predicted Coal Prices'!AS392</f>
        <v>2.0192289814046491</v>
      </c>
      <c r="AE119" s="4">
        <f>'[30]Predicted Coke Prices'!AS350</f>
        <v>0</v>
      </c>
      <c r="AF119" s="4">
        <f>'[31]Predicted Other Prices'!AT350</f>
        <v>3.5854699559448622</v>
      </c>
      <c r="AH119" s="115">
        <f t="shared" si="14"/>
        <v>6.5737856573996876</v>
      </c>
      <c r="AI119" s="4">
        <f>'[32]Quantity Shares_1998 forward'!AH119</f>
        <v>6.5913975784902723</v>
      </c>
    </row>
    <row r="120" spans="4:35" x14ac:dyDescent="0.2">
      <c r="D120">
        <f>[13]Quantity_shares!BB346</f>
        <v>2003</v>
      </c>
      <c r="E120" t="str">
        <f>[13]Quantity_shares!BC346</f>
        <v>321</v>
      </c>
      <c r="F120" s="26">
        <f>[13]Quantity_shares!BD346</f>
        <v>0.20182357218772726</v>
      </c>
      <c r="G120" s="26">
        <f>[13]Quantity_shares!BE346</f>
        <v>4.064580186832243E-2</v>
      </c>
      <c r="H120" s="26">
        <f>[13]Quantity_shares!BF346</f>
        <v>1.3774682553001063E-2</v>
      </c>
      <c r="I120" s="26">
        <f>[13]Quantity_shares!BG346</f>
        <v>0.7437559433909493</v>
      </c>
      <c r="Q120" s="26">
        <f t="shared" ref="Q120:W120" si="27">0.75*Q99+0.25*Q183</f>
        <v>1.1011166253101737E-2</v>
      </c>
      <c r="R120" s="26">
        <f t="shared" si="27"/>
        <v>7.909429280397022E-2</v>
      </c>
      <c r="S120" s="26">
        <f t="shared" si="27"/>
        <v>0.45145781637717119</v>
      </c>
      <c r="T120" s="26">
        <f t="shared" si="27"/>
        <v>3.520471464019851E-2</v>
      </c>
      <c r="U120" s="26">
        <f t="shared" si="27"/>
        <v>2.4658808933002478E-2</v>
      </c>
      <c r="V120" s="26">
        <f t="shared" si="27"/>
        <v>6.2034739454094293E-4</v>
      </c>
      <c r="W120" s="26">
        <f t="shared" si="27"/>
        <v>0.39795285359801486</v>
      </c>
      <c r="X120" s="26">
        <f t="shared" si="22"/>
        <v>1</v>
      </c>
      <c r="Z120" s="4">
        <f>'[25]Predicted Residual Prices'!AS393</f>
        <v>4.6387540175589246</v>
      </c>
      <c r="AA120" s="4">
        <f>'[26]Predicted Distillate Prices'!AS393</f>
        <v>8.023243607684357</v>
      </c>
      <c r="AB120" s="4">
        <f>'[27]Predicted Gas Prices'!AR393</f>
        <v>6.6283838703719029</v>
      </c>
      <c r="AC120" s="4">
        <f>'[28]Predicted LPG Prices'!AS393</f>
        <v>7.8545285605580357</v>
      </c>
      <c r="AD120" s="4">
        <f>'[29]Predicted Coal Prices'!AS393</f>
        <v>1.7884504537854511</v>
      </c>
      <c r="AE120" s="4">
        <f>'[30]Predicted Coke Prices'!AS351</f>
        <v>0</v>
      </c>
      <c r="AF120" s="4">
        <f>'[31]Predicted Other Prices'!AT351</f>
        <v>1.5457821715106843</v>
      </c>
      <c r="AH120" s="115">
        <f t="shared" si="14"/>
        <v>4.6138724998934997</v>
      </c>
      <c r="AI120" s="4">
        <f>'[32]Quantity Shares_1998 forward'!AH120</f>
        <v>4.5330195979179795</v>
      </c>
    </row>
    <row r="121" spans="4:35" x14ac:dyDescent="0.2">
      <c r="D121">
        <f>[13]Quantity_shares!BB347</f>
        <v>2003</v>
      </c>
      <c r="E121" t="str">
        <f>[13]Quantity_shares!BC347</f>
        <v>322</v>
      </c>
      <c r="F121" s="26">
        <f>[13]Quantity_shares!BD347</f>
        <v>0.23315128778395039</v>
      </c>
      <c r="G121" s="26">
        <f>[13]Quantity_shares!BE347</f>
        <v>5.2004078637989101E-2</v>
      </c>
      <c r="H121" s="26">
        <f>[13]Quantity_shares!BF347</f>
        <v>0.10835904146230149</v>
      </c>
      <c r="I121" s="26">
        <f>[13]Quantity_shares!BG347</f>
        <v>0.60648559211575903</v>
      </c>
      <c r="Q121" s="26">
        <f t="shared" ref="Q121:W121" si="28">0.75*Q100+0.25*Q184</f>
        <v>8.5177278655678201E-2</v>
      </c>
      <c r="R121" s="26">
        <f t="shared" si="28"/>
        <v>1.1341888137002872E-2</v>
      </c>
      <c r="S121" s="26">
        <f t="shared" si="28"/>
        <v>0.43282289618932401</v>
      </c>
      <c r="T121" s="26">
        <f t="shared" si="28"/>
        <v>5.0049381899289281E-3</v>
      </c>
      <c r="U121" s="26">
        <f t="shared" si="28"/>
        <v>0.20116685411311055</v>
      </c>
      <c r="V121" s="26">
        <f t="shared" si="28"/>
        <v>2.5706940874035992E-3</v>
      </c>
      <c r="W121" s="26">
        <f t="shared" si="28"/>
        <v>0.26191545062755178</v>
      </c>
      <c r="X121" s="26">
        <f t="shared" si="22"/>
        <v>1</v>
      </c>
      <c r="Z121" s="4">
        <f>'[25]Predicted Residual Prices'!AS394</f>
        <v>4.5552155241393688</v>
      </c>
      <c r="AA121" s="4">
        <f>'[26]Predicted Distillate Prices'!AS394</f>
        <v>5.453724814800438</v>
      </c>
      <c r="AB121" s="4">
        <f>'[27]Predicted Gas Prices'!AR394</f>
        <v>5.5432293421389058</v>
      </c>
      <c r="AC121" s="4">
        <f>'[28]Predicted LPG Prices'!AS394</f>
        <v>9.6481765208935606</v>
      </c>
      <c r="AD121" s="4">
        <f>'[29]Predicted Coal Prices'!AS394</f>
        <v>2.0295932391981983</v>
      </c>
      <c r="AE121" s="4">
        <f>'[30]Predicted Coke Prices'!AS352</f>
        <v>4.4670000000000005</v>
      </c>
      <c r="AF121" s="4">
        <f>'[31]Predicted Other Prices'!AT352</f>
        <v>3.0546553301837212</v>
      </c>
      <c r="AH121" s="115">
        <f t="shared" si="14"/>
        <v>4.1172131089186452</v>
      </c>
      <c r="AI121" s="4">
        <f>'[32]Quantity Shares_1998 forward'!AH121</f>
        <v>4.1265097131073629</v>
      </c>
    </row>
    <row r="122" spans="4:35" x14ac:dyDescent="0.2">
      <c r="D122">
        <f>[13]Quantity_shares!BB348</f>
        <v>2003</v>
      </c>
      <c r="E122" t="str">
        <f>[13]Quantity_shares!BC348</f>
        <v>323</v>
      </c>
      <c r="F122" s="26">
        <f>[13]Quantity_shares!BD348</f>
        <v>0.94884713144517041</v>
      </c>
      <c r="G122" s="26">
        <f>[13]Quantity_shares!BE348</f>
        <v>1.293572984749455E-2</v>
      </c>
      <c r="H122" s="26">
        <f>[13]Quantity_shares!BF348</f>
        <v>2.155954974582425E-16</v>
      </c>
      <c r="I122" s="26">
        <f>[13]Quantity_shares!BG348</f>
        <v>3.8217138707334779E-2</v>
      </c>
      <c r="Q122" s="26">
        <f t="shared" ref="Q122:W122" si="29">0.75*Q101+0.25*Q185</f>
        <v>1.8722893432465925E-3</v>
      </c>
      <c r="R122" s="26">
        <f t="shared" si="29"/>
        <v>6.8695786864931847E-3</v>
      </c>
      <c r="S122" s="26">
        <f t="shared" si="29"/>
        <v>0.96038568773234201</v>
      </c>
      <c r="T122" s="26">
        <f t="shared" si="29"/>
        <v>2.1820786864931847E-2</v>
      </c>
      <c r="U122" s="26">
        <f t="shared" si="29"/>
        <v>0</v>
      </c>
      <c r="V122" s="26">
        <f t="shared" si="29"/>
        <v>0</v>
      </c>
      <c r="W122" s="26">
        <f t="shared" si="29"/>
        <v>9.0516573729863686E-3</v>
      </c>
      <c r="X122" s="26">
        <f t="shared" si="22"/>
        <v>1</v>
      </c>
      <c r="Z122" s="4">
        <f>'[25]Predicted Residual Prices'!AS395</f>
        <v>5.4270159349132463</v>
      </c>
      <c r="AA122" s="4">
        <f>'[26]Predicted Distillate Prices'!AS395</f>
        <v>7.3869138858985313</v>
      </c>
      <c r="AB122" s="4">
        <f>'[27]Predicted Gas Prices'!AR395</f>
        <v>6.6757290742796576</v>
      </c>
      <c r="AC122" s="4">
        <f>'[28]Predicted LPG Prices'!AS395</f>
        <v>10.617599250815299</v>
      </c>
      <c r="AD122" s="4">
        <f>'[29]Predicted Coal Prices'!AS395</f>
        <v>2.1699902877395667</v>
      </c>
      <c r="AE122" s="4">
        <f>'[30]Predicted Coke Prices'!AS353</f>
        <v>0</v>
      </c>
      <c r="AF122" s="4">
        <f>'[31]Predicted Other Prices'!AT353</f>
        <v>2.9061449827088497</v>
      </c>
      <c r="AH122" s="115">
        <f t="shared" si="14"/>
        <v>6.7301703873359608</v>
      </c>
      <c r="AI122" s="4">
        <f>'[32]Quantity Shares_1998 forward'!AH122</f>
        <v>6.7267859867184292</v>
      </c>
    </row>
    <row r="123" spans="4:35" x14ac:dyDescent="0.2">
      <c r="D123">
        <f>[13]Quantity_shares!BB349</f>
        <v>2003</v>
      </c>
      <c r="E123" t="str">
        <f>[13]Quantity_shares!BC349</f>
        <v>324</v>
      </c>
      <c r="F123" s="26">
        <f>[13]Quantity_shares!BD349</f>
        <v>0.27925370342660483</v>
      </c>
      <c r="G123" s="26">
        <f>[13]Quantity_shares!BE349</f>
        <v>1.6365030674846626E-2</v>
      </c>
      <c r="H123" s="26">
        <f>[13]Quantity_shares!BF349</f>
        <v>7.2351488852311838E-3</v>
      </c>
      <c r="I123" s="26">
        <f>[13]Quantity_shares!BG349</f>
        <v>0.69714611701331741</v>
      </c>
      <c r="Q123" s="26">
        <f t="shared" ref="Q123:W123" si="30">0.75*Q102+0.25*Q186</f>
        <v>1.6917196387124078E-2</v>
      </c>
      <c r="R123" s="26">
        <f t="shared" si="30"/>
        <v>1.2176612549599961E-2</v>
      </c>
      <c r="S123" s="26">
        <f t="shared" si="30"/>
        <v>0.73784977311846489</v>
      </c>
      <c r="T123" s="26">
        <f t="shared" si="30"/>
        <v>7.4946165077853467E-3</v>
      </c>
      <c r="U123" s="26">
        <f t="shared" si="30"/>
        <v>1.8796034712982877E-2</v>
      </c>
      <c r="V123" s="26">
        <f t="shared" si="30"/>
        <v>8.4680609435769491E-5</v>
      </c>
      <c r="W123" s="26">
        <f t="shared" si="30"/>
        <v>0.20668108611460712</v>
      </c>
      <c r="X123" s="26">
        <f t="shared" si="22"/>
        <v>1</v>
      </c>
      <c r="Z123" s="4">
        <f>'[25]Predicted Residual Prices'!AS396</f>
        <v>3.2573471147259023</v>
      </c>
      <c r="AA123" s="4">
        <f>'[26]Predicted Distillate Prices'!AS396</f>
        <v>6.9413225901486992</v>
      </c>
      <c r="AB123" s="4">
        <f>'[27]Predicted Gas Prices'!AR396</f>
        <v>4.9924936376976206</v>
      </c>
      <c r="AC123" s="4">
        <f>'[28]Predicted LPG Prices'!AS396</f>
        <v>9.0683188077530144</v>
      </c>
      <c r="AD123" s="4">
        <f>'[29]Predicted Coal Prices'!AS396</f>
        <v>2.1964528443760125</v>
      </c>
      <c r="AE123" s="4">
        <f>'[30]Predicted Coke Prices'!AS354</f>
        <v>0</v>
      </c>
      <c r="AF123" s="4">
        <f>'[31]Predicted Other Prices'!AT354</f>
        <v>3.7489943221974378</v>
      </c>
      <c r="AH123" s="115">
        <f t="shared" si="14"/>
        <v>4.7074316685654747</v>
      </c>
      <c r="AI123" s="4">
        <f>'[32]Quantity Shares_1998 forward'!AH123</f>
        <v>4.6772768348988505</v>
      </c>
    </row>
    <row r="124" spans="4:35" x14ac:dyDescent="0.2">
      <c r="D124">
        <f>[13]Quantity_shares!BB350</f>
        <v>2003</v>
      </c>
      <c r="E124" t="str">
        <f>[13]Quantity_shares!BC350</f>
        <v>325</v>
      </c>
      <c r="F124" s="26">
        <f>[13]Quantity_shares!BD350</f>
        <v>0.51813001975544515</v>
      </c>
      <c r="G124" s="26">
        <f>[13]Quantity_shares!BE350</f>
        <v>1.6166594965470578E-2</v>
      </c>
      <c r="H124" s="26">
        <f>[13]Quantity_shares!BF350</f>
        <v>8.8191377247936145E-2</v>
      </c>
      <c r="I124" s="26">
        <f>[13]Quantity_shares!BG350</f>
        <v>0.37751200803114804</v>
      </c>
      <c r="Q124" s="26">
        <f t="shared" ref="Q124:W124" si="31">0.75*Q103+0.25*Q187</f>
        <v>1.497036152778991E-2</v>
      </c>
      <c r="R124" s="26">
        <f t="shared" si="31"/>
        <v>4.6431348053750428E-3</v>
      </c>
      <c r="S124" s="26">
        <f t="shared" si="31"/>
        <v>0.63797243600389963</v>
      </c>
      <c r="T124" s="26">
        <f t="shared" si="31"/>
        <v>1.0007689149937599E-2</v>
      </c>
      <c r="U124" s="26">
        <f t="shared" si="31"/>
        <v>0.10921166119902184</v>
      </c>
      <c r="V124" s="26">
        <f t="shared" si="31"/>
        <v>2.9944003057064692E-4</v>
      </c>
      <c r="W124" s="26">
        <f t="shared" si="31"/>
        <v>0.22289527728340533</v>
      </c>
      <c r="X124" s="26">
        <f t="shared" si="22"/>
        <v>1</v>
      </c>
      <c r="Z124" s="4">
        <f>'[25]Predicted Residual Prices'!AS397</f>
        <v>4.4280085657170734</v>
      </c>
      <c r="AA124" s="4">
        <f>'[26]Predicted Distillate Prices'!AS397</f>
        <v>6.7985686432213868</v>
      </c>
      <c r="AB124" s="4">
        <f>'[27]Predicted Gas Prices'!AR397</f>
        <v>5.0939205820964073</v>
      </c>
      <c r="AC124" s="4">
        <f>'[28]Predicted LPG Prices'!AS397</f>
        <v>6.8753388602838754</v>
      </c>
      <c r="AD124" s="4">
        <f>'[29]Predicted Coal Prices'!AS397</f>
        <v>1.9904238196706978</v>
      </c>
      <c r="AE124" s="4">
        <f>'[30]Predicted Coke Prices'!AS355</f>
        <v>5.2568426859148927</v>
      </c>
      <c r="AF124" s="4">
        <f>'[31]Predicted Other Prices'!AT355</f>
        <v>4.1453663971882628</v>
      </c>
      <c r="AH124" s="115">
        <f t="shared" si="14"/>
        <v>4.559376929969166</v>
      </c>
      <c r="AI124" s="4">
        <f>'[32]Quantity Shares_1998 forward'!AH124</f>
        <v>4.5587237764371071</v>
      </c>
    </row>
    <row r="125" spans="4:35" x14ac:dyDescent="0.2">
      <c r="D125">
        <f>[13]Quantity_shares!BB351</f>
        <v>2003</v>
      </c>
      <c r="E125" t="str">
        <f>[13]Quantity_shares!BC351</f>
        <v>326</v>
      </c>
      <c r="F125" s="26">
        <f>[13]Quantity_shares!BD351</f>
        <v>0.84035562394256869</v>
      </c>
      <c r="G125" s="26">
        <f>[13]Quantity_shares!BE351</f>
        <v>6.4094537587326833E-2</v>
      </c>
      <c r="H125" s="26">
        <f>[13]Quantity_shares!BF351</f>
        <v>4.732881875777744E-2</v>
      </c>
      <c r="I125" s="26">
        <f>[13]Quantity_shares!BG351</f>
        <v>4.8221019712327048E-2</v>
      </c>
      <c r="Q125" s="26">
        <f t="shared" ref="Q125:W125" si="32">0.75*Q104+0.25*Q188</f>
        <v>4.642857142857143E-2</v>
      </c>
      <c r="R125" s="26">
        <f t="shared" si="32"/>
        <v>1.396103896103896E-2</v>
      </c>
      <c r="S125" s="26">
        <f t="shared" si="32"/>
        <v>0.78798701298701301</v>
      </c>
      <c r="T125" s="26">
        <f t="shared" si="32"/>
        <v>2.1753246753246754E-2</v>
      </c>
      <c r="U125" s="26">
        <f t="shared" si="32"/>
        <v>0.10519480519480519</v>
      </c>
      <c r="V125" s="26">
        <f t="shared" si="32"/>
        <v>0</v>
      </c>
      <c r="W125" s="26">
        <f t="shared" si="32"/>
        <v>2.4675324675324677E-2</v>
      </c>
      <c r="X125" s="26">
        <f t="shared" si="22"/>
        <v>1</v>
      </c>
      <c r="Z125" s="4">
        <f>'[25]Predicted Residual Prices'!AS398</f>
        <v>4.8877304329052702</v>
      </c>
      <c r="AA125" s="4">
        <f>'[26]Predicted Distillate Prices'!AS398</f>
        <v>7.3444458779833619</v>
      </c>
      <c r="AB125" s="4">
        <f>'[27]Predicted Gas Prices'!AR398</f>
        <v>6.3773113125759924</v>
      </c>
      <c r="AC125" s="4">
        <f>'[28]Predicted LPG Prices'!AS398</f>
        <v>9.7347614359147912</v>
      </c>
      <c r="AD125" s="4">
        <f>'[29]Predicted Coal Prices'!AS398</f>
        <v>2.0802717135251934</v>
      </c>
      <c r="AE125" s="4">
        <f>'[30]Predicted Coke Prices'!AS356</f>
        <v>0</v>
      </c>
      <c r="AF125" s="4">
        <f>'[31]Predicted Other Prices'!AT356</f>
        <v>4.740574821742781</v>
      </c>
      <c r="AH125" s="115">
        <f t="shared" si="14"/>
        <v>5.9022765967927207</v>
      </c>
      <c r="AI125" s="4">
        <f>'[32]Quantity Shares_1998 forward'!AH125</f>
        <v>5.9104036464746894</v>
      </c>
    </row>
    <row r="126" spans="4:35" x14ac:dyDescent="0.2">
      <c r="D126">
        <f>[13]Quantity_shares!BB352</f>
        <v>2003</v>
      </c>
      <c r="E126" t="str">
        <f>[13]Quantity_shares!BC352</f>
        <v>327</v>
      </c>
      <c r="F126" s="26">
        <f>[13]Quantity_shares!BD352</f>
        <v>0.46637793931282928</v>
      </c>
      <c r="G126" s="26">
        <f>[13]Quantity_shares!BE352</f>
        <v>3.6602909464237832E-2</v>
      </c>
      <c r="H126" s="26">
        <f>[13]Quantity_shares!BF352</f>
        <v>0.34982463236389383</v>
      </c>
      <c r="I126" s="26">
        <f>[13]Quantity_shares!BG352</f>
        <v>0.147194518859039</v>
      </c>
      <c r="Q126" s="26">
        <f t="shared" ref="Q126:W126" si="33">0.75*Q105+0.25*Q189</f>
        <v>3.5367747689563443E-3</v>
      </c>
      <c r="R126" s="26">
        <f t="shared" si="33"/>
        <v>3.6284618105211358E-2</v>
      </c>
      <c r="S126" s="26">
        <f t="shared" si="33"/>
        <v>0.5062854638556995</v>
      </c>
      <c r="T126" s="26">
        <f t="shared" si="33"/>
        <v>4.0608837836313963E-3</v>
      </c>
      <c r="U126" s="26">
        <f t="shared" si="33"/>
        <v>0.36717040078321622</v>
      </c>
      <c r="V126" s="26">
        <f t="shared" si="33"/>
        <v>1.2968174152839927E-2</v>
      </c>
      <c r="W126" s="26">
        <f t="shared" si="33"/>
        <v>6.9693684550445167E-2</v>
      </c>
      <c r="X126" s="26">
        <f t="shared" si="22"/>
        <v>0.99999999999999978</v>
      </c>
      <c r="Z126" s="4">
        <f>'[25]Predicted Residual Prices'!AS399</f>
        <v>4.9287480335526501</v>
      </c>
      <c r="AA126" s="4">
        <f>'[26]Predicted Distillate Prices'!AS399</f>
        <v>9.1788541033105595</v>
      </c>
      <c r="AB126" s="4">
        <f>'[27]Predicted Gas Prices'!AR399</f>
        <v>5.6757467534949191</v>
      </c>
      <c r="AC126" s="4">
        <f>'[28]Predicted LPG Prices'!AS399</f>
        <v>8.7786018688493357</v>
      </c>
      <c r="AD126" s="4">
        <f>'[29]Predicted Coal Prices'!AS399</f>
        <v>1.809851716073088</v>
      </c>
      <c r="AE126" s="4">
        <f>'[30]Predicted Coke Prices'!AS357</f>
        <v>1.782770559999463</v>
      </c>
      <c r="AF126" s="4">
        <f>'[31]Predicted Other Prices'!AT357</f>
        <v>1.2322935177553993</v>
      </c>
      <c r="AH126" s="115">
        <f t="shared" si="14"/>
        <v>4.0332063820078901</v>
      </c>
      <c r="AI126" s="4">
        <f>'[32]Quantity Shares_1998 forward'!AH126</f>
        <v>4.2425270416811367</v>
      </c>
    </row>
    <row r="127" spans="4:35" x14ac:dyDescent="0.2">
      <c r="D127">
        <f>[13]Quantity_shares!BB353</f>
        <v>2003</v>
      </c>
      <c r="E127" t="str">
        <f>[13]Quantity_shares!BC353</f>
        <v>331</v>
      </c>
      <c r="F127" s="26">
        <f>[13]Quantity_shares!BD353</f>
        <v>0.42154681372782871</v>
      </c>
      <c r="G127" s="26">
        <f>[13]Quantity_shares!BE353</f>
        <v>1.2221994294383117E-2</v>
      </c>
      <c r="H127" s="26">
        <f>[13]Quantity_shares!BF353</f>
        <v>0.34994609241572761</v>
      </c>
      <c r="I127" s="26">
        <f>[13]Quantity_shares!BG353</f>
        <v>0.21628509956206052</v>
      </c>
      <c r="Q127" s="26">
        <f t="shared" ref="Q127:W127" si="34">0.75*Q106+0.25*Q190</f>
        <v>6.0223486502660652E-3</v>
      </c>
      <c r="R127" s="26">
        <f t="shared" si="34"/>
        <v>1.1787932456693677E-2</v>
      </c>
      <c r="S127" s="26">
        <f t="shared" si="34"/>
        <v>0.61509989567664614</v>
      </c>
      <c r="T127" s="26">
        <f t="shared" si="34"/>
        <v>3.1458747796270234E-3</v>
      </c>
      <c r="U127" s="26">
        <f t="shared" si="34"/>
        <v>3.7554891067009565E-2</v>
      </c>
      <c r="V127" s="26">
        <f t="shared" si="34"/>
        <v>0.28549268523460625</v>
      </c>
      <c r="W127" s="26">
        <f t="shared" si="34"/>
        <v>4.0896372135151307E-2</v>
      </c>
      <c r="X127" s="26">
        <f t="shared" si="22"/>
        <v>1</v>
      </c>
      <c r="Z127" s="4">
        <f>'[25]Predicted Residual Prices'!AS400</f>
        <v>4.3222980924556351</v>
      </c>
      <c r="AA127" s="4">
        <f>'[26]Predicted Distillate Prices'!AS400</f>
        <v>5.7203208515228194</v>
      </c>
      <c r="AB127" s="4">
        <f>'[27]Predicted Gas Prices'!AR400</f>
        <v>5.1364779819632655</v>
      </c>
      <c r="AC127" s="4">
        <f>'[28]Predicted LPG Prices'!AS400</f>
        <v>8.3099825118684745</v>
      </c>
      <c r="AD127" s="4">
        <f>'[29]Predicted Coal Prices'!AS400</f>
        <v>2.1105578506106188</v>
      </c>
      <c r="AE127" s="4">
        <f>'[30]Predicted Coke Prices'!AS358</f>
        <v>4.7865092286080602</v>
      </c>
      <c r="AF127" s="4">
        <f>'[31]Predicted Other Prices'!AT358</f>
        <v>2.065229884769666</v>
      </c>
      <c r="AH127" s="115">
        <f t="shared" si="14"/>
        <v>4.8092859298237576</v>
      </c>
      <c r="AI127" s="4">
        <f>'[32]Quantity Shares_1998 forward'!AH127</f>
        <v>5.1100281394029654</v>
      </c>
    </row>
    <row r="128" spans="4:35" x14ac:dyDescent="0.2">
      <c r="D128">
        <f>[13]Quantity_shares!BB354</f>
        <v>2003</v>
      </c>
      <c r="E128" t="str">
        <f>[13]Quantity_shares!BC354</f>
        <v>332</v>
      </c>
      <c r="F128" s="26">
        <f>[13]Quantity_shares!BD354</f>
        <v>0.93119883736946141</v>
      </c>
      <c r="G128" s="26">
        <f>[13]Quantity_shares!BE354</f>
        <v>2.9573830991953633E-2</v>
      </c>
      <c r="H128" s="26">
        <f>[13]Quantity_shares!BF354</f>
        <v>5.0569065230628967E-3</v>
      </c>
      <c r="I128" s="26">
        <f>[13]Quantity_shares!BG354</f>
        <v>3.4170425115522138E-2</v>
      </c>
      <c r="Q128" s="26">
        <f t="shared" ref="Q128:W128" si="35">0.75*Q107+0.25*Q191</f>
        <v>3.7990142626597467E-3</v>
      </c>
      <c r="R128" s="26">
        <f t="shared" si="35"/>
        <v>2.180398656605749E-2</v>
      </c>
      <c r="S128" s="26">
        <f t="shared" si="35"/>
        <v>0.92815239673747119</v>
      </c>
      <c r="T128" s="26">
        <f t="shared" si="35"/>
        <v>1.3872290312731714E-2</v>
      </c>
      <c r="U128" s="26">
        <f t="shared" si="35"/>
        <v>3.3039647577092516E-3</v>
      </c>
      <c r="V128" s="26">
        <f t="shared" si="35"/>
        <v>1.9490120818249225E-2</v>
      </c>
      <c r="W128" s="26">
        <f t="shared" si="35"/>
        <v>9.5782265451214745E-3</v>
      </c>
      <c r="X128" s="26">
        <f t="shared" si="22"/>
        <v>1</v>
      </c>
      <c r="Z128" s="4">
        <f>'[25]Predicted Residual Prices'!AS401</f>
        <v>4.8440738086867903</v>
      </c>
      <c r="AA128" s="4">
        <f>'[26]Predicted Distillate Prices'!AS401</f>
        <v>8.900899464804823</v>
      </c>
      <c r="AB128" s="4">
        <f>'[27]Predicted Gas Prices'!AR401</f>
        <v>6.6343050582111953</v>
      </c>
      <c r="AC128" s="4">
        <f>'[28]Predicted LPG Prices'!AS401</f>
        <v>10.633909684123113</v>
      </c>
      <c r="AD128" s="4">
        <f>'[29]Predicted Coal Prices'!AS401</f>
        <v>4.4957762169447539</v>
      </c>
      <c r="AE128" s="4">
        <f>'[30]Predicted Coke Prices'!AS359</f>
        <v>4.6872246306947103</v>
      </c>
      <c r="AF128" s="4">
        <f>'[31]Predicted Other Prices'!AT359</f>
        <v>13.52481311944512</v>
      </c>
      <c r="AH128" s="115">
        <f t="shared" si="14"/>
        <v>6.7533928051811065</v>
      </c>
      <c r="AI128" s="4">
        <f>'[32]Quantity Shares_1998 forward'!AH128</f>
        <v>7.0726126467283441</v>
      </c>
    </row>
    <row r="129" spans="4:35" x14ac:dyDescent="0.2">
      <c r="D129">
        <f>[13]Quantity_shares!BB355</f>
        <v>2003</v>
      </c>
      <c r="E129" t="str">
        <f>[13]Quantity_shares!BC355</f>
        <v>333</v>
      </c>
      <c r="F129" s="26">
        <f>[13]Quantity_shares!BD355</f>
        <v>0.88356046230809038</v>
      </c>
      <c r="G129" s="26">
        <f>[13]Quantity_shares!BE355</f>
        <v>3.613938243919268E-2</v>
      </c>
      <c r="H129" s="26">
        <f>[13]Quantity_shares!BF355</f>
        <v>1.0709562417342302E-2</v>
      </c>
      <c r="I129" s="26">
        <f>[13]Quantity_shares!BG355</f>
        <v>6.9590592835374609E-2</v>
      </c>
      <c r="Q129" s="26">
        <f t="shared" ref="Q129:W129" si="36">0.75*Q108+0.25*Q192</f>
        <v>3.5114431736364389E-3</v>
      </c>
      <c r="R129" s="26">
        <f t="shared" si="36"/>
        <v>2.1841766698535228E-2</v>
      </c>
      <c r="S129" s="26">
        <f t="shared" si="36"/>
        <v>0.90088877872596584</v>
      </c>
      <c r="T129" s="26">
        <f t="shared" si="36"/>
        <v>2.4529938741545979E-2</v>
      </c>
      <c r="U129" s="26">
        <f t="shared" si="36"/>
        <v>1.0920883349267614E-2</v>
      </c>
      <c r="V129" s="26">
        <f t="shared" si="36"/>
        <v>0</v>
      </c>
      <c r="W129" s="26">
        <f t="shared" si="36"/>
        <v>3.8307189311048949E-2</v>
      </c>
      <c r="X129" s="26">
        <f t="shared" si="22"/>
        <v>1.0000000000000002</v>
      </c>
      <c r="Z129" s="4">
        <f>'[25]Predicted Residual Prices'!AS402</f>
        <v>4.7955463812983137</v>
      </c>
      <c r="AA129" s="4">
        <f>'[26]Predicted Distillate Prices'!AS402</f>
        <v>9.6153964149472593</v>
      </c>
      <c r="AB129" s="4">
        <f>'[27]Predicted Gas Prices'!AR402</f>
        <v>7.3154310858315963</v>
      </c>
      <c r="AC129" s="4">
        <f>'[28]Predicted LPG Prices'!AS402</f>
        <v>9.3577587919638674</v>
      </c>
      <c r="AD129" s="4">
        <f>'[29]Predicted Coal Prices'!AS402</f>
        <v>1.599223271290007</v>
      </c>
      <c r="AE129" s="4">
        <f>'[30]Predicted Coke Prices'!AS360</f>
        <v>0</v>
      </c>
      <c r="AF129" s="4">
        <f>'[31]Predicted Other Prices'!AT360</f>
        <v>7.8910091631133579</v>
      </c>
      <c r="AH129" s="115">
        <f t="shared" si="14"/>
        <v>7.3665388731693042</v>
      </c>
      <c r="AI129" s="4">
        <f>'[32]Quantity Shares_1998 forward'!AH129</f>
        <v>7.6411996130229269</v>
      </c>
    </row>
    <row r="130" spans="4:35" x14ac:dyDescent="0.2">
      <c r="D130">
        <f>[13]Quantity_shares!BB356</f>
        <v>2003</v>
      </c>
      <c r="E130" t="str">
        <f>[13]Quantity_shares!BC356</f>
        <v>334</v>
      </c>
      <c r="F130" s="26">
        <f>[13]Quantity_shares!BD356</f>
        <v>0.92684659090909083</v>
      </c>
      <c r="G130" s="26">
        <f>[13]Quantity_shares!BE356</f>
        <v>2.911931818181818E-2</v>
      </c>
      <c r="H130" s="26">
        <f>[13]Quantity_shares!BF356</f>
        <v>2.6515151515151512E-3</v>
      </c>
      <c r="I130" s="26">
        <f>[13]Quantity_shares!BG356</f>
        <v>4.1382575757575757E-2</v>
      </c>
      <c r="Q130" s="26">
        <f t="shared" ref="Q130:W130" si="37">0.75*Q109+0.25*Q193</f>
        <v>1.1367811305966494E-2</v>
      </c>
      <c r="R130" s="26">
        <f t="shared" si="37"/>
        <v>1.6134760458508868E-2</v>
      </c>
      <c r="S130" s="26">
        <f t="shared" si="37"/>
        <v>0.94282722641324579</v>
      </c>
      <c r="T130" s="26">
        <f t="shared" si="37"/>
        <v>1.6134760458508864E-3</v>
      </c>
      <c r="U130" s="26">
        <f t="shared" si="37"/>
        <v>1.083815028901734E-3</v>
      </c>
      <c r="V130" s="26">
        <f t="shared" si="37"/>
        <v>0</v>
      </c>
      <c r="W130" s="26">
        <f t="shared" si="37"/>
        <v>2.6972910747526207E-2</v>
      </c>
      <c r="X130" s="26">
        <f t="shared" si="22"/>
        <v>1</v>
      </c>
      <c r="Z130" s="4">
        <f>'[25]Predicted Residual Prices'!AS403</f>
        <v>5.4766196148652035</v>
      </c>
      <c r="AA130" s="4">
        <f>'[26]Predicted Distillate Prices'!AS403</f>
        <v>7.6311172053573593</v>
      </c>
      <c r="AB130" s="4">
        <f>'[27]Predicted Gas Prices'!AR403</f>
        <v>6.6635800438970669</v>
      </c>
      <c r="AC130" s="4">
        <f>'[28]Predicted LPG Prices'!AS403</f>
        <v>10.466939044645015</v>
      </c>
      <c r="AD130" s="4">
        <f>'[29]Predicted Coal Prices'!AS403</f>
        <v>3.083078088745328</v>
      </c>
      <c r="AE130" s="4">
        <f>'[30]Predicted Coke Prices'!AS361</f>
        <v>0</v>
      </c>
      <c r="AF130" s="4">
        <f>'[31]Predicted Other Prices'!AT361</f>
        <v>4.9429371150514969</v>
      </c>
      <c r="AH130" s="115">
        <f t="shared" si="14"/>
        <v>6.6215431607104094</v>
      </c>
      <c r="AI130" s="4">
        <f>'[32]Quantity Shares_1998 forward'!AH130</f>
        <v>6.2180425537284778</v>
      </c>
    </row>
    <row r="131" spans="4:35" x14ac:dyDescent="0.2">
      <c r="D131">
        <f>[13]Quantity_shares!BB357</f>
        <v>2003</v>
      </c>
      <c r="E131" t="str">
        <f>[13]Quantity_shares!BC357</f>
        <v>335</v>
      </c>
      <c r="F131" s="26">
        <f>[13]Quantity_shares!BD357</f>
        <v>0.93531457887708669</v>
      </c>
      <c r="G131" s="26">
        <f>[13]Quantity_shares!BE357</f>
        <v>2.3813099437041605E-2</v>
      </c>
      <c r="H131" s="26">
        <f>[13]Quantity_shares!BF357</f>
        <v>6.4271421439501255E-3</v>
      </c>
      <c r="I131" s="26">
        <f>[13]Quantity_shares!BG357</f>
        <v>3.4445179541921528E-2</v>
      </c>
      <c r="Q131" s="26">
        <f t="shared" ref="Q131:W131" si="38">0.75*Q110+0.25*Q194</f>
        <v>1.3345195729537367E-3</v>
      </c>
      <c r="R131" s="26">
        <f t="shared" si="38"/>
        <v>1.9118867784964619E-2</v>
      </c>
      <c r="S131" s="26">
        <f t="shared" si="38"/>
        <v>0.94401592793799771</v>
      </c>
      <c r="T131" s="26">
        <f t="shared" si="38"/>
        <v>1.9118867784964619E-2</v>
      </c>
      <c r="U131" s="26">
        <f t="shared" si="38"/>
        <v>1.3345195729537367E-3</v>
      </c>
      <c r="V131" s="26">
        <f t="shared" si="38"/>
        <v>0</v>
      </c>
      <c r="W131" s="26">
        <f t="shared" si="38"/>
        <v>1.5077297346165541E-2</v>
      </c>
      <c r="X131" s="26">
        <f t="shared" si="22"/>
        <v>1</v>
      </c>
      <c r="Z131" s="4">
        <f>'[25]Predicted Residual Prices'!AS404</f>
        <v>4.7506617098591386</v>
      </c>
      <c r="AA131" s="4">
        <f>'[26]Predicted Distillate Prices'!AS404</f>
        <v>6.0347059559143164</v>
      </c>
      <c r="AB131" s="4">
        <f>'[27]Predicted Gas Prices'!AR404</f>
        <v>6.4715368874614017</v>
      </c>
      <c r="AC131" s="4">
        <f>'[28]Predicted LPG Prices'!AS404</f>
        <v>12.002228775222305</v>
      </c>
      <c r="AD131" s="4">
        <f>'[29]Predicted Coal Prices'!AS404</f>
        <v>2.5100405210896839</v>
      </c>
      <c r="AE131" s="4">
        <f>'[30]Predicted Coke Prices'!AS362</f>
        <v>0</v>
      </c>
      <c r="AF131" s="4">
        <f>'[31]Predicted Other Prices'!AT362</f>
        <v>3.1273882268031628</v>
      </c>
      <c r="AH131" s="115">
        <f t="shared" si="14"/>
        <v>6.510921781825493</v>
      </c>
      <c r="AI131" s="4">
        <f>'[32]Quantity Shares_1998 forward'!AH131</f>
        <v>7.1435252697699685</v>
      </c>
    </row>
    <row r="132" spans="4:35" x14ac:dyDescent="0.2">
      <c r="D132">
        <f>[13]Quantity_shares!BB358</f>
        <v>2003</v>
      </c>
      <c r="E132" t="str">
        <f>[13]Quantity_shares!BC358</f>
        <v>336</v>
      </c>
      <c r="F132" s="26">
        <f>[13]Quantity_shares!BD358</f>
        <v>0.81500188587479783</v>
      </c>
      <c r="G132" s="26">
        <f>[13]Quantity_shares!BE358</f>
        <v>3.8151743441622248E-2</v>
      </c>
      <c r="H132" s="26">
        <f>[13]Quantity_shares!BF358</f>
        <v>2.7878688622219573E-2</v>
      </c>
      <c r="I132" s="26">
        <f>[13]Quantity_shares!BG358</f>
        <v>0.11896768206136042</v>
      </c>
      <c r="Q132" s="26">
        <f t="shared" ref="Q132:W132" si="39">0.75*Q111+0.25*Q195</f>
        <v>2.4156044859707078E-2</v>
      </c>
      <c r="R132" s="26">
        <f t="shared" si="39"/>
        <v>1.1633182572202293E-2</v>
      </c>
      <c r="S132" s="26">
        <f t="shared" si="39"/>
        <v>0.82810395428960304</v>
      </c>
      <c r="T132" s="26">
        <f t="shared" si="39"/>
        <v>1.5510910096269724E-2</v>
      </c>
      <c r="U132" s="26">
        <f t="shared" si="39"/>
        <v>2.8352781046631977E-2</v>
      </c>
      <c r="V132" s="26">
        <f t="shared" si="39"/>
        <v>8.8967971530249117E-5</v>
      </c>
      <c r="W132" s="26">
        <f t="shared" si="39"/>
        <v>9.2243127135585773E-2</v>
      </c>
      <c r="X132" s="26">
        <f t="shared" si="22"/>
        <v>1.0000889679715301</v>
      </c>
      <c r="Z132" s="4">
        <f>'[25]Predicted Residual Prices'!AS405</f>
        <v>4.681260745502847</v>
      </c>
      <c r="AA132" s="4">
        <f>'[26]Predicted Distillate Prices'!AS405</f>
        <v>8.893229049597597</v>
      </c>
      <c r="AB132" s="4">
        <f>'[27]Predicted Gas Prices'!AR405</f>
        <v>5.9067937930154573</v>
      </c>
      <c r="AC132" s="4">
        <f>'[28]Predicted LPG Prices'!AS405</f>
        <v>7.7505909643445969</v>
      </c>
      <c r="AD132" s="4">
        <f>'[29]Predicted Coal Prices'!AS405</f>
        <v>2.2611218484491817</v>
      </c>
      <c r="AE132" s="4">
        <f>'[30]Predicted Coke Prices'!AS363</f>
        <v>0</v>
      </c>
      <c r="AF132" s="4">
        <f>'[31]Predicted Other Prices'!AT363</f>
        <v>4.0726992491779805</v>
      </c>
      <c r="AH132" s="115">
        <f t="shared" si="14"/>
        <v>5.6679829258847922</v>
      </c>
      <c r="AI132" s="4">
        <f>'[32]Quantity Shares_1998 forward'!AH132</f>
        <v>5.6844676408691175</v>
      </c>
    </row>
    <row r="133" spans="4:35" x14ac:dyDescent="0.2">
      <c r="D133">
        <f>[13]Quantity_shares!BB359</f>
        <v>2003</v>
      </c>
      <c r="E133" t="str">
        <f>[13]Quantity_shares!BC359</f>
        <v>337</v>
      </c>
      <c r="F133" s="26">
        <f>[13]Quantity_shares!BD359</f>
        <v>0.62300141129392428</v>
      </c>
      <c r="G133" s="26">
        <f>[13]Quantity_shares!BE359</f>
        <v>2.8875698947782118E-2</v>
      </c>
      <c r="H133" s="26">
        <f>[13]Quantity_shares!BF359</f>
        <v>5.0500652053521985E-2</v>
      </c>
      <c r="I133" s="26">
        <f>[13]Quantity_shares!BG359</f>
        <v>0.29762223770477159</v>
      </c>
      <c r="Q133" s="26">
        <f t="shared" ref="Q133:W133" si="40">0.75*Q112+0.25*Q196</f>
        <v>1.4537234433580827E-2</v>
      </c>
      <c r="R133" s="26">
        <f t="shared" si="40"/>
        <v>2.5711240167610085E-2</v>
      </c>
      <c r="S133" s="26">
        <f t="shared" si="40"/>
        <v>0.80533705800191135</v>
      </c>
      <c r="T133" s="26">
        <f t="shared" si="40"/>
        <v>3.5800926266264792E-2</v>
      </c>
      <c r="U133" s="26">
        <f t="shared" si="40"/>
        <v>5.8222450929941924E-2</v>
      </c>
      <c r="V133" s="26">
        <f t="shared" si="40"/>
        <v>0</v>
      </c>
      <c r="W133" s="26">
        <f t="shared" si="40"/>
        <v>6.0391090200691021E-2</v>
      </c>
      <c r="X133" s="26">
        <f t="shared" si="22"/>
        <v>1</v>
      </c>
      <c r="Z133" s="4">
        <f>'[25]Predicted Residual Prices'!AS406</f>
        <v>4.4919525850899413</v>
      </c>
      <c r="AA133" s="4">
        <f>'[26]Predicted Distillate Prices'!AS406</f>
        <v>8.4208805019404114</v>
      </c>
      <c r="AB133" s="4">
        <f>'[27]Predicted Gas Prices'!AR406</f>
        <v>7.6630010028188966</v>
      </c>
      <c r="AC133" s="4">
        <f>'[28]Predicted LPG Prices'!AS406</f>
        <v>9.7181985269079778</v>
      </c>
      <c r="AD133" s="4">
        <f>'[29]Predicted Coal Prices'!AS406</f>
        <v>2.2964623661211863</v>
      </c>
      <c r="AE133" s="4">
        <f>'[30]Predicted Coke Prices'!AS364</f>
        <v>0</v>
      </c>
      <c r="AF133" s="4">
        <f>'[31]Predicted Other Prices'!AT364</f>
        <v>2.2686159338467213</v>
      </c>
      <c r="AH133" s="115">
        <f t="shared" si="14"/>
        <v>7.0717408976963503</v>
      </c>
      <c r="AI133" s="4">
        <f>'[32]Quantity Shares_1998 forward'!AH133</f>
        <v>7.1033903945587751</v>
      </c>
    </row>
    <row r="134" spans="4:35" x14ac:dyDescent="0.2">
      <c r="D134">
        <f>[13]Quantity_shares!BB360</f>
        <v>2003</v>
      </c>
      <c r="E134" t="str">
        <f>[13]Quantity_shares!BC360</f>
        <v>339</v>
      </c>
      <c r="F134" s="26">
        <f>[13]Quantity_shares!BD360</f>
        <v>0.85838445807770947</v>
      </c>
      <c r="G134" s="26">
        <f>[13]Quantity_shares!BE360</f>
        <v>4.7673824130879339E-2</v>
      </c>
      <c r="H134" s="26">
        <f>[13]Quantity_shares!BF360</f>
        <v>7.6687116564438018E-4</v>
      </c>
      <c r="I134" s="26">
        <f>[13]Quantity_shares!BG360</f>
        <v>9.3174846625766861E-2</v>
      </c>
      <c r="Q134" s="26">
        <f t="shared" ref="Q134:W134" si="41">0.75*Q113+0.25*Q197</f>
        <v>2.9647435897435896E-2</v>
      </c>
      <c r="R134" s="26">
        <f t="shared" si="41"/>
        <v>1.8108974358974357E-2</v>
      </c>
      <c r="S134" s="26">
        <f t="shared" si="41"/>
        <v>0.85897435897435892</v>
      </c>
      <c r="T134" s="26">
        <f t="shared" si="41"/>
        <v>2.8525641025641025E-2</v>
      </c>
      <c r="U134" s="26">
        <f t="shared" si="41"/>
        <v>0</v>
      </c>
      <c r="V134" s="26">
        <f t="shared" si="41"/>
        <v>0</v>
      </c>
      <c r="W134" s="26">
        <f t="shared" si="41"/>
        <v>6.4743589743589736E-2</v>
      </c>
      <c r="X134" s="26">
        <f t="shared" si="22"/>
        <v>0.99999999999999989</v>
      </c>
      <c r="Z134" s="4">
        <f>'[25]Predicted Residual Prices'!AS407</f>
        <v>4.7549323632753548</v>
      </c>
      <c r="AA134" s="4">
        <f>'[26]Predicted Distillate Prices'!AS407</f>
        <v>7.5090139412951782</v>
      </c>
      <c r="AB134" s="4">
        <f>'[27]Predicted Gas Prices'!AR407</f>
        <v>7.4078964376866985</v>
      </c>
      <c r="AC134" s="4">
        <f>'[28]Predicted LPG Prices'!AS407</f>
        <v>10.412855777658512</v>
      </c>
      <c r="AD134" s="4">
        <f>'[29]Predicted Coal Prices'!AS407</f>
        <v>2.0671663000769338</v>
      </c>
      <c r="AE134" s="4">
        <f>'[30]Predicted Coke Prices'!AS365</f>
        <v>0</v>
      </c>
      <c r="AF134" s="4">
        <f>'[31]Predicted Other Prices'!AT365</f>
        <v>2.2308223804883225</v>
      </c>
      <c r="AH134" s="115">
        <f t="shared" si="14"/>
        <v>7.0816100222297269</v>
      </c>
      <c r="AI134" s="4">
        <f>'[32]Quantity Shares_1998 forward'!AH134</f>
        <v>7.1167104784494803</v>
      </c>
    </row>
    <row r="135" spans="4:35" x14ac:dyDescent="0.2">
      <c r="D135">
        <f>[13]Quantity_shares!BB361</f>
        <v>2004</v>
      </c>
      <c r="E135" t="str">
        <f>[13]Quantity_shares!BC361</f>
        <v>311</v>
      </c>
      <c r="F135" s="26">
        <f>[13]Quantity_shares!BD361</f>
        <v>0.66406429183616811</v>
      </c>
      <c r="G135" s="26">
        <f>[13]Quantity_shares!BE361</f>
        <v>4.0518583793049331E-2</v>
      </c>
      <c r="H135" s="26">
        <f>[13]Quantity_shares!BF361</f>
        <v>0.18298185681003368</v>
      </c>
      <c r="I135" s="26">
        <f>[13]Quantity_shares!BG361</f>
        <v>0.1124352675607489</v>
      </c>
      <c r="P135">
        <v>2004</v>
      </c>
      <c r="Q135" s="26">
        <f t="shared" ref="Q135:W135" si="42">0.5*Q93+0.5*Q177</f>
        <v>2.2565323877413848E-2</v>
      </c>
      <c r="R135" s="26">
        <f t="shared" si="42"/>
        <v>2.0379859648838095E-2</v>
      </c>
      <c r="S135" s="26">
        <f t="shared" si="42"/>
        <v>0.70312172467748857</v>
      </c>
      <c r="T135" s="26">
        <f t="shared" si="42"/>
        <v>4.6698069191040137E-3</v>
      </c>
      <c r="U135" s="26">
        <f t="shared" si="42"/>
        <v>0.19281109393574247</v>
      </c>
      <c r="V135" s="26">
        <f t="shared" si="42"/>
        <v>1.1630564582767019E-3</v>
      </c>
      <c r="W135" s="26">
        <f t="shared" si="42"/>
        <v>5.5289134483136354E-2</v>
      </c>
      <c r="X135" s="26">
        <f t="shared" si="22"/>
        <v>1.0000000000000002</v>
      </c>
      <c r="Z135" s="4">
        <f>'[25]Predicted Residual Prices'!AS408</f>
        <v>5.1942383977647806</v>
      </c>
      <c r="AA135" s="4">
        <f>'[26]Predicted Distillate Prices'!AS408</f>
        <v>11.169512450961903</v>
      </c>
      <c r="AB135" s="4">
        <f>'[27]Predicted Gas Prices'!AR408</f>
        <v>6.3793989283151253</v>
      </c>
      <c r="AC135" s="4">
        <f>'[28]Predicted LPG Prices'!AS408</f>
        <v>11.37369080934819</v>
      </c>
      <c r="AD135" s="4">
        <f>'[29]Predicted Coal Prices'!AS408</f>
        <v>1.5544959171407167</v>
      </c>
      <c r="AE135" s="4">
        <f>'[30]Predicted Coke Prices'!AS366</f>
        <v>6.2416118867292694</v>
      </c>
      <c r="AF135" s="4">
        <f>'[31]Predicted Other Prices'!AT366</f>
        <v>3.6080351187841937</v>
      </c>
      <c r="AH135" s="115">
        <f t="shared" si="14"/>
        <v>5.3899182289783134</v>
      </c>
      <c r="AI135" s="4">
        <f>'[32]Quantity Shares_1998 forward'!AH135</f>
        <v>5.4122181973697554</v>
      </c>
    </row>
    <row r="136" spans="4:35" x14ac:dyDescent="0.2">
      <c r="D136">
        <f>[13]Quantity_shares!BB362</f>
        <v>2004</v>
      </c>
      <c r="E136" t="str">
        <f>[13]Quantity_shares!BC362</f>
        <v>312</v>
      </c>
      <c r="F136" s="26">
        <f>[13]Quantity_shares!BD362</f>
        <v>0.55769230769230771</v>
      </c>
      <c r="G136" s="26">
        <f>[13]Quantity_shares!BE362</f>
        <v>5.128205128205128E-2</v>
      </c>
      <c r="H136" s="26">
        <f>[13]Quantity_shares!BF362</f>
        <v>0.23717948717948717</v>
      </c>
      <c r="I136" s="26">
        <f>[13]Quantity_shares!BG362</f>
        <v>0.15384615384615385</v>
      </c>
      <c r="Q136" s="26">
        <f t="shared" ref="Q136:W136" si="43">0.5*Q94+0.5*Q178</f>
        <v>3.4113773550393273E-2</v>
      </c>
      <c r="R136" s="26">
        <f t="shared" si="43"/>
        <v>2.0029266508139749E-2</v>
      </c>
      <c r="S136" s="26">
        <f t="shared" si="43"/>
        <v>0.58743369306749593</v>
      </c>
      <c r="T136" s="26">
        <f t="shared" si="43"/>
        <v>1.3535760014633254E-2</v>
      </c>
      <c r="U136" s="26">
        <f t="shared" si="43"/>
        <v>0.25123468081214562</v>
      </c>
      <c r="V136" s="26">
        <f t="shared" si="43"/>
        <v>0</v>
      </c>
      <c r="W136" s="26">
        <f t="shared" si="43"/>
        <v>9.3652826047192245E-2</v>
      </c>
      <c r="X136" s="26">
        <f t="shared" si="22"/>
        <v>1</v>
      </c>
      <c r="Z136" s="4">
        <f>'[25]Predicted Residual Prices'!AS409</f>
        <v>5.5890494857824251</v>
      </c>
      <c r="AA136" s="4">
        <f>'[26]Predicted Distillate Prices'!AS409</f>
        <v>12.783452887969913</v>
      </c>
      <c r="AB136" s="4">
        <f>'[27]Predicted Gas Prices'!AR409</f>
        <v>6.9679628612545672</v>
      </c>
      <c r="AC136" s="4">
        <f>'[28]Predicted LPG Prices'!AS409</f>
        <v>12.702308651141134</v>
      </c>
      <c r="AD136" s="4">
        <f>'[29]Predicted Coal Prices'!AS409</f>
        <v>2.5060195866518176</v>
      </c>
      <c r="AE136" s="4">
        <f>'[30]Predicted Coke Prices'!AS367</f>
        <v>0</v>
      </c>
      <c r="AF136" s="4">
        <f>'[31]Predicted Other Prices'!AT367</f>
        <v>3.0976420699854268</v>
      </c>
      <c r="AH136" s="115">
        <f t="shared" si="14"/>
        <v>5.6315602764831585</v>
      </c>
      <c r="AI136" s="4">
        <f>'[32]Quantity Shares_1998 forward'!AH136</f>
        <v>5.808642900437837</v>
      </c>
    </row>
    <row r="137" spans="4:35" x14ac:dyDescent="0.2">
      <c r="D137">
        <f>[13]Quantity_shares!BB363</f>
        <v>2004</v>
      </c>
      <c r="E137" t="str">
        <f>[13]Quantity_shares!BC363</f>
        <v>313</v>
      </c>
      <c r="F137" s="26">
        <f>[13]Quantity_shares!BD363</f>
        <v>0.60240419037570181</v>
      </c>
      <c r="G137" s="26">
        <f>[13]Quantity_shares!BE363</f>
        <v>3.6420846365452009E-2</v>
      </c>
      <c r="H137" s="26">
        <f>[13]Quantity_shares!BF363</f>
        <v>0.2359347326374496</v>
      </c>
      <c r="I137" s="26">
        <f>[13]Quantity_shares!BG363</f>
        <v>0.12524023062139655</v>
      </c>
      <c r="Q137" s="26">
        <f t="shared" ref="Q137:W137" si="44">0.5*Q95+0.5*Q179</f>
        <v>2.576729616577814E-2</v>
      </c>
      <c r="R137" s="26">
        <f t="shared" si="44"/>
        <v>1.0643504713713442E-2</v>
      </c>
      <c r="S137" s="26">
        <f t="shared" si="44"/>
        <v>0.60214300774073071</v>
      </c>
      <c r="T137" s="26">
        <f t="shared" si="44"/>
        <v>8.851390018372941E-3</v>
      </c>
      <c r="U137" s="26">
        <f t="shared" si="44"/>
        <v>0.23580615041715614</v>
      </c>
      <c r="V137" s="26">
        <f t="shared" si="44"/>
        <v>0</v>
      </c>
      <c r="W137" s="26">
        <f t="shared" si="44"/>
        <v>0.11678865094424867</v>
      </c>
      <c r="X137" s="26">
        <f t="shared" si="22"/>
        <v>1</v>
      </c>
      <c r="Z137" s="4">
        <f>'[25]Predicted Residual Prices'!AS410</f>
        <v>5.4525179828176444</v>
      </c>
      <c r="AA137" s="4">
        <f>'[26]Predicted Distillate Prices'!AS410</f>
        <v>11.345475236481679</v>
      </c>
      <c r="AB137" s="4">
        <f>'[27]Predicted Gas Prices'!AR410</f>
        <v>7.3784279867132945</v>
      </c>
      <c r="AC137" s="4">
        <f>'[28]Predicted LPG Prices'!AS410</f>
        <v>14.035920032276504</v>
      </c>
      <c r="AD137" s="4">
        <f>'[29]Predicted Coal Prices'!AS410</f>
        <v>2.7447363614383016</v>
      </c>
      <c r="AE137" s="4">
        <f>'[30]Predicted Coke Prices'!AS368</f>
        <v>0</v>
      </c>
      <c r="AF137" s="4">
        <f>'[31]Predicted Other Prices'!AT368</f>
        <v>3.9462244502050412</v>
      </c>
      <c r="AH137" s="115">
        <f t="shared" ref="AH137:AH200" si="45">SUMPRODUCT(Q137:W137,Z137:AF137)</f>
        <v>5.9364584328250194</v>
      </c>
      <c r="AI137" s="4">
        <f>'[32]Quantity Shares_1998 forward'!AH137</f>
        <v>5.9317652905904872</v>
      </c>
    </row>
    <row r="138" spans="4:35" x14ac:dyDescent="0.2">
      <c r="D138">
        <f>[13]Quantity_shares!BB364</f>
        <v>2004</v>
      </c>
      <c r="E138" t="str">
        <f>[13]Quantity_shares!BC364</f>
        <v>314</v>
      </c>
      <c r="F138" s="26">
        <f>[13]Quantity_shares!BD364</f>
        <v>0.77951699463327362</v>
      </c>
      <c r="G138" s="26">
        <f>[13]Quantity_shares!BE364</f>
        <v>4.2486583184257604E-2</v>
      </c>
      <c r="H138" s="26">
        <f>[13]Quantity_shares!BF364</f>
        <v>0.15675313059033991</v>
      </c>
      <c r="I138" s="26">
        <f>[13]Quantity_shares!BG364</f>
        <v>2.1243291592128802E-2</v>
      </c>
      <c r="Q138" s="26">
        <f t="shared" ref="Q138:W138" si="46">0.5*Q96+0.5*Q180</f>
        <v>3.7517765144785928E-2</v>
      </c>
      <c r="R138" s="26">
        <f t="shared" si="46"/>
        <v>1.5973085805649316E-2</v>
      </c>
      <c r="S138" s="26">
        <f t="shared" si="46"/>
        <v>0.77718067152247294</v>
      </c>
      <c r="T138" s="26">
        <f t="shared" si="46"/>
        <v>2.116272872623912E-2</v>
      </c>
      <c r="U138" s="26">
        <f t="shared" si="46"/>
        <v>0.13277225084384439</v>
      </c>
      <c r="V138" s="26">
        <f t="shared" si="46"/>
        <v>0</v>
      </c>
      <c r="W138" s="26">
        <f t="shared" si="46"/>
        <v>1.539349795700835E-2</v>
      </c>
      <c r="X138" s="26">
        <f t="shared" si="22"/>
        <v>1</v>
      </c>
      <c r="Z138" s="4">
        <f>'[25]Predicted Residual Prices'!AS411</f>
        <v>5.4951362572128231</v>
      </c>
      <c r="AA138" s="4">
        <f>'[26]Predicted Distillate Prices'!AS411</f>
        <v>8.9652588372717563</v>
      </c>
      <c r="AB138" s="4">
        <f>'[27]Predicted Gas Prices'!AR411</f>
        <v>7.3667246714579413</v>
      </c>
      <c r="AC138" s="4">
        <f>'[28]Predicted LPG Prices'!AS411</f>
        <v>13.291983860501121</v>
      </c>
      <c r="AD138" s="4">
        <f>'[29]Predicted Coal Prices'!AS411</f>
        <v>2.4775551010429484</v>
      </c>
      <c r="AE138" s="4">
        <f>'[30]Predicted Coke Prices'!AS369</f>
        <v>0</v>
      </c>
      <c r="AF138" s="4">
        <f>'[31]Predicted Other Prices'!AT369</f>
        <v>3.7851649330557322</v>
      </c>
      <c r="AH138" s="115">
        <f t="shared" si="45"/>
        <v>6.7431562519915458</v>
      </c>
      <c r="AI138" s="4">
        <f>'[32]Quantity Shares_1998 forward'!AH138</f>
        <v>6.7357420406398969</v>
      </c>
    </row>
    <row r="139" spans="4:35" x14ac:dyDescent="0.2">
      <c r="D139">
        <f>[13]Quantity_shares!BB365</f>
        <v>2004</v>
      </c>
      <c r="E139" t="str">
        <f>[13]Quantity_shares!BC365</f>
        <v>315</v>
      </c>
      <c r="F139" s="26">
        <f>[13]Quantity_shares!BD365</f>
        <v>0.89818585708996579</v>
      </c>
      <c r="G139" s="26">
        <f>[13]Quantity_shares!BE365</f>
        <v>6.1088485746019938E-2</v>
      </c>
      <c r="H139" s="26">
        <f>[13]Quantity_shares!BF365</f>
        <v>9.5520177711958435E-16</v>
      </c>
      <c r="I139" s="26">
        <f>[13]Quantity_shares!BG365</f>
        <v>4.0725657164013294E-2</v>
      </c>
      <c r="Q139" s="26">
        <f t="shared" ref="Q139:W139" si="47">0.5*Q97+0.5*Q181</f>
        <v>1.1899233805433014E-2</v>
      </c>
      <c r="R139" s="26">
        <f t="shared" si="47"/>
        <v>3.5097902639114616E-2</v>
      </c>
      <c r="S139" s="26">
        <f t="shared" si="47"/>
        <v>0.93142945592446402</v>
      </c>
      <c r="T139" s="26">
        <f t="shared" si="47"/>
        <v>6.249516291308722E-3</v>
      </c>
      <c r="U139" s="26">
        <f t="shared" si="47"/>
        <v>0</v>
      </c>
      <c r="V139" s="26">
        <f t="shared" si="47"/>
        <v>0</v>
      </c>
      <c r="W139" s="26">
        <f t="shared" si="47"/>
        <v>1.5323891339679589E-2</v>
      </c>
      <c r="X139" s="26">
        <f t="shared" si="22"/>
        <v>1</v>
      </c>
      <c r="Z139" s="4">
        <f>'[25]Predicted Residual Prices'!AS412</f>
        <v>5.2890407407155298</v>
      </c>
      <c r="AA139" s="4">
        <f>'[26]Predicted Distillate Prices'!AS412</f>
        <v>9.4149999999999991</v>
      </c>
      <c r="AB139" s="4">
        <f>'[27]Predicted Gas Prices'!AR412</f>
        <v>7.9075346320617967</v>
      </c>
      <c r="AC139" s="4">
        <f>'[28]Predicted LPG Prices'!AS412</f>
        <v>13.50309663480432</v>
      </c>
      <c r="AD139" s="4">
        <f>'[29]Predicted Coal Prices'!AS412</f>
        <v>2.731453319579721</v>
      </c>
      <c r="AE139" s="4">
        <f>'[30]Predicted Coke Prices'!AS370</f>
        <v>0</v>
      </c>
      <c r="AF139" s="4">
        <f>'[31]Predicted Other Prices'!AT370</f>
        <v>3.9091030244536338</v>
      </c>
      <c r="AH139" s="115">
        <f t="shared" si="45"/>
        <v>7.9029834581573395</v>
      </c>
      <c r="AI139" s="4">
        <f>'[32]Quantity Shares_1998 forward'!AH139</f>
        <v>7.8402352329989231</v>
      </c>
    </row>
    <row r="140" spans="4:35" x14ac:dyDescent="0.2">
      <c r="D140">
        <f>[13]Quantity_shares!BB366</f>
        <v>2004</v>
      </c>
      <c r="E140" t="str">
        <f>[13]Quantity_shares!BC366</f>
        <v>316</v>
      </c>
      <c r="F140" s="26">
        <f>[13]Quantity_shares!BD366</f>
        <v>0.77380952380952039</v>
      </c>
      <c r="G140" s="26">
        <f>[13]Quantity_shares!BE366</f>
        <v>0.1130952380952375</v>
      </c>
      <c r="H140" s="26">
        <f>[13]Quantity_shares!BF366</f>
        <v>4.6130952380952102E-15</v>
      </c>
      <c r="I140" s="26">
        <f>[13]Quantity_shares!BG366</f>
        <v>0.1130952380952375</v>
      </c>
      <c r="Q140" s="26">
        <f t="shared" ref="Q140:W140" si="48">0.5*Q98+0.5*Q182</f>
        <v>3.8571428571428569E-2</v>
      </c>
      <c r="R140" s="26">
        <f t="shared" si="48"/>
        <v>0.18285714285714286</v>
      </c>
      <c r="S140" s="26">
        <f t="shared" si="48"/>
        <v>0.68571428571428572</v>
      </c>
      <c r="T140" s="26">
        <f t="shared" si="48"/>
        <v>2.4285714285714285E-2</v>
      </c>
      <c r="U140" s="26">
        <f t="shared" si="48"/>
        <v>0</v>
      </c>
      <c r="V140" s="26">
        <f t="shared" si="48"/>
        <v>0</v>
      </c>
      <c r="W140" s="26">
        <f t="shared" si="48"/>
        <v>6.8571428571428575E-2</v>
      </c>
      <c r="X140" s="26">
        <f t="shared" si="22"/>
        <v>1</v>
      </c>
      <c r="Z140" s="4">
        <f>'[25]Predicted Residual Prices'!AS413</f>
        <v>5.5467493018419933</v>
      </c>
      <c r="AA140" s="4">
        <f>'[26]Predicted Distillate Prices'!AS413</f>
        <v>6.7704162324267436</v>
      </c>
      <c r="AB140" s="4">
        <f>'[27]Predicted Gas Prices'!AR413</f>
        <v>8.0162014617921447</v>
      </c>
      <c r="AC140" s="4">
        <f>'[28]Predicted LPG Prices'!AS413</f>
        <v>7.2127422323213892</v>
      </c>
      <c r="AD140" s="4">
        <f>'[29]Predicted Coal Prices'!AS413</f>
        <v>2.0961515632152485</v>
      </c>
      <c r="AE140" s="4">
        <f>'[30]Predicted Coke Prices'!AS371</f>
        <v>0</v>
      </c>
      <c r="AF140" s="4">
        <f>'[31]Predicted Other Prices'!AT371</f>
        <v>4.0295515122268171</v>
      </c>
      <c r="AH140" s="115">
        <f t="shared" si="45"/>
        <v>7.4002675729956247</v>
      </c>
      <c r="AI140" s="4">
        <f>'[32]Quantity Shares_1998 forward'!AH140</f>
        <v>7.3977248144999654</v>
      </c>
    </row>
    <row r="141" spans="4:35" x14ac:dyDescent="0.2">
      <c r="D141">
        <f>[13]Quantity_shares!BB367</f>
        <v>2004</v>
      </c>
      <c r="E141" t="str">
        <f>[13]Quantity_shares!BC367</f>
        <v>321</v>
      </c>
      <c r="F141" s="26">
        <f>[13]Quantity_shares!BD367</f>
        <v>0.21552833249426639</v>
      </c>
      <c r="G141" s="26">
        <f>[13]Quantity_shares!BE367</f>
        <v>4.4987973373608547E-2</v>
      </c>
      <c r="H141" s="26">
        <f>[13]Quantity_shares!BF367</f>
        <v>2.4249035072998824E-2</v>
      </c>
      <c r="I141" s="26">
        <f>[13]Quantity_shares!BG367</f>
        <v>0.71523465905912631</v>
      </c>
      <c r="Q141" s="26">
        <f t="shared" ref="Q141:W141" si="49">0.5*Q99+0.5*Q183</f>
        <v>1.3957816377171216E-2</v>
      </c>
      <c r="R141" s="26">
        <f t="shared" si="49"/>
        <v>7.7543424317617862E-2</v>
      </c>
      <c r="S141" s="26">
        <f t="shared" si="49"/>
        <v>0.4432382133995037</v>
      </c>
      <c r="T141" s="26">
        <f t="shared" si="49"/>
        <v>3.0086848635235731E-2</v>
      </c>
      <c r="U141" s="26">
        <f t="shared" si="49"/>
        <v>4.1253101736972705E-2</v>
      </c>
      <c r="V141" s="26">
        <f t="shared" si="49"/>
        <v>1.2406947890818859E-3</v>
      </c>
      <c r="W141" s="26">
        <f t="shared" si="49"/>
        <v>0.39267990074441683</v>
      </c>
      <c r="X141" s="26">
        <f t="shared" si="22"/>
        <v>0.99999999999999989</v>
      </c>
      <c r="Z141" s="4">
        <f>'[25]Predicted Residual Prices'!AS414</f>
        <v>5.2037271596585555</v>
      </c>
      <c r="AA141" s="4">
        <f>'[26]Predicted Distillate Prices'!AS414</f>
        <v>10.245857542420056</v>
      </c>
      <c r="AB141" s="4">
        <f>'[27]Predicted Gas Prices'!AR414</f>
        <v>7.1813131523940914</v>
      </c>
      <c r="AC141" s="4">
        <f>'[28]Predicted LPG Prices'!AS414</f>
        <v>9.2470024142436014</v>
      </c>
      <c r="AD141" s="4">
        <f>'[29]Predicted Coal Prices'!AS414</f>
        <v>1.8742188964918867</v>
      </c>
      <c r="AE141" s="4">
        <f>'[30]Predicted Coke Prices'!AS372</f>
        <v>0</v>
      </c>
      <c r="AF141" s="4">
        <f>'[31]Predicted Other Prices'!AT372</f>
        <v>1.6794380638700723</v>
      </c>
      <c r="AH141" s="115">
        <f t="shared" si="45"/>
        <v>5.0651760356189106</v>
      </c>
      <c r="AI141" s="4">
        <f>'[32]Quantity Shares_1998 forward'!AH141</f>
        <v>4.9868952110579334</v>
      </c>
    </row>
    <row r="142" spans="4:35" x14ac:dyDescent="0.2">
      <c r="D142">
        <f>[13]Quantity_shares!BB368</f>
        <v>2004</v>
      </c>
      <c r="E142" t="str">
        <f>[13]Quantity_shares!BC368</f>
        <v>322</v>
      </c>
      <c r="F142" s="26">
        <f>[13]Quantity_shares!BD368</f>
        <v>0.23045793354637528</v>
      </c>
      <c r="G142" s="26">
        <f>[13]Quantity_shares!BE368</f>
        <v>5.1130291108453643E-2</v>
      </c>
      <c r="H142" s="26">
        <f>[13]Quantity_shares!BF368</f>
        <v>0.10721878484318041</v>
      </c>
      <c r="I142" s="26">
        <f>[13]Quantity_shares!BG368</f>
        <v>0.61119299050199061</v>
      </c>
      <c r="Q142" s="26">
        <f t="shared" ref="Q142:W142" si="50">0.5*Q100+0.5*Q184</f>
        <v>8.4664754397903108E-2</v>
      </c>
      <c r="R142" s="26">
        <f t="shared" si="50"/>
        <v>1.1544101895256818E-2</v>
      </c>
      <c r="S142" s="26">
        <f t="shared" si="50"/>
        <v>0.43376918569484346</v>
      </c>
      <c r="T142" s="26">
        <f t="shared" si="50"/>
        <v>4.8684882050506577E-3</v>
      </c>
      <c r="U142" s="26">
        <f t="shared" si="50"/>
        <v>0.20181956940874035</v>
      </c>
      <c r="V142" s="26">
        <f t="shared" si="50"/>
        <v>1.7137960582690661E-3</v>
      </c>
      <c r="W142" s="26">
        <f t="shared" si="50"/>
        <v>0.26162010433993649</v>
      </c>
      <c r="X142" s="26">
        <f t="shared" si="22"/>
        <v>1</v>
      </c>
      <c r="Z142" s="4">
        <f>'[25]Predicted Residual Prices'!AS415</f>
        <v>4.7101804996864791</v>
      </c>
      <c r="AA142" s="4">
        <f>'[26]Predicted Distillate Prices'!AS415</f>
        <v>6.7510425080759067</v>
      </c>
      <c r="AB142" s="4">
        <f>'[27]Predicted Gas Prices'!AR415</f>
        <v>6.561963775656352</v>
      </c>
      <c r="AC142" s="4">
        <f>'[28]Predicted LPG Prices'!AS415</f>
        <v>12.137049842707032</v>
      </c>
      <c r="AD142" s="4">
        <f>'[29]Predicted Coal Prices'!AS415</f>
        <v>2.1873250948848213</v>
      </c>
      <c r="AE142" s="4">
        <f>'[30]Predicted Coke Prices'!AS373</f>
        <v>4.4409999999999998</v>
      </c>
      <c r="AF142" s="4">
        <f>'[31]Predicted Other Prices'!AT373</f>
        <v>3.6602140507963044</v>
      </c>
      <c r="AH142" s="115">
        <f t="shared" si="45"/>
        <v>4.7888293242942241</v>
      </c>
      <c r="AI142" s="4">
        <f>'[32]Quantity Shares_1998 forward'!AH142</f>
        <v>4.7777016338559486</v>
      </c>
    </row>
    <row r="143" spans="4:35" x14ac:dyDescent="0.2">
      <c r="D143">
        <f>[13]Quantity_shares!BB369</f>
        <v>2004</v>
      </c>
      <c r="E143" t="str">
        <f>[13]Quantity_shares!BC369</f>
        <v>323</v>
      </c>
      <c r="F143" s="26">
        <f>[13]Quantity_shares!BD369</f>
        <v>0.95119220527717241</v>
      </c>
      <c r="G143" s="26">
        <f>[13]Quantity_shares!BE369</f>
        <v>1.3525780682643424E-2</v>
      </c>
      <c r="H143" s="26">
        <f>[13]Quantity_shares!BF369</f>
        <v>2.2542967804405711E-16</v>
      </c>
      <c r="I143" s="26">
        <f>[13]Quantity_shares!BG369</f>
        <v>3.5282014040183968E-2</v>
      </c>
      <c r="Q143" s="26">
        <f t="shared" ref="Q143:W143" si="51">0.5*Q101+0.5*Q185</f>
        <v>1.6612453531598512E-3</v>
      </c>
      <c r="R143" s="26">
        <f t="shared" si="51"/>
        <v>5.4058240396530361E-3</v>
      </c>
      <c r="S143" s="26">
        <f t="shared" si="51"/>
        <v>0.96243804213135076</v>
      </c>
      <c r="T143" s="26">
        <f t="shared" si="51"/>
        <v>2.2808240396530358E-2</v>
      </c>
      <c r="U143" s="26">
        <f t="shared" si="51"/>
        <v>0</v>
      </c>
      <c r="V143" s="26">
        <f t="shared" si="51"/>
        <v>0</v>
      </c>
      <c r="W143" s="26">
        <f t="shared" si="51"/>
        <v>7.6866480793060712E-3</v>
      </c>
      <c r="X143" s="26">
        <f t="shared" si="22"/>
        <v>1</v>
      </c>
      <c r="Z143" s="4">
        <f>'[25]Predicted Residual Prices'!AS416</f>
        <v>5.781948602379309</v>
      </c>
      <c r="AA143" s="4">
        <f>'[26]Predicted Distillate Prices'!AS416</f>
        <v>9.448799020880335</v>
      </c>
      <c r="AB143" s="4">
        <f>'[27]Predicted Gas Prices'!AR416</f>
        <v>6.9792197337659641</v>
      </c>
      <c r="AC143" s="4">
        <f>'[28]Predicted LPG Prices'!AS416</f>
        <v>12.7089364567194</v>
      </c>
      <c r="AD143" s="4">
        <f>'[29]Predicted Coal Prices'!AS416</f>
        <v>2.3954198581776822</v>
      </c>
      <c r="AE143" s="4">
        <f>'[30]Predicted Coke Prices'!AS374</f>
        <v>0</v>
      </c>
      <c r="AF143" s="4">
        <f>'[31]Predicted Other Prices'!AT374</f>
        <v>3.5610746968310569</v>
      </c>
      <c r="AH143" s="115">
        <f t="shared" si="45"/>
        <v>7.0949915621787847</v>
      </c>
      <c r="AI143" s="4">
        <f>'[32]Quantity Shares_1998 forward'!AH143</f>
        <v>7.0791934101142378</v>
      </c>
    </row>
    <row r="144" spans="4:35" x14ac:dyDescent="0.2">
      <c r="D144">
        <f>[13]Quantity_shares!BB370</f>
        <v>2004</v>
      </c>
      <c r="E144" t="str">
        <f>[13]Quantity_shares!BC370</f>
        <v>324</v>
      </c>
      <c r="F144" s="26">
        <f>[13]Quantity_shares!BD370</f>
        <v>0.27297895156865681</v>
      </c>
      <c r="G144" s="26">
        <f>[13]Quantity_shares!BE370</f>
        <v>1.9396728016359919E-2</v>
      </c>
      <c r="H144" s="26">
        <f>[13]Quantity_shares!BF370</f>
        <v>1.0242655494039602E-2</v>
      </c>
      <c r="I144" s="26">
        <f>[13]Quantity_shares!BG370</f>
        <v>0.69738166492094367</v>
      </c>
      <c r="Q144" s="26">
        <f t="shared" ref="Q144:W144" si="52">0.5*Q102+0.5*Q186</f>
        <v>2.1661538239859841E-2</v>
      </c>
      <c r="R144" s="26">
        <f t="shared" si="52"/>
        <v>1.3049860174410774E-2</v>
      </c>
      <c r="S144" s="26">
        <f t="shared" si="52"/>
        <v>0.71228766900886265</v>
      </c>
      <c r="T144" s="26">
        <f t="shared" si="52"/>
        <v>6.2943369195790373E-3</v>
      </c>
      <c r="U144" s="26">
        <f t="shared" si="52"/>
        <v>2.6288704501176603E-2</v>
      </c>
      <c r="V144" s="26">
        <f t="shared" si="52"/>
        <v>8.2412257911622475E-5</v>
      </c>
      <c r="W144" s="26">
        <f t="shared" si="52"/>
        <v>0.22033547889819954</v>
      </c>
      <c r="X144" s="26">
        <f t="shared" si="22"/>
        <v>1</v>
      </c>
      <c r="Z144" s="4">
        <f>'[25]Predicted Residual Prices'!AS417</f>
        <v>3.217893549819812</v>
      </c>
      <c r="AA144" s="4">
        <f>'[26]Predicted Distillate Prices'!AS417</f>
        <v>8.5823815169332143</v>
      </c>
      <c r="AB144" s="4">
        <f>'[27]Predicted Gas Prices'!AR417</f>
        <v>5.5525602769927023</v>
      </c>
      <c r="AC144" s="4">
        <f>'[28]Predicted LPG Prices'!AS417</f>
        <v>12.778740662126935</v>
      </c>
      <c r="AD144" s="4">
        <f>'[29]Predicted Coal Prices'!AS417</f>
        <v>2.6599004946920228</v>
      </c>
      <c r="AE144" s="4">
        <f>'[30]Predicted Coke Prices'!AS375</f>
        <v>0</v>
      </c>
      <c r="AF144" s="4">
        <f>'[31]Predicted Other Prices'!AT375</f>
        <v>4.1318785927720834</v>
      </c>
      <c r="AH144" s="115">
        <f t="shared" si="45"/>
        <v>5.1974821054014821</v>
      </c>
      <c r="AI144" s="4">
        <f>'[32]Quantity Shares_1998 forward'!AH144</f>
        <v>5.2210882014705078</v>
      </c>
    </row>
    <row r="145" spans="4:35" x14ac:dyDescent="0.2">
      <c r="D145">
        <f>[13]Quantity_shares!BB371</f>
        <v>2004</v>
      </c>
      <c r="E145" t="str">
        <f>[13]Quantity_shares!BC371</f>
        <v>325</v>
      </c>
      <c r="F145" s="26">
        <f>[13]Quantity_shares!BD371</f>
        <v>0.51899740079325785</v>
      </c>
      <c r="G145" s="26">
        <f>[13]Quantity_shares!BE371</f>
        <v>1.4762289807636591E-2</v>
      </c>
      <c r="H145" s="26">
        <f>[13]Quantity_shares!BF371</f>
        <v>7.9588673114861175E-2</v>
      </c>
      <c r="I145" s="26">
        <f>[13]Quantity_shares!BG371</f>
        <v>0.38665163628424437</v>
      </c>
      <c r="Q145" s="26">
        <f t="shared" ref="Q145:W145" si="53">0.5*Q103+0.5*Q187</f>
        <v>1.3414973632059454E-2</v>
      </c>
      <c r="R145" s="26">
        <f t="shared" si="53"/>
        <v>4.2901128082904385E-3</v>
      </c>
      <c r="S145" s="26">
        <f t="shared" si="53"/>
        <v>0.63259360375261098</v>
      </c>
      <c r="T145" s="26">
        <f t="shared" si="53"/>
        <v>7.7171461707437571E-3</v>
      </c>
      <c r="U145" s="26">
        <f t="shared" si="53"/>
        <v>9.7746919630941467E-2</v>
      </c>
      <c r="V145" s="26">
        <f t="shared" si="53"/>
        <v>2.1456030710593642E-4</v>
      </c>
      <c r="W145" s="26">
        <f t="shared" si="53"/>
        <v>0.24402268369824798</v>
      </c>
      <c r="X145" s="26">
        <f t="shared" si="22"/>
        <v>1</v>
      </c>
      <c r="Z145" s="4">
        <f>'[25]Predicted Residual Prices'!AS418</f>
        <v>4.6241974234646825</v>
      </c>
      <c r="AA145" s="4">
        <f>'[26]Predicted Distillate Prices'!AS418</f>
        <v>8.4704536832440311</v>
      </c>
      <c r="AB145" s="4">
        <f>'[27]Predicted Gas Prices'!AR418</f>
        <v>5.8879987227557464</v>
      </c>
      <c r="AC145" s="4">
        <f>'[28]Predicted LPG Prices'!AS418</f>
        <v>8.9539678387539201</v>
      </c>
      <c r="AD145" s="4">
        <f>'[29]Predicted Coal Prices'!AS418</f>
        <v>2.1908068413849806</v>
      </c>
      <c r="AE145" s="4">
        <f>'[30]Predicted Coke Prices'!AS376</f>
        <v>6.1622502559595205</v>
      </c>
      <c r="AF145" s="4">
        <f>'[31]Predicted Other Prices'!AT376</f>
        <v>5.3183227636463668</v>
      </c>
      <c r="AH145" s="115">
        <f t="shared" si="45"/>
        <v>5.4054402859999886</v>
      </c>
      <c r="AI145" s="4">
        <f>'[32]Quantity Shares_1998 forward'!AH145</f>
        <v>5.3938236376950384</v>
      </c>
    </row>
    <row r="146" spans="4:35" x14ac:dyDescent="0.2">
      <c r="D146">
        <f>[13]Quantity_shares!BB372</f>
        <v>2004</v>
      </c>
      <c r="E146" t="str">
        <f>[13]Quantity_shares!BC372</f>
        <v>326</v>
      </c>
      <c r="F146" s="26">
        <f>[13]Quantity_shares!BD372</f>
        <v>0.83638407110413471</v>
      </c>
      <c r="G146" s="26">
        <f>[13]Quantity_shares!BE372</f>
        <v>6.8822320557239414E-2</v>
      </c>
      <c r="H146" s="26">
        <f>[13]Quantity_shares!BF372</f>
        <v>5.1122017462784441E-2</v>
      </c>
      <c r="I146" s="26">
        <f>[13]Quantity_shares!BG372</f>
        <v>4.3671590875841423E-2</v>
      </c>
      <c r="Q146" s="26">
        <f t="shared" ref="Q146:W146" si="54">0.5*Q104+0.5*Q188</f>
        <v>5.0432900432900434E-2</v>
      </c>
      <c r="R146" s="26">
        <f t="shared" si="54"/>
        <v>1.5800865800865802E-2</v>
      </c>
      <c r="S146" s="26">
        <f t="shared" si="54"/>
        <v>0.80021645021645016</v>
      </c>
      <c r="T146" s="26">
        <f t="shared" si="54"/>
        <v>2.5324675324675323E-2</v>
      </c>
      <c r="U146" s="26">
        <f t="shared" si="54"/>
        <v>8.3116883116883117E-2</v>
      </c>
      <c r="V146" s="26">
        <f t="shared" si="54"/>
        <v>0</v>
      </c>
      <c r="W146" s="26">
        <f t="shared" si="54"/>
        <v>2.5108225108225107E-2</v>
      </c>
      <c r="X146" s="26">
        <f t="shared" si="22"/>
        <v>0.99999999999999989</v>
      </c>
      <c r="Z146" s="4">
        <f>'[25]Predicted Residual Prices'!AS419</f>
        <v>5.2536667717451584</v>
      </c>
      <c r="AA146" s="4">
        <f>'[26]Predicted Distillate Prices'!AS419</f>
        <v>9.0394551432414829</v>
      </c>
      <c r="AB146" s="4">
        <f>'[27]Predicted Gas Prices'!AR419</f>
        <v>7.3228995881687258</v>
      </c>
      <c r="AC146" s="4">
        <f>'[28]Predicted LPG Prices'!AS419</f>
        <v>11.554216427929262</v>
      </c>
      <c r="AD146" s="4">
        <f>'[29]Predicted Coal Prices'!AS419</f>
        <v>2.0629657701201731</v>
      </c>
      <c r="AE146" s="4">
        <f>'[30]Predicted Coke Prices'!AS377</f>
        <v>0</v>
      </c>
      <c r="AF146" s="4">
        <f>'[31]Predicted Other Prices'!AT377</f>
        <v>5.4956438035154509</v>
      </c>
      <c r="AH146" s="115">
        <f t="shared" si="45"/>
        <v>6.8697535107650838</v>
      </c>
      <c r="AI146" s="4">
        <f>'[32]Quantity Shares_1998 forward'!AH146</f>
        <v>6.8950405800736361</v>
      </c>
    </row>
    <row r="147" spans="4:35" x14ac:dyDescent="0.2">
      <c r="D147">
        <f>[13]Quantity_shares!BB373</f>
        <v>2004</v>
      </c>
      <c r="E147" t="str">
        <f>[13]Quantity_shares!BC373</f>
        <v>327</v>
      </c>
      <c r="F147" s="26">
        <f>[13]Quantity_shares!BD373</f>
        <v>0.47062635063444014</v>
      </c>
      <c r="G147" s="26">
        <f>[13]Quantity_shares!BE373</f>
        <v>3.5884194340111239E-2</v>
      </c>
      <c r="H147" s="26">
        <f>[13]Quantity_shares!BF373</f>
        <v>0.34838691566082836</v>
      </c>
      <c r="I147" s="26">
        <f>[13]Quantity_shares!BG373</f>
        <v>0.14510253936462031</v>
      </c>
      <c r="Q147" s="26">
        <f t="shared" ref="Q147:W147" si="55">0.5*Q105+0.5*Q189</f>
        <v>3.406067875321001E-3</v>
      </c>
      <c r="R147" s="26">
        <f t="shared" si="55"/>
        <v>3.4671925696975289E-2</v>
      </c>
      <c r="S147" s="26">
        <f t="shared" si="55"/>
        <v>0.49790100106103241</v>
      </c>
      <c r="T147" s="26">
        <f t="shared" si="55"/>
        <v>4.4542859046711059E-3</v>
      </c>
      <c r="U147" s="26">
        <f t="shared" si="55"/>
        <v>0.35659019031948869</v>
      </c>
      <c r="V147" s="26">
        <f t="shared" si="55"/>
        <v>1.2488915542843669E-2</v>
      </c>
      <c r="W147" s="26">
        <f t="shared" si="55"/>
        <v>9.0487613599667852E-2</v>
      </c>
      <c r="X147" s="26">
        <f t="shared" si="22"/>
        <v>1</v>
      </c>
      <c r="Z147" s="4">
        <f>'[25]Predicted Residual Prices'!AS420</f>
        <v>5.2474219541579998</v>
      </c>
      <c r="AA147" s="4">
        <f>'[26]Predicted Distillate Prices'!AS420</f>
        <v>11.773130784471206</v>
      </c>
      <c r="AB147" s="4">
        <f>'[27]Predicted Gas Prices'!AR420</f>
        <v>6.5848250292397417</v>
      </c>
      <c r="AC147" s="4">
        <f>'[28]Predicted LPG Prices'!AS420</f>
        <v>10.248181484309409</v>
      </c>
      <c r="AD147" s="4">
        <f>'[29]Predicted Coal Prices'!AS420</f>
        <v>1.9558223610727929</v>
      </c>
      <c r="AE147" s="4">
        <f>'[30]Predicted Coke Prices'!AS378</f>
        <v>2.0296868068287051</v>
      </c>
      <c r="AF147" s="4">
        <f>'[31]Predicted Other Prices'!AT378</f>
        <v>1.3100274429183669</v>
      </c>
      <c r="AH147" s="115">
        <f t="shared" si="45"/>
        <v>4.5916264074652737</v>
      </c>
      <c r="AI147" s="4">
        <f>'[32]Quantity Shares_1998 forward'!AH147</f>
        <v>4.6700075878409582</v>
      </c>
    </row>
    <row r="148" spans="4:35" x14ac:dyDescent="0.2">
      <c r="D148">
        <f>[13]Quantity_shares!BB374</f>
        <v>2004</v>
      </c>
      <c r="E148" t="str">
        <f>[13]Quantity_shares!BC374</f>
        <v>331</v>
      </c>
      <c r="F148" s="26">
        <f>[13]Quantity_shares!BD374</f>
        <v>0.43266417960289671</v>
      </c>
      <c r="G148" s="26">
        <f>[13]Quantity_shares!BE374</f>
        <v>1.4628037668520832E-2</v>
      </c>
      <c r="H148" s="26">
        <f>[13]Quantity_shares!BF374</f>
        <v>0.33179402532225288</v>
      </c>
      <c r="I148" s="26">
        <f>[13]Quantity_shares!BG374</f>
        <v>0.22091375740632962</v>
      </c>
      <c r="Q148" s="26">
        <f t="shared" ref="Q148:W148" si="56">0.5*Q106+0.5*Q190</f>
        <v>1.1147031232309508E-2</v>
      </c>
      <c r="R148" s="26">
        <f t="shared" si="56"/>
        <v>1.0110873890048038E-2</v>
      </c>
      <c r="S148" s="26">
        <f t="shared" si="56"/>
        <v>0.62966119171235868</v>
      </c>
      <c r="T148" s="26">
        <f t="shared" si="56"/>
        <v>3.5987513545861841E-3</v>
      </c>
      <c r="U148" s="26">
        <f t="shared" si="56"/>
        <v>3.2919476927555924E-2</v>
      </c>
      <c r="V148" s="26">
        <f t="shared" si="56"/>
        <v>0.26577890727352127</v>
      </c>
      <c r="W148" s="26">
        <f t="shared" si="56"/>
        <v>4.6783767609620393E-2</v>
      </c>
      <c r="X148" s="26">
        <f t="shared" si="22"/>
        <v>1</v>
      </c>
      <c r="Z148" s="4">
        <f>'[25]Predicted Residual Prices'!AS421</f>
        <v>4.3065105034009745</v>
      </c>
      <c r="AA148" s="4">
        <f>'[26]Predicted Distillate Prices'!AS421</f>
        <v>8.1202029670796154</v>
      </c>
      <c r="AB148" s="4">
        <f>'[27]Predicted Gas Prices'!AR421</f>
        <v>6.3223296454623972</v>
      </c>
      <c r="AC148" s="4">
        <f>'[28]Predicted LPG Prices'!AS421</f>
        <v>9.9444076214449311</v>
      </c>
      <c r="AD148" s="4">
        <f>'[29]Predicted Coal Prices'!AS421</f>
        <v>2.5461448661835959</v>
      </c>
      <c r="AE148" s="4">
        <f>'[30]Predicted Coke Prices'!AS379</f>
        <v>5.2391425381723344</v>
      </c>
      <c r="AF148" s="4">
        <f>'[31]Predicted Other Prices'!AT379</f>
        <v>2.3325635983296653</v>
      </c>
      <c r="AH148" s="115">
        <f t="shared" si="45"/>
        <v>5.7322176739450015</v>
      </c>
      <c r="AI148" s="4">
        <f>'[32]Quantity Shares_1998 forward'!AH148</f>
        <v>6.0077559131692118</v>
      </c>
    </row>
    <row r="149" spans="4:35" x14ac:dyDescent="0.2">
      <c r="D149">
        <f>[13]Quantity_shares!BB375</f>
        <v>2004</v>
      </c>
      <c r="E149" t="str">
        <f>[13]Quantity_shares!BC375</f>
        <v>332</v>
      </c>
      <c r="F149" s="26">
        <f>[13]Quantity_shares!BD375</f>
        <v>0.93687982546611526</v>
      </c>
      <c r="G149" s="26">
        <f>[13]Quantity_shares!BE375</f>
        <v>2.3008393583730975E-2</v>
      </c>
      <c r="H149" s="26">
        <f>[13]Quantity_shares!BF375</f>
        <v>3.5029712656057398E-3</v>
      </c>
      <c r="I149" s="26">
        <f>[13]Quantity_shares!BG375</f>
        <v>3.6608809684548008E-2</v>
      </c>
      <c r="Q149" s="26">
        <f t="shared" ref="Q149:W149" si="57">0.5*Q107+0.5*Q191</f>
        <v>3.1927421817071577E-3</v>
      </c>
      <c r="R149" s="26">
        <f t="shared" si="57"/>
        <v>1.7176255070440967E-2</v>
      </c>
      <c r="S149" s="26">
        <f t="shared" si="57"/>
        <v>0.93559994765996424</v>
      </c>
      <c r="T149" s="26">
        <f t="shared" si="57"/>
        <v>1.4528721594626422E-2</v>
      </c>
      <c r="U149" s="26">
        <f t="shared" si="57"/>
        <v>2.2026431718061676E-3</v>
      </c>
      <c r="V149" s="26">
        <f t="shared" si="57"/>
        <v>1.6953809918436778E-2</v>
      </c>
      <c r="W149" s="26">
        <f t="shared" si="57"/>
        <v>1.0345880403018277E-2</v>
      </c>
      <c r="X149" s="26">
        <f t="shared" si="22"/>
        <v>1</v>
      </c>
      <c r="Z149" s="4">
        <f>'[25]Predicted Residual Prices'!AS422</f>
        <v>5.2019901668652091</v>
      </c>
      <c r="AA149" s="4">
        <f>'[26]Predicted Distillate Prices'!AS422</f>
        <v>12.167883715029241</v>
      </c>
      <c r="AB149" s="4">
        <f>'[27]Predicted Gas Prices'!AR422</f>
        <v>7.4090860996099392</v>
      </c>
      <c r="AC149" s="4">
        <f>'[28]Predicted LPG Prices'!AS422</f>
        <v>11.884753745551503</v>
      </c>
      <c r="AD149" s="4">
        <f>'[29]Predicted Coal Prices'!AS422</f>
        <v>4.2747866359171178</v>
      </c>
      <c r="AE149" s="4">
        <f>'[30]Predicted Coke Prices'!AS380</f>
        <v>5.09629191904164</v>
      </c>
      <c r="AF149" s="4">
        <f>'[31]Predicted Other Prices'!AT380</f>
        <v>11.998229289925373</v>
      </c>
      <c r="AH149" s="115">
        <f t="shared" si="45"/>
        <v>7.5501677725448104</v>
      </c>
      <c r="AI149" s="4">
        <f>'[32]Quantity Shares_1998 forward'!AH149</f>
        <v>7.7225229806966347</v>
      </c>
    </row>
    <row r="150" spans="4:35" x14ac:dyDescent="0.2">
      <c r="D150">
        <f>[13]Quantity_shares!BB376</f>
        <v>2004</v>
      </c>
      <c r="E150" t="str">
        <f>[13]Quantity_shares!BC376</f>
        <v>333</v>
      </c>
      <c r="F150" s="26">
        <f>[13]Quantity_shares!BD376</f>
        <v>0.89011557702259791</v>
      </c>
      <c r="G150" s="26">
        <f>[13]Quantity_shares!BE376</f>
        <v>3.4845609798171466E-2</v>
      </c>
      <c r="H150" s="26">
        <f>[13]Quantity_shares!BF376</f>
        <v>1.0723937668909205E-2</v>
      </c>
      <c r="I150" s="26">
        <f>[13]Quantity_shares!BG376</f>
        <v>6.4314875510321431E-2</v>
      </c>
      <c r="Q150" s="26">
        <f t="shared" ref="Q150:W150" si="58">0.5*Q108+0.5*Q192</f>
        <v>5.9251915064386295E-3</v>
      </c>
      <c r="R150" s="26">
        <f t="shared" si="58"/>
        <v>2.1729636580385493E-2</v>
      </c>
      <c r="S150" s="26">
        <f t="shared" si="58"/>
        <v>0.90166778796784819</v>
      </c>
      <c r="T150" s="26">
        <f t="shared" si="58"/>
        <v>2.7105980666406997E-2</v>
      </c>
      <c r="U150" s="26">
        <f t="shared" si="58"/>
        <v>1.0864818290192747E-2</v>
      </c>
      <c r="V150" s="26">
        <f t="shared" si="58"/>
        <v>0</v>
      </c>
      <c r="W150" s="26">
        <f t="shared" si="58"/>
        <v>3.2706584988727971E-2</v>
      </c>
      <c r="X150" s="26">
        <f t="shared" si="22"/>
        <v>1</v>
      </c>
      <c r="Z150" s="4">
        <f>'[25]Predicted Residual Prices'!AS423</f>
        <v>5.2231392293483543</v>
      </c>
      <c r="AA150" s="4">
        <f>'[26]Predicted Distillate Prices'!AS423</f>
        <v>11.90696323232765</v>
      </c>
      <c r="AB150" s="4">
        <f>'[27]Predicted Gas Prices'!AR423</f>
        <v>8.2336128908620587</v>
      </c>
      <c r="AC150" s="4">
        <f>'[28]Predicted LPG Prices'!AS423</f>
        <v>11.126421226949775</v>
      </c>
      <c r="AD150" s="4">
        <f>'[29]Predicted Coal Prices'!AS423</f>
        <v>1.9196293343982243</v>
      </c>
      <c r="AE150" s="4">
        <f>'[30]Predicted Coke Prices'!AS381</f>
        <v>0</v>
      </c>
      <c r="AF150" s="4">
        <f>'[31]Predicted Other Prices'!AT381</f>
        <v>8.4903555906860966</v>
      </c>
      <c r="AH150" s="115">
        <f t="shared" si="45"/>
        <v>8.3138051255783836</v>
      </c>
      <c r="AI150" s="4">
        <f>'[32]Quantity Shares_1998 forward'!AH150</f>
        <v>9.1500973534920469</v>
      </c>
    </row>
    <row r="151" spans="4:35" x14ac:dyDescent="0.2">
      <c r="D151">
        <f>[13]Quantity_shares!BB377</f>
        <v>2004</v>
      </c>
      <c r="E151" t="str">
        <f>[13]Quantity_shares!BC377</f>
        <v>334</v>
      </c>
      <c r="F151" s="26">
        <f>[13]Quantity_shares!BD377</f>
        <v>0.93039772727272729</v>
      </c>
      <c r="G151" s="26">
        <f>[13]Quantity_shares!BE377</f>
        <v>2.9829545454545456E-2</v>
      </c>
      <c r="H151" s="26">
        <f>[13]Quantity_shares!BF377</f>
        <v>2.4621212121212124E-3</v>
      </c>
      <c r="I151" s="26">
        <f>[13]Quantity_shares!BG377</f>
        <v>3.7310606060606058E-2</v>
      </c>
      <c r="Q151" s="26">
        <f t="shared" ref="Q151:W151" si="59">0.5*Q109+0.5*Q193</f>
        <v>8.2847555599098663E-3</v>
      </c>
      <c r="R151" s="26">
        <f t="shared" si="59"/>
        <v>1.7818653864994611E-2</v>
      </c>
      <c r="S151" s="26">
        <f t="shared" si="59"/>
        <v>0.94634809444498869</v>
      </c>
      <c r="T151" s="26">
        <f t="shared" si="59"/>
        <v>1.781865386499461E-3</v>
      </c>
      <c r="U151" s="26">
        <f t="shared" si="59"/>
        <v>7.2254335260115603E-4</v>
      </c>
      <c r="V151" s="26">
        <f t="shared" si="59"/>
        <v>0</v>
      </c>
      <c r="W151" s="26">
        <f t="shared" si="59"/>
        <v>2.5044087391006171E-2</v>
      </c>
      <c r="X151" s="26">
        <f t="shared" si="22"/>
        <v>1</v>
      </c>
      <c r="Z151" s="4">
        <f>'[25]Predicted Residual Prices'!AS424</f>
        <v>5.8987371361834544</v>
      </c>
      <c r="AA151" s="4">
        <f>'[26]Predicted Distillate Prices'!AS424</f>
        <v>9.3824111366261995</v>
      </c>
      <c r="AB151" s="4">
        <f>'[27]Predicted Gas Prices'!AR424</f>
        <v>7.8103098430241049</v>
      </c>
      <c r="AC151" s="4">
        <f>'[28]Predicted LPG Prices'!AS424</f>
        <v>13.025353671557511</v>
      </c>
      <c r="AD151" s="4">
        <f>'[29]Predicted Coal Prices'!AS424</f>
        <v>3.3396880058587923</v>
      </c>
      <c r="AE151" s="4">
        <f>'[30]Predicted Coke Prices'!AS382</f>
        <v>0</v>
      </c>
      <c r="AF151" s="4">
        <f>'[31]Predicted Other Prices'!AT382</f>
        <v>4.6374790754978044</v>
      </c>
      <c r="AH151" s="115">
        <f t="shared" si="45"/>
        <v>7.7490872961822426</v>
      </c>
      <c r="AI151" s="4">
        <f>'[32]Quantity Shares_1998 forward'!AH151</f>
        <v>7.5391762800189301</v>
      </c>
    </row>
    <row r="152" spans="4:35" x14ac:dyDescent="0.2">
      <c r="D152">
        <f>[13]Quantity_shares!BB378</f>
        <v>2004</v>
      </c>
      <c r="E152" t="str">
        <f>[13]Quantity_shares!BC378</f>
        <v>335</v>
      </c>
      <c r="F152" s="26">
        <f>[13]Quantity_shares!BD378</f>
        <v>0.93917045828141421</v>
      </c>
      <c r="G152" s="26">
        <f>[13]Quantity_shares!BE378</f>
        <v>2.1264160209759839E-2</v>
      </c>
      <c r="H152" s="26">
        <f>[13]Quantity_shares!BF378</f>
        <v>5.8244073107473508E-3</v>
      </c>
      <c r="I152" s="26">
        <f>[13]Quantity_shares!BG378</f>
        <v>3.3740974198078554E-2</v>
      </c>
      <c r="Q152" s="26">
        <f t="shared" ref="Q152:W152" si="60">0.5*Q110+0.5*Q194</f>
        <v>8.8967971530249106E-4</v>
      </c>
      <c r="R152" s="26">
        <f t="shared" si="60"/>
        <v>2.0444141263879414E-2</v>
      </c>
      <c r="S152" s="26">
        <f t="shared" si="60"/>
        <v>0.94497135765535489</v>
      </c>
      <c r="T152" s="26">
        <f t="shared" si="60"/>
        <v>2.0444141263879414E-2</v>
      </c>
      <c r="U152" s="26">
        <f t="shared" si="60"/>
        <v>8.8967971530249106E-4</v>
      </c>
      <c r="V152" s="26">
        <f t="shared" si="60"/>
        <v>0</v>
      </c>
      <c r="W152" s="26">
        <f t="shared" si="60"/>
        <v>1.2361000386281261E-2</v>
      </c>
      <c r="X152" s="26">
        <f t="shared" si="22"/>
        <v>1</v>
      </c>
      <c r="Z152" s="4">
        <f>'[25]Predicted Residual Prices'!AS425</f>
        <v>5.926464387018676</v>
      </c>
      <c r="AA152" s="4">
        <f>'[26]Predicted Distillate Prices'!AS425</f>
        <v>7.1065150583326915</v>
      </c>
      <c r="AB152" s="4">
        <f>'[27]Predicted Gas Prices'!AR425</f>
        <v>7.5341486876788437</v>
      </c>
      <c r="AC152" s="4">
        <f>'[28]Predicted LPG Prices'!AS425</f>
        <v>14.763557924068177</v>
      </c>
      <c r="AD152" s="4">
        <f>'[29]Predicted Coal Prices'!AS425</f>
        <v>2.7644081269299985</v>
      </c>
      <c r="AE152" s="4">
        <f>'[30]Predicted Coke Prices'!AS383</f>
        <v>0</v>
      </c>
      <c r="AF152" s="4">
        <f>'[31]Predicted Other Prices'!AT383</f>
        <v>4.036250596863499</v>
      </c>
      <c r="AH152" s="115">
        <f t="shared" si="45"/>
        <v>7.6242937638476409</v>
      </c>
      <c r="AI152" s="4">
        <f>'[32]Quantity Shares_1998 forward'!AH152</f>
        <v>7.9681775236040782</v>
      </c>
    </row>
    <row r="153" spans="4:35" x14ac:dyDescent="0.2">
      <c r="D153">
        <f>[13]Quantity_shares!BB379</f>
        <v>2004</v>
      </c>
      <c r="E153" t="str">
        <f>[13]Quantity_shares!BC379</f>
        <v>336</v>
      </c>
      <c r="F153" s="26">
        <f>[13]Quantity_shares!BD379</f>
        <v>0.83579406908918863</v>
      </c>
      <c r="G153" s="26">
        <f>[13]Quantity_shares!BE379</f>
        <v>3.7179856210318052E-2</v>
      </c>
      <c r="H153" s="26">
        <f>[13]Quantity_shares!BF379</f>
        <v>2.4458472706097995E-2</v>
      </c>
      <c r="I153" s="26">
        <f>[13]Quantity_shares!BG379</f>
        <v>0.10256760199439532</v>
      </c>
      <c r="Q153" s="26">
        <f t="shared" ref="Q153:W153" si="61">0.5*Q111+0.5*Q195</f>
        <v>2.4407707249294634E-2</v>
      </c>
      <c r="R153" s="26">
        <f t="shared" si="61"/>
        <v>1.1314173909344827E-2</v>
      </c>
      <c r="S153" s="26">
        <f t="shared" si="61"/>
        <v>0.84744296834016253</v>
      </c>
      <c r="T153" s="26">
        <f t="shared" si="61"/>
        <v>1.5085565212459769E-2</v>
      </c>
      <c r="U153" s="26">
        <f t="shared" si="61"/>
        <v>2.4833052133104591E-2</v>
      </c>
      <c r="V153" s="26">
        <f t="shared" si="61"/>
        <v>1.7793594306049823E-4</v>
      </c>
      <c r="W153" s="26">
        <f t="shared" si="61"/>
        <v>7.6916533155633696E-2</v>
      </c>
      <c r="X153" s="26">
        <f t="shared" si="22"/>
        <v>1.0001779359430605</v>
      </c>
      <c r="Z153" s="4">
        <f>'[25]Predicted Residual Prices'!AS426</f>
        <v>5.059970913019419</v>
      </c>
      <c r="AA153" s="4">
        <f>'[26]Predicted Distillate Prices'!AS426</f>
        <v>10.990235525782811</v>
      </c>
      <c r="AB153" s="4">
        <f>'[27]Predicted Gas Prices'!AR426</f>
        <v>6.2772566544227946</v>
      </c>
      <c r="AC153" s="4">
        <f>'[28]Predicted LPG Prices'!AS426</f>
        <v>9.0288745668528048</v>
      </c>
      <c r="AD153" s="4">
        <f>'[29]Predicted Coal Prices'!AS426</f>
        <v>2.3846913360755186</v>
      </c>
      <c r="AE153" s="4">
        <f>'[30]Predicted Coke Prices'!AS384</f>
        <v>0</v>
      </c>
      <c r="AF153" s="4">
        <f>'[31]Predicted Other Prices'!AT384</f>
        <v>5.0990051061103854</v>
      </c>
      <c r="AH153" s="115">
        <f t="shared" si="45"/>
        <v>6.15508737268377</v>
      </c>
      <c r="AI153" s="4">
        <f>'[32]Quantity Shares_1998 forward'!AH153</f>
        <v>6.1587263339709315</v>
      </c>
    </row>
    <row r="154" spans="4:35" x14ac:dyDescent="0.2">
      <c r="D154">
        <f>[13]Quantity_shares!BB380</f>
        <v>2004</v>
      </c>
      <c r="E154" t="str">
        <f>[13]Quantity_shares!BC380</f>
        <v>337</v>
      </c>
      <c r="F154" s="26">
        <f>[13]Quantity_shares!BD380</f>
        <v>0.61627990067349092</v>
      </c>
      <c r="G154" s="26">
        <f>[13]Quantity_shares!BE380</f>
        <v>2.7524697643675079E-2</v>
      </c>
      <c r="H154" s="26">
        <f>[13]Quantity_shares!BF380</f>
        <v>6.3217928792182507E-2</v>
      </c>
      <c r="I154" s="26">
        <f>[13]Quantity_shares!BG380</f>
        <v>0.29297747289065151</v>
      </c>
      <c r="Q154" s="26">
        <f t="shared" ref="Q154:W154" si="62">0.5*Q112+0.5*Q196</f>
        <v>1.2681026244210837E-2</v>
      </c>
      <c r="R154" s="26">
        <f t="shared" si="62"/>
        <v>1.8635595089318533E-2</v>
      </c>
      <c r="S154" s="26">
        <f t="shared" si="62"/>
        <v>0.7910019848562817</v>
      </c>
      <c r="T154" s="26">
        <f t="shared" si="62"/>
        <v>3.8814967286627949E-2</v>
      </c>
      <c r="U154" s="26">
        <f t="shared" si="62"/>
        <v>8.3658016613982214E-2</v>
      </c>
      <c r="V154" s="26">
        <f t="shared" si="62"/>
        <v>0</v>
      </c>
      <c r="W154" s="26">
        <f t="shared" si="62"/>
        <v>5.5208409909578773E-2</v>
      </c>
      <c r="X154" s="26">
        <f t="shared" si="22"/>
        <v>1</v>
      </c>
      <c r="Z154" s="4">
        <f>'[25]Predicted Residual Prices'!AS427</f>
        <v>5.2598960540877844</v>
      </c>
      <c r="AA154" s="4">
        <f>'[26]Predicted Distillate Prices'!AS427</f>
        <v>10.285657569595141</v>
      </c>
      <c r="AB154" s="4">
        <f>'[27]Predicted Gas Prices'!AR427</f>
        <v>8.5426940706256342</v>
      </c>
      <c r="AC154" s="4">
        <f>'[28]Predicted LPG Prices'!AS427</f>
        <v>11.93163713574152</v>
      </c>
      <c r="AD154" s="4">
        <f>'[29]Predicted Coal Prices'!AS427</f>
        <v>2.0905192733004712</v>
      </c>
      <c r="AE154" s="4">
        <f>'[30]Predicted Coke Prices'!AS385</f>
        <v>0</v>
      </c>
      <c r="AF154" s="4">
        <f>'[31]Predicted Other Prices'!AT385</f>
        <v>2.4760711258657291</v>
      </c>
      <c r="AH154" s="115">
        <f t="shared" si="45"/>
        <v>7.7903829463623433</v>
      </c>
      <c r="AI154" s="4">
        <f>'[32]Quantity Shares_1998 forward'!AH154</f>
        <v>7.7989904337871963</v>
      </c>
    </row>
    <row r="155" spans="4:35" x14ac:dyDescent="0.2">
      <c r="D155">
        <f>[13]Quantity_shares!BB381</f>
        <v>2004</v>
      </c>
      <c r="E155" t="str">
        <f>[13]Quantity_shares!BC381</f>
        <v>339</v>
      </c>
      <c r="F155" s="26">
        <f>[13]Quantity_shares!BD381</f>
        <v>0.82788002726653032</v>
      </c>
      <c r="G155" s="26">
        <f>[13]Quantity_shares!BE381</f>
        <v>6.7569870483980901E-2</v>
      </c>
      <c r="H155" s="26">
        <f>[13]Quantity_shares!BF381</f>
        <v>1.5337423312884826E-3</v>
      </c>
      <c r="I155" s="26">
        <f>[13]Quantity_shares!BG381</f>
        <v>0.10301635991820041</v>
      </c>
      <c r="Q155" s="26">
        <f t="shared" ref="Q155:W155" si="63">0.5*Q113+0.5*Q197</f>
        <v>4.5405982905982911E-2</v>
      </c>
      <c r="R155" s="26">
        <f t="shared" si="63"/>
        <v>2.232905982905983E-2</v>
      </c>
      <c r="S155" s="26">
        <f t="shared" si="63"/>
        <v>0.829059829059829</v>
      </c>
      <c r="T155" s="26">
        <f t="shared" si="63"/>
        <v>2.9273504273504274E-2</v>
      </c>
      <c r="U155" s="26">
        <f t="shared" si="63"/>
        <v>0</v>
      </c>
      <c r="V155" s="26">
        <f t="shared" si="63"/>
        <v>0</v>
      </c>
      <c r="W155" s="26">
        <f t="shared" si="63"/>
        <v>7.3931623931623933E-2</v>
      </c>
      <c r="X155" s="26">
        <f t="shared" si="22"/>
        <v>0.99999999999999989</v>
      </c>
      <c r="Z155" s="4">
        <f>'[25]Predicted Residual Prices'!AS428</f>
        <v>4.5818752754867162</v>
      </c>
      <c r="AA155" s="4">
        <f>'[26]Predicted Distillate Prices'!AS428</f>
        <v>9.7163321106396943</v>
      </c>
      <c r="AB155" s="4">
        <f>'[27]Predicted Gas Prices'!AR428</f>
        <v>8.1897311766989702</v>
      </c>
      <c r="AC155" s="4">
        <f>'[28]Predicted LPG Prices'!AS428</f>
        <v>12.343540366791318</v>
      </c>
      <c r="AD155" s="4">
        <f>'[29]Predicted Coal Prices'!AS428</f>
        <v>2.2428109334534989</v>
      </c>
      <c r="AE155" s="4">
        <f>'[30]Predicted Coke Prices'!AS386</f>
        <v>0</v>
      </c>
      <c r="AF155" s="4">
        <f>'[31]Predicted Other Prices'!AT386</f>
        <v>2.6213523641242316</v>
      </c>
      <c r="AH155" s="115">
        <f t="shared" si="45"/>
        <v>7.7699177597077291</v>
      </c>
      <c r="AI155" s="4">
        <f>'[32]Quantity Shares_1998 forward'!AH155</f>
        <v>7.7931721721380258</v>
      </c>
    </row>
    <row r="156" spans="4:35" x14ac:dyDescent="0.2">
      <c r="D156">
        <f>[13]Quantity_shares!BB382</f>
        <v>2005</v>
      </c>
      <c r="E156" t="str">
        <f>[13]Quantity_shares!BC382</f>
        <v>311</v>
      </c>
      <c r="F156" s="26">
        <f>[13]Quantity_shares!BD382</f>
        <v>0.67160433843145306</v>
      </c>
      <c r="G156" s="26">
        <f>[13]Quantity_shares!BE382</f>
        <v>4.2719184944653009E-2</v>
      </c>
      <c r="H156" s="26">
        <f>[13]Quantity_shares!BF382</f>
        <v>0.17063531343175481</v>
      </c>
      <c r="I156" s="26">
        <f>[13]Quantity_shares!BG382</f>
        <v>0.11504116319213915</v>
      </c>
      <c r="P156">
        <v>2005</v>
      </c>
      <c r="Q156" s="26">
        <f t="shared" ref="Q156:W156" si="64">0.25*Q93+0.75*Q177</f>
        <v>2.6173841778340368E-2</v>
      </c>
      <c r="R156" s="26">
        <f t="shared" si="64"/>
        <v>1.9353732802655014E-2</v>
      </c>
      <c r="S156" s="26">
        <f t="shared" si="64"/>
        <v>0.71524929303748419</v>
      </c>
      <c r="T156" s="26">
        <f t="shared" si="64"/>
        <v>4.0531165179712508E-3</v>
      </c>
      <c r="U156" s="26">
        <f t="shared" si="64"/>
        <v>0.1805979868304142</v>
      </c>
      <c r="V156" s="26">
        <f t="shared" si="64"/>
        <v>1.154265915278099E-3</v>
      </c>
      <c r="W156" s="26">
        <f t="shared" si="64"/>
        <v>5.3417763117856842E-2</v>
      </c>
      <c r="X156" s="26">
        <f t="shared" si="22"/>
        <v>1</v>
      </c>
      <c r="Z156" s="4">
        <f>'[25]Predicted Residual Prices'!AS429</f>
        <v>6.5123806150630204</v>
      </c>
      <c r="AA156" s="4">
        <f>'[26]Predicted Distillate Prices'!AS429</f>
        <v>15.513592451011256</v>
      </c>
      <c r="AB156" s="4">
        <f>'[27]Predicted Gas Prices'!AR429</f>
        <v>8.0951615578003135</v>
      </c>
      <c r="AC156" s="4">
        <f>'[28]Predicted LPG Prices'!AS429</f>
        <v>14.18073572852462</v>
      </c>
      <c r="AD156" s="4">
        <f>'[29]Predicted Coal Prices'!AS429</f>
        <v>1.8233392043577241</v>
      </c>
      <c r="AE156" s="4">
        <f>'[30]Predicted Coke Prices'!AS387</f>
        <v>8.4050164347109568</v>
      </c>
      <c r="AF156" s="4">
        <f>'[31]Predicted Other Prices'!AT387</f>
        <v>3.4325257766522084</v>
      </c>
      <c r="AH156" s="115">
        <f t="shared" si="45"/>
        <v>6.8405855608213697</v>
      </c>
      <c r="AI156" s="4">
        <f>'[32]Quantity Shares_1998 forward'!AH156</f>
        <v>6.8936886379186708</v>
      </c>
    </row>
    <row r="157" spans="4:35" x14ac:dyDescent="0.2">
      <c r="D157">
        <f>[13]Quantity_shares!BB383</f>
        <v>2005</v>
      </c>
      <c r="E157" t="str">
        <f>[13]Quantity_shares!BC383</f>
        <v>312</v>
      </c>
      <c r="F157" s="26">
        <f>[13]Quantity_shares!BD383</f>
        <v>0.54166666666666674</v>
      </c>
      <c r="G157" s="26">
        <f>[13]Quantity_shares!BE383</f>
        <v>5.128205128205128E-2</v>
      </c>
      <c r="H157" s="26">
        <f>[13]Quantity_shares!BF383</f>
        <v>0.24679487179487178</v>
      </c>
      <c r="I157" s="26">
        <f>[13]Quantity_shares!BG383</f>
        <v>0.16025641025641024</v>
      </c>
      <c r="Q157" s="26">
        <f t="shared" ref="Q157:W157" si="65">0.25*Q94+0.75*Q178</f>
        <v>3.8183647338576918E-2</v>
      </c>
      <c r="R157" s="26">
        <f t="shared" si="65"/>
        <v>1.7056886775196636E-2</v>
      </c>
      <c r="S157" s="26">
        <f t="shared" si="65"/>
        <v>0.5824492408999451</v>
      </c>
      <c r="T157" s="26">
        <f t="shared" si="65"/>
        <v>1.3810133528443388E-2</v>
      </c>
      <c r="U157" s="26">
        <f t="shared" si="65"/>
        <v>0.266462410828608</v>
      </c>
      <c r="V157" s="26">
        <f t="shared" si="65"/>
        <v>0</v>
      </c>
      <c r="W157" s="26">
        <f t="shared" si="65"/>
        <v>8.203768062922992E-2</v>
      </c>
      <c r="X157" s="26">
        <f t="shared" si="22"/>
        <v>1</v>
      </c>
      <c r="Z157" s="4">
        <f>'[25]Predicted Residual Prices'!AS430</f>
        <v>7.4313738183054392</v>
      </c>
      <c r="AA157" s="4">
        <f>'[26]Predicted Distillate Prices'!AS430</f>
        <v>16.271220244285285</v>
      </c>
      <c r="AB157" s="4">
        <f>'[27]Predicted Gas Prices'!AR430</f>
        <v>8.9650193348887868</v>
      </c>
      <c r="AC157" s="4">
        <f>'[28]Predicted LPG Prices'!AS430</f>
        <v>15.437146540568115</v>
      </c>
      <c r="AD157" s="4">
        <f>'[29]Predicted Coal Prices'!AS430</f>
        <v>2.9065077362357021</v>
      </c>
      <c r="AE157" s="4">
        <f>'[30]Predicted Coke Prices'!AS388</f>
        <v>0</v>
      </c>
      <c r="AF157" s="4">
        <f>'[31]Predicted Other Prices'!AT388</f>
        <v>3.7604572698198204</v>
      </c>
      <c r="AH157" s="115">
        <f t="shared" si="45"/>
        <v>7.0791253308137776</v>
      </c>
      <c r="AI157" s="4">
        <f>'[32]Quantity Shares_1998 forward'!AH157</f>
        <v>7.31218567896126</v>
      </c>
    </row>
    <row r="158" spans="4:35" x14ac:dyDescent="0.2">
      <c r="D158">
        <f>[13]Quantity_shares!BB384</f>
        <v>2005</v>
      </c>
      <c r="E158" t="str">
        <f>[13]Quantity_shares!BC384</f>
        <v>313</v>
      </c>
      <c r="F158" s="26">
        <f>[13]Quantity_shares!BD384</f>
        <v>0.59268191581565366</v>
      </c>
      <c r="G158" s="26">
        <f>[13]Quantity_shares!BE384</f>
        <v>2.9421185514564571E-2</v>
      </c>
      <c r="H158" s="26">
        <f>[13]Quantity_shares!BF384</f>
        <v>0.26146512416625844</v>
      </c>
      <c r="I158" s="26">
        <f>[13]Quantity_shares!BG384</f>
        <v>0.11643177450352339</v>
      </c>
      <c r="Q158" s="26">
        <f t="shared" ref="Q158:W158" si="66">0.25*Q95+0.75*Q179</f>
        <v>2.1844221559591578E-2</v>
      </c>
      <c r="R158" s="26">
        <f t="shared" si="66"/>
        <v>7.5618957260323487E-3</v>
      </c>
      <c r="S158" s="26">
        <f t="shared" si="66"/>
        <v>0.59229014186319695</v>
      </c>
      <c r="T158" s="26">
        <f t="shared" si="66"/>
        <v>4.8737236830215958E-3</v>
      </c>
      <c r="U158" s="26">
        <f t="shared" si="66"/>
        <v>0.26127225083581823</v>
      </c>
      <c r="V158" s="26">
        <f t="shared" si="66"/>
        <v>0</v>
      </c>
      <c r="W158" s="26">
        <f t="shared" si="66"/>
        <v>0.11215776633233938</v>
      </c>
      <c r="X158" s="26">
        <f t="shared" si="22"/>
        <v>1.0000000000000002</v>
      </c>
      <c r="Z158" s="4">
        <f>'[25]Predicted Residual Prices'!AS431</f>
        <v>7.4183943861088997</v>
      </c>
      <c r="AA158" s="4">
        <f>'[26]Predicted Distillate Prices'!AS431</f>
        <v>15.907369703146131</v>
      </c>
      <c r="AB158" s="4">
        <f>'[27]Predicted Gas Prices'!AR431</f>
        <v>9.6481269367680369</v>
      </c>
      <c r="AC158" s="4">
        <f>'[28]Predicted LPG Prices'!AS431</f>
        <v>16.891758541231614</v>
      </c>
      <c r="AD158" s="4">
        <f>'[29]Predicted Coal Prices'!AS431</f>
        <v>3.3401575054361894</v>
      </c>
      <c r="AE158" s="4">
        <f>'[30]Predicted Coke Prices'!AS389</f>
        <v>0</v>
      </c>
      <c r="AF158" s="4">
        <f>'[31]Predicted Other Prices'!AT389</f>
        <v>4.5815387635842812</v>
      </c>
      <c r="AH158" s="115">
        <f t="shared" si="45"/>
        <v>7.4657007809800913</v>
      </c>
      <c r="AI158" s="4">
        <f>'[32]Quantity Shares_1998 forward'!AH158</f>
        <v>7.465423687445961</v>
      </c>
    </row>
    <row r="159" spans="4:35" x14ac:dyDescent="0.2">
      <c r="D159">
        <f>[13]Quantity_shares!BB385</f>
        <v>2005</v>
      </c>
      <c r="E159" t="str">
        <f>[13]Quantity_shares!BC385</f>
        <v>314</v>
      </c>
      <c r="F159" s="26">
        <f>[13]Quantity_shares!BD385</f>
        <v>0.8320661896243291</v>
      </c>
      <c r="G159" s="26">
        <f>[13]Quantity_shares!BE385</f>
        <v>4.0474060822898034E-2</v>
      </c>
      <c r="H159" s="26">
        <f>[13]Quantity_shares!BF385</f>
        <v>0.10722271914132379</v>
      </c>
      <c r="I159" s="26">
        <f>[13]Quantity_shares!BG385</f>
        <v>2.0237030411449017E-2</v>
      </c>
      <c r="Q159" s="26">
        <f t="shared" ref="Q159:W159" si="67">0.25*Q96+0.75*Q180</f>
        <v>3.3181959495469884E-2</v>
      </c>
      <c r="R159" s="26">
        <f t="shared" si="67"/>
        <v>8.9480813643631196E-3</v>
      </c>
      <c r="S159" s="26">
        <f t="shared" si="67"/>
        <v>0.83089802806892876</v>
      </c>
      <c r="T159" s="26">
        <f t="shared" si="67"/>
        <v>2.0196748978504174E-2</v>
      </c>
      <c r="U159" s="26">
        <f t="shared" si="67"/>
        <v>9.5232279268076037E-2</v>
      </c>
      <c r="V159" s="26">
        <f t="shared" si="67"/>
        <v>0</v>
      </c>
      <c r="W159" s="26">
        <f t="shared" si="67"/>
        <v>1.1542902824658021E-2</v>
      </c>
      <c r="X159" s="26">
        <f t="shared" si="22"/>
        <v>0.99999999999999989</v>
      </c>
      <c r="Z159" s="4">
        <f>'[25]Predicted Residual Prices'!AS432</f>
        <v>7.5527152221896792</v>
      </c>
      <c r="AA159" s="4">
        <f>'[26]Predicted Distillate Prices'!AS432</f>
        <v>12.078527091154463</v>
      </c>
      <c r="AB159" s="4">
        <f>'[27]Predicted Gas Prices'!AR432</f>
        <v>9.709843320641113</v>
      </c>
      <c r="AC159" s="4">
        <f>'[28]Predicted LPG Prices'!AS432</f>
        <v>16.026533364608895</v>
      </c>
      <c r="AD159" s="4">
        <f>'[29]Predicted Coal Prices'!AS432</f>
        <v>3.020906108053047</v>
      </c>
      <c r="AE159" s="4">
        <f>'[30]Predicted Coke Prices'!AS390</f>
        <v>0</v>
      </c>
      <c r="AF159" s="4">
        <f>'[31]Predicted Other Prices'!AT390</f>
        <v>4.4356063107742862</v>
      </c>
      <c r="AH159" s="115">
        <f t="shared" si="45"/>
        <v>9.0891546198348703</v>
      </c>
      <c r="AI159" s="4">
        <f>'[32]Quantity Shares_1998 forward'!AH159</f>
        <v>9.0829232210812023</v>
      </c>
    </row>
    <row r="160" spans="4:35" x14ac:dyDescent="0.2">
      <c r="D160">
        <f>[13]Quantity_shares!BB386</f>
        <v>2005</v>
      </c>
      <c r="E160" t="str">
        <f>[13]Quantity_shares!BC386</f>
        <v>315</v>
      </c>
      <c r="F160" s="26">
        <f>[13]Quantity_shares!BD386</f>
        <v>0.9148463532025165</v>
      </c>
      <c r="G160" s="26">
        <f>[13]Quantity_shares!BE386</f>
        <v>5.1092188078489392E-2</v>
      </c>
      <c r="H160" s="26">
        <f>[13]Quantity_shares!BF386</f>
        <v>1.1625323954091062E-15</v>
      </c>
      <c r="I160" s="26">
        <f>[13]Quantity_shares!BG386</f>
        <v>3.406145871899293E-2</v>
      </c>
      <c r="Q160" s="26">
        <f t="shared" ref="Q160:W160" si="68">0.25*Q97+0.75*Q181</f>
        <v>9.3742744369630822E-3</v>
      </c>
      <c r="R160" s="26">
        <f t="shared" si="68"/>
        <v>2.4398266388050462E-2</v>
      </c>
      <c r="S160" s="26">
        <f t="shared" si="68"/>
        <v>0.94516678275675248</v>
      </c>
      <c r="T160" s="26">
        <f t="shared" si="68"/>
        <v>6.549415679900937E-3</v>
      </c>
      <c r="U160" s="26">
        <f t="shared" si="68"/>
        <v>0</v>
      </c>
      <c r="V160" s="26">
        <f t="shared" si="68"/>
        <v>0</v>
      </c>
      <c r="W160" s="26">
        <f t="shared" si="68"/>
        <v>1.4511260738332947E-2</v>
      </c>
      <c r="X160" s="26">
        <f t="shared" si="22"/>
        <v>1</v>
      </c>
      <c r="Z160" s="4">
        <f>'[25]Predicted Residual Prices'!AS433</f>
        <v>7.5408433606402969</v>
      </c>
      <c r="AA160" s="4">
        <f>'[26]Predicted Distillate Prices'!AS433</f>
        <v>12.907500000000001</v>
      </c>
      <c r="AB160" s="4">
        <f>'[27]Predicted Gas Prices'!AR433</f>
        <v>10.255759862677104</v>
      </c>
      <c r="AC160" s="4">
        <f>'[28]Predicted LPG Prices'!AS433</f>
        <v>15.533019103896477</v>
      </c>
      <c r="AD160" s="4">
        <f>'[29]Predicted Coal Prices'!AS433</f>
        <v>3.1473955078194353</v>
      </c>
      <c r="AE160" s="4">
        <f>'[30]Predicted Coke Prices'!AS391</f>
        <v>0</v>
      </c>
      <c r="AF160" s="4">
        <f>'[31]Predicted Other Prices'!AT391</f>
        <v>4.6296007336322855</v>
      </c>
      <c r="AH160" s="115">
        <f t="shared" si="45"/>
        <v>10.247927654920282</v>
      </c>
      <c r="AI160" s="4">
        <f>'[32]Quantity Shares_1998 forward'!AH160</f>
        <v>10.187842183654453</v>
      </c>
    </row>
    <row r="161" spans="4:35" x14ac:dyDescent="0.2">
      <c r="D161">
        <f>[13]Quantity_shares!BB387</f>
        <v>2005</v>
      </c>
      <c r="E161" t="str">
        <f>[13]Quantity_shares!BC387</f>
        <v>316</v>
      </c>
      <c r="F161" s="26">
        <f>[13]Quantity_shares!BD387</f>
        <v>0.74404761904761485</v>
      </c>
      <c r="G161" s="26">
        <f>[13]Quantity_shares!BE387</f>
        <v>0.12797619047618969</v>
      </c>
      <c r="H161" s="26">
        <f>[13]Quantity_shares!BF387</f>
        <v>5.8779761904761509E-15</v>
      </c>
      <c r="I161" s="26">
        <f>[13]Quantity_shares!BG387</f>
        <v>0.12797619047618969</v>
      </c>
      <c r="Q161" s="26">
        <f t="shared" ref="Q161:W161" si="69">0.25*Q98+0.75*Q182</f>
        <v>4.7857142857142855E-2</v>
      </c>
      <c r="R161" s="26">
        <f t="shared" si="69"/>
        <v>0.23428571428571426</v>
      </c>
      <c r="S161" s="26">
        <f t="shared" si="69"/>
        <v>0.62857142857142856</v>
      </c>
      <c r="T161" s="26">
        <f t="shared" si="69"/>
        <v>2.642857142857143E-2</v>
      </c>
      <c r="U161" s="26">
        <f t="shared" si="69"/>
        <v>0</v>
      </c>
      <c r="V161" s="26">
        <f t="shared" si="69"/>
        <v>0</v>
      </c>
      <c r="W161" s="26">
        <f t="shared" si="69"/>
        <v>6.2857142857142861E-2</v>
      </c>
      <c r="X161" s="26">
        <f t="shared" si="22"/>
        <v>1</v>
      </c>
      <c r="Z161" s="4">
        <f>'[25]Predicted Residual Prices'!AS434</f>
        <v>8.3875316418111741</v>
      </c>
      <c r="AA161" s="4">
        <f>'[26]Predicted Distillate Prices'!AS434</f>
        <v>9.3384960947332516</v>
      </c>
      <c r="AB161" s="4">
        <f>'[27]Predicted Gas Prices'!AR434</f>
        <v>10.686684956227603</v>
      </c>
      <c r="AC161" s="4">
        <f>'[28]Predicted LPG Prices'!AS434</f>
        <v>8.6966639905659324</v>
      </c>
      <c r="AD161" s="4">
        <f>'[29]Predicted Coal Prices'!AS434</f>
        <v>2.4291927922391401</v>
      </c>
      <c r="AE161" s="4">
        <f>'[30]Predicted Coke Prices'!AS392</f>
        <v>0</v>
      </c>
      <c r="AF161" s="4">
        <f>'[31]Predicted Other Prices'!AT392</f>
        <v>4.6023003668161424</v>
      </c>
      <c r="AH161" s="115">
        <f t="shared" si="45"/>
        <v>9.8257522146320753</v>
      </c>
      <c r="AI161" s="4">
        <f>'[32]Quantity Shares_1998 forward'!AH161</f>
        <v>9.8299557689544486</v>
      </c>
    </row>
    <row r="162" spans="4:35" x14ac:dyDescent="0.2">
      <c r="D162">
        <f>[13]Quantity_shares!BB388</f>
        <v>2005</v>
      </c>
      <c r="E162" t="str">
        <f>[13]Quantity_shares!BC388</f>
        <v>321</v>
      </c>
      <c r="F162" s="26">
        <f>[13]Quantity_shares!BD388</f>
        <v>0.2292330928008055</v>
      </c>
      <c r="G162" s="26">
        <f>[13]Quantity_shares!BE388</f>
        <v>4.9330144878894665E-2</v>
      </c>
      <c r="H162" s="26">
        <f>[13]Quantity_shares!BF388</f>
        <v>3.4723387592996591E-2</v>
      </c>
      <c r="I162" s="26">
        <f>[13]Quantity_shares!BG388</f>
        <v>0.68671337472730332</v>
      </c>
      <c r="Q162" s="26">
        <f t="shared" ref="Q162:W162" si="70">0.25*Q99+0.75*Q183</f>
        <v>1.6904466501240695E-2</v>
      </c>
      <c r="R162" s="26">
        <f t="shared" si="70"/>
        <v>7.5992555831265504E-2</v>
      </c>
      <c r="S162" s="26">
        <f t="shared" si="70"/>
        <v>0.4350186104218362</v>
      </c>
      <c r="T162" s="26">
        <f t="shared" si="70"/>
        <v>2.4968982630272953E-2</v>
      </c>
      <c r="U162" s="26">
        <f t="shared" si="70"/>
        <v>5.7847394540942926E-2</v>
      </c>
      <c r="V162" s="26">
        <f t="shared" si="70"/>
        <v>1.8610421836228288E-3</v>
      </c>
      <c r="W162" s="26">
        <f t="shared" si="70"/>
        <v>0.38740694789081886</v>
      </c>
      <c r="X162" s="26">
        <f t="shared" si="22"/>
        <v>0.99999999999999989</v>
      </c>
      <c r="Z162" s="4">
        <f>'[25]Predicted Residual Prices'!AS435</f>
        <v>6.575742938211989</v>
      </c>
      <c r="AA162" s="4">
        <f>'[26]Predicted Distillate Prices'!AS435</f>
        <v>13.951564758489049</v>
      </c>
      <c r="AB162" s="4">
        <f>'[27]Predicted Gas Prices'!AR435</f>
        <v>9.2523232912582625</v>
      </c>
      <c r="AC162" s="4">
        <f>'[28]Predicted LPG Prices'!AS435</f>
        <v>11.204781984183805</v>
      </c>
      <c r="AD162" s="4">
        <f>'[29]Predicted Coal Prices'!AS435</f>
        <v>2.2011746312459506</v>
      </c>
      <c r="AE162" s="4">
        <f>'[30]Predicted Coke Prices'!AS393</f>
        <v>0</v>
      </c>
      <c r="AF162" s="4">
        <f>'[31]Predicted Other Prices'!AT393</f>
        <v>2.036244930654135</v>
      </c>
      <c r="AH162" s="115">
        <f t="shared" si="45"/>
        <v>6.3922669692286798</v>
      </c>
      <c r="AI162" s="4">
        <f>'[32]Quantity Shares_1998 forward'!AH162</f>
        <v>6.3359976546041983</v>
      </c>
    </row>
    <row r="163" spans="4:35" x14ac:dyDescent="0.2">
      <c r="D163">
        <f>[13]Quantity_shares!BB389</f>
        <v>2005</v>
      </c>
      <c r="E163" t="str">
        <f>[13]Quantity_shares!BC389</f>
        <v>322</v>
      </c>
      <c r="F163" s="26">
        <f>[13]Quantity_shares!BD389</f>
        <v>0.22776457930880017</v>
      </c>
      <c r="G163" s="26">
        <f>[13]Quantity_shares!BE389</f>
        <v>5.0256503578918178E-2</v>
      </c>
      <c r="H163" s="26">
        <f>[13]Quantity_shares!BF389</f>
        <v>0.10607852822405933</v>
      </c>
      <c r="I163" s="26">
        <f>[13]Quantity_shares!BG389</f>
        <v>0.61590038888822229</v>
      </c>
      <c r="Q163" s="26">
        <f t="shared" ref="Q163:W163" si="71">0.25*Q100+0.75*Q184</f>
        <v>8.4152230140128029E-2</v>
      </c>
      <c r="R163" s="26">
        <f t="shared" si="71"/>
        <v>1.1746315653510761E-2</v>
      </c>
      <c r="S163" s="26">
        <f t="shared" si="71"/>
        <v>0.43471547520036297</v>
      </c>
      <c r="T163" s="26">
        <f t="shared" si="71"/>
        <v>4.7320382201723873E-3</v>
      </c>
      <c r="U163" s="26">
        <f t="shared" si="71"/>
        <v>0.20247228470437018</v>
      </c>
      <c r="V163" s="26">
        <f t="shared" si="71"/>
        <v>8.5689802913453304E-4</v>
      </c>
      <c r="W163" s="26">
        <f t="shared" si="71"/>
        <v>0.26132475805232119</v>
      </c>
      <c r="X163" s="26">
        <f t="shared" si="22"/>
        <v>1.0000000000000002</v>
      </c>
      <c r="Z163" s="4">
        <f>'[25]Predicted Residual Prices'!AS436</f>
        <v>6.7317385080464573</v>
      </c>
      <c r="AA163" s="4">
        <f>'[26]Predicted Distillate Prices'!AS436</f>
        <v>9.4023367024326667</v>
      </c>
      <c r="AB163" s="4">
        <f>'[27]Predicted Gas Prices'!AR436</f>
        <v>8.4383684788053941</v>
      </c>
      <c r="AC163" s="4">
        <f>'[28]Predicted LPG Prices'!AS436</f>
        <v>14.751670643491114</v>
      </c>
      <c r="AD163" s="4">
        <f>'[29]Predicted Coal Prices'!AS436</f>
        <v>2.5561011595134322</v>
      </c>
      <c r="AE163" s="4">
        <f>'[30]Predicted Coke Prices'!AS394</f>
        <v>5.0650000000000004</v>
      </c>
      <c r="AF163" s="4">
        <f>'[31]Predicted Other Prices'!AT394</f>
        <v>4.4669680537629244</v>
      </c>
      <c r="AH163" s="115">
        <f t="shared" si="45"/>
        <v>6.1042376315324827</v>
      </c>
      <c r="AI163" s="4">
        <f>'[32]Quantity Shares_1998 forward'!AH163</f>
        <v>6.0509942228160529</v>
      </c>
    </row>
    <row r="164" spans="4:35" x14ac:dyDescent="0.2">
      <c r="D164">
        <f>[13]Quantity_shares!BB390</f>
        <v>2005</v>
      </c>
      <c r="E164" t="str">
        <f>[13]Quantity_shares!BC390</f>
        <v>323</v>
      </c>
      <c r="F164" s="26">
        <f>[13]Quantity_shares!BD390</f>
        <v>0.9535372791091743</v>
      </c>
      <c r="G164" s="26">
        <f>[13]Quantity_shares!BE390</f>
        <v>1.4115831517792297E-2</v>
      </c>
      <c r="H164" s="26">
        <f>[13]Quantity_shares!BF390</f>
        <v>2.3526385862987167E-16</v>
      </c>
      <c r="I164" s="26">
        <f>[13]Quantity_shares!BG390</f>
        <v>3.234688937303315E-2</v>
      </c>
      <c r="Q164" s="26">
        <f t="shared" ref="Q164:W164" si="72">0.25*Q101+0.75*Q185</f>
        <v>1.4502013630731101E-3</v>
      </c>
      <c r="R164" s="26">
        <f t="shared" si="72"/>
        <v>3.9420693928128876E-3</v>
      </c>
      <c r="S164" s="26">
        <f t="shared" si="72"/>
        <v>0.9644903965303594</v>
      </c>
      <c r="T164" s="26">
        <f t="shared" si="72"/>
        <v>2.3795693928128869E-2</v>
      </c>
      <c r="U164" s="26">
        <f t="shared" si="72"/>
        <v>0</v>
      </c>
      <c r="V164" s="26">
        <f t="shared" si="72"/>
        <v>0</v>
      </c>
      <c r="W164" s="26">
        <f t="shared" si="72"/>
        <v>6.3216387856257737E-3</v>
      </c>
      <c r="X164" s="26">
        <f t="shared" si="22"/>
        <v>1</v>
      </c>
      <c r="Z164" s="4">
        <f>'[25]Predicted Residual Prices'!AS437</f>
        <v>6.9460438869305641</v>
      </c>
      <c r="AA164" s="4">
        <f>'[26]Predicted Distillate Prices'!AS437</f>
        <v>13.19947541739888</v>
      </c>
      <c r="AB164" s="4">
        <f>'[27]Predicted Gas Prices'!AR437</f>
        <v>8.865340386137019</v>
      </c>
      <c r="AC164" s="4">
        <f>'[28]Predicted LPG Prices'!AS437</f>
        <v>15.884235323203967</v>
      </c>
      <c r="AD164" s="4">
        <f>'[29]Predicted Coal Prices'!AS437</f>
        <v>2.8626468578900908</v>
      </c>
      <c r="AE164" s="4">
        <f>'[30]Predicted Coke Prices'!AS395</f>
        <v>0</v>
      </c>
      <c r="AF164" s="4">
        <f>'[31]Predicted Other Prices'!AT395</f>
        <v>4.4178210446865531</v>
      </c>
      <c r="AH164" s="115">
        <f t="shared" si="45"/>
        <v>9.018546345656187</v>
      </c>
      <c r="AI164" s="4">
        <f>'[32]Quantity Shares_1998 forward'!AH164</f>
        <v>8.9857040270447079</v>
      </c>
    </row>
    <row r="165" spans="4:35" x14ac:dyDescent="0.2">
      <c r="D165">
        <f>[13]Quantity_shares!BB391</f>
        <v>2005</v>
      </c>
      <c r="E165" t="str">
        <f>[13]Quantity_shares!BC391</f>
        <v>324</v>
      </c>
      <c r="F165" s="26">
        <f>[13]Quantity_shares!BD391</f>
        <v>0.2667041997107088</v>
      </c>
      <c r="G165" s="26">
        <f>[13]Quantity_shares!BE391</f>
        <v>2.2428425357873212E-2</v>
      </c>
      <c r="H165" s="26">
        <f>[13]Quantity_shares!BF391</f>
        <v>1.3250162102848021E-2</v>
      </c>
      <c r="I165" s="26">
        <f>[13]Quantity_shares!BG391</f>
        <v>0.69761721282856992</v>
      </c>
      <c r="Q165" s="26">
        <f t="shared" ref="Q165:W165" si="73">0.25*Q102+0.75*Q186</f>
        <v>2.6405880092595604E-2</v>
      </c>
      <c r="R165" s="26">
        <f t="shared" si="73"/>
        <v>1.3923107799221585E-2</v>
      </c>
      <c r="S165" s="26">
        <f t="shared" si="73"/>
        <v>0.6867255648992604</v>
      </c>
      <c r="T165" s="26">
        <f t="shared" si="73"/>
        <v>5.0940573313727287E-3</v>
      </c>
      <c r="U165" s="26">
        <f t="shared" si="73"/>
        <v>3.3781374289370329E-2</v>
      </c>
      <c r="V165" s="26">
        <f t="shared" si="73"/>
        <v>8.0143906387475445E-5</v>
      </c>
      <c r="W165" s="26">
        <f t="shared" si="73"/>
        <v>0.23398987168179194</v>
      </c>
      <c r="X165" s="26">
        <f t="shared" si="22"/>
        <v>1</v>
      </c>
      <c r="Z165" s="4">
        <f>'[25]Predicted Residual Prices'!AS438</f>
        <v>3.928302243739314</v>
      </c>
      <c r="AA165" s="4">
        <f>'[26]Predicted Distillate Prices'!AS438</f>
        <v>11.602342596926338</v>
      </c>
      <c r="AB165" s="4">
        <f>'[27]Predicted Gas Prices'!AR438</f>
        <v>7.2635054700274218</v>
      </c>
      <c r="AC165" s="4">
        <f>'[28]Predicted LPG Prices'!AS438</f>
        <v>16.326798984459696</v>
      </c>
      <c r="AD165" s="4">
        <f>'[29]Predicted Coal Prices'!AS438</f>
        <v>3.3418863356426489</v>
      </c>
      <c r="AE165" s="4">
        <f>'[30]Predicted Coke Prices'!AS396</f>
        <v>0</v>
      </c>
      <c r="AF165" s="4">
        <f>'[31]Predicted Other Prices'!AT396</f>
        <v>4.938638480610364</v>
      </c>
      <c r="AH165" s="115">
        <f t="shared" si="45"/>
        <v>6.6049603893319011</v>
      </c>
      <c r="AI165" s="4">
        <f>'[32]Quantity Shares_1998 forward'!AH165</f>
        <v>6.5981972656705565</v>
      </c>
    </row>
    <row r="166" spans="4:35" x14ac:dyDescent="0.2">
      <c r="D166">
        <f>[13]Quantity_shares!BB392</f>
        <v>2005</v>
      </c>
      <c r="E166" t="str">
        <f>[13]Quantity_shares!BC392</f>
        <v>325</v>
      </c>
      <c r="F166" s="26">
        <f>[13]Quantity_shares!BD392</f>
        <v>0.51986478183107054</v>
      </c>
      <c r="G166" s="26">
        <f>[13]Quantity_shares!BE392</f>
        <v>1.3357984649802607E-2</v>
      </c>
      <c r="H166" s="26">
        <f>[13]Quantity_shares!BF392</f>
        <v>7.0985968981786204E-2</v>
      </c>
      <c r="I166" s="26">
        <f>[13]Quantity_shares!BG392</f>
        <v>0.39579126453734076</v>
      </c>
      <c r="Q166" s="26">
        <f t="shared" ref="Q166:W166" si="74">0.25*Q103+0.75*Q187</f>
        <v>1.1859585736328997E-2</v>
      </c>
      <c r="R166" s="26">
        <f t="shared" si="74"/>
        <v>3.937090811205835E-3</v>
      </c>
      <c r="S166" s="26">
        <f t="shared" si="74"/>
        <v>0.62721477150132232</v>
      </c>
      <c r="T166" s="26">
        <f t="shared" si="74"/>
        <v>5.4266031915499177E-3</v>
      </c>
      <c r="U166" s="26">
        <f t="shared" si="74"/>
        <v>8.6282178062861092E-2</v>
      </c>
      <c r="V166" s="26">
        <f t="shared" si="74"/>
        <v>1.2968058364122592E-4</v>
      </c>
      <c r="W166" s="26">
        <f t="shared" si="74"/>
        <v>0.26515009011309065</v>
      </c>
      <c r="X166" s="26">
        <f t="shared" si="22"/>
        <v>1</v>
      </c>
      <c r="Z166" s="4">
        <f>'[25]Predicted Residual Prices'!AS439</f>
        <v>6.4755021894655602</v>
      </c>
      <c r="AA166" s="4">
        <f>'[26]Predicted Distillate Prices'!AS439</f>
        <v>11.661474159405186</v>
      </c>
      <c r="AB166" s="4">
        <f>'[27]Predicted Gas Prices'!AR439</f>
        <v>7.7903307702499802</v>
      </c>
      <c r="AC166" s="4">
        <f>'[28]Predicted LPG Prices'!AS439</f>
        <v>10.913069960604611</v>
      </c>
      <c r="AD166" s="4">
        <f>'[29]Predicted Coal Prices'!AS439</f>
        <v>2.5553481091054713</v>
      </c>
      <c r="AE166" s="4">
        <f>'[30]Predicted Coke Prices'!AS397</f>
        <v>7.9057435748884277</v>
      </c>
      <c r="AF166" s="4">
        <f>'[31]Predicted Other Prices'!AT397</f>
        <v>6.8417492353372911</v>
      </c>
      <c r="AH166" s="115">
        <f t="shared" si="45"/>
        <v>7.1037371387039423</v>
      </c>
      <c r="AI166" s="4">
        <f>'[32]Quantity Shares_1998 forward'!AH166</f>
        <v>6.991532376972506</v>
      </c>
    </row>
    <row r="167" spans="4:35" x14ac:dyDescent="0.2">
      <c r="D167">
        <f>[13]Quantity_shares!BB393</f>
        <v>2005</v>
      </c>
      <c r="E167" t="str">
        <f>[13]Quantity_shares!BC393</f>
        <v>326</v>
      </c>
      <c r="F167" s="26">
        <f>[13]Quantity_shares!BD393</f>
        <v>0.83241251826570073</v>
      </c>
      <c r="G167" s="26">
        <f>[13]Quantity_shares!BE393</f>
        <v>7.3550103527151994E-2</v>
      </c>
      <c r="H167" s="26">
        <f>[13]Quantity_shares!BF393</f>
        <v>5.4915216167791436E-2</v>
      </c>
      <c r="I167" s="26">
        <f>[13]Quantity_shares!BG393</f>
        <v>3.9122162039355805E-2</v>
      </c>
      <c r="Q167" s="26">
        <f t="shared" ref="Q167:W167" si="75">0.25*Q104+0.75*Q188</f>
        <v>5.4437229437229437E-2</v>
      </c>
      <c r="R167" s="26">
        <f t="shared" si="75"/>
        <v>1.7640692640692641E-2</v>
      </c>
      <c r="S167" s="26">
        <f t="shared" si="75"/>
        <v>0.81244588744588742</v>
      </c>
      <c r="T167" s="26">
        <f t="shared" si="75"/>
        <v>2.8896103896103892E-2</v>
      </c>
      <c r="U167" s="26">
        <f t="shared" si="75"/>
        <v>6.1038961038961032E-2</v>
      </c>
      <c r="V167" s="26">
        <f t="shared" si="75"/>
        <v>0</v>
      </c>
      <c r="W167" s="26">
        <f t="shared" si="75"/>
        <v>2.5541125541125542E-2</v>
      </c>
      <c r="X167" s="26">
        <f t="shared" si="22"/>
        <v>0.99999999999999989</v>
      </c>
      <c r="Z167" s="4">
        <f>'[25]Predicted Residual Prices'!AS440</f>
        <v>7.4092434776350897</v>
      </c>
      <c r="AA167" s="4">
        <f>'[26]Predicted Distillate Prices'!AS440</f>
        <v>12.521565977574969</v>
      </c>
      <c r="AB167" s="4">
        <f>'[27]Predicted Gas Prices'!AR440</f>
        <v>9.2510540396435061</v>
      </c>
      <c r="AC167" s="4">
        <f>'[28]Predicted LPG Prices'!AS440</f>
        <v>14.645776763384031</v>
      </c>
      <c r="AD167" s="4">
        <f>'[29]Predicted Coal Prices'!AS440</f>
        <v>2.3912925456932626</v>
      </c>
      <c r="AE167" s="4">
        <f>'[30]Predicted Coke Prices'!AS398</f>
        <v>0</v>
      </c>
      <c r="AF167" s="4">
        <f>'[31]Predicted Other Prices'!AT398</f>
        <v>6.6724790444790685</v>
      </c>
      <c r="AH167" s="115">
        <f t="shared" si="45"/>
        <v>8.8797991174556898</v>
      </c>
      <c r="AI167" s="4">
        <f>'[32]Quantity Shares_1998 forward'!AH167</f>
        <v>8.9437386780586845</v>
      </c>
    </row>
    <row r="168" spans="4:35" x14ac:dyDescent="0.2">
      <c r="D168">
        <f>[13]Quantity_shares!BB394</f>
        <v>2005</v>
      </c>
      <c r="E168" t="str">
        <f>[13]Quantity_shares!BC394</f>
        <v>327</v>
      </c>
      <c r="F168" s="26">
        <f>[13]Quantity_shares!BD394</f>
        <v>0.47487476195605094</v>
      </c>
      <c r="G168" s="26">
        <f>[13]Quantity_shares!BE394</f>
        <v>3.5165479215984639E-2</v>
      </c>
      <c r="H168" s="26">
        <f>[13]Quantity_shares!BF394</f>
        <v>0.34694919895776288</v>
      </c>
      <c r="I168" s="26">
        <f>[13]Quantity_shares!BG394</f>
        <v>0.14301055987020161</v>
      </c>
      <c r="Q168" s="26">
        <f t="shared" ref="Q168:W168" si="76">0.25*Q105+0.75*Q189</f>
        <v>3.2753609816856578E-3</v>
      </c>
      <c r="R168" s="26">
        <f t="shared" si="76"/>
        <v>3.305923328873922E-2</v>
      </c>
      <c r="S168" s="26">
        <f t="shared" si="76"/>
        <v>0.48951653826636526</v>
      </c>
      <c r="T168" s="26">
        <f t="shared" si="76"/>
        <v>4.8476880257108147E-3</v>
      </c>
      <c r="U168" s="26">
        <f t="shared" si="76"/>
        <v>0.3460099798557611</v>
      </c>
      <c r="V168" s="26">
        <f t="shared" si="76"/>
        <v>1.2009656932847411E-2</v>
      </c>
      <c r="W168" s="26">
        <f t="shared" si="76"/>
        <v>0.11128154264889054</v>
      </c>
      <c r="X168" s="26">
        <f t="shared" si="22"/>
        <v>1</v>
      </c>
      <c r="Z168" s="4">
        <f>'[25]Predicted Residual Prices'!AS441</f>
        <v>7.2429160111842172</v>
      </c>
      <c r="AA168" s="4">
        <f>'[26]Predicted Distillate Prices'!AS441</f>
        <v>15.986260024356216</v>
      </c>
      <c r="AB168" s="4">
        <f>'[27]Predicted Gas Prices'!AR441</f>
        <v>8.4929344931550244</v>
      </c>
      <c r="AC168" s="4">
        <f>'[28]Predicted LPG Prices'!AS441</f>
        <v>12.711015874080026</v>
      </c>
      <c r="AD168" s="4">
        <f>'[29]Predicted Coal Prices'!AS441</f>
        <v>2.2869892082179994</v>
      </c>
      <c r="AE168" s="4">
        <f>'[30]Predicted Coke Prices'!AS399</f>
        <v>2.8269718829268946</v>
      </c>
      <c r="AF168" s="4">
        <f>'[31]Predicted Other Prices'!AT399</f>
        <v>1.4960095458292242</v>
      </c>
      <c r="AH168" s="115">
        <f t="shared" si="45"/>
        <v>5.7630178987319036</v>
      </c>
      <c r="AI168" s="4">
        <f>'[32]Quantity Shares_1998 forward'!AH168</f>
        <v>5.931207977958417</v>
      </c>
    </row>
    <row r="169" spans="4:35" x14ac:dyDescent="0.2">
      <c r="D169">
        <f>[13]Quantity_shares!BB395</f>
        <v>2005</v>
      </c>
      <c r="E169" t="str">
        <f>[13]Quantity_shares!BC395</f>
        <v>331</v>
      </c>
      <c r="F169" s="26">
        <f>[13]Quantity_shares!BD395</f>
        <v>0.44378154547796472</v>
      </c>
      <c r="G169" s="26">
        <f>[13]Quantity_shares!BE395</f>
        <v>1.703408104265855E-2</v>
      </c>
      <c r="H169" s="26">
        <f>[13]Quantity_shares!BF395</f>
        <v>0.31364195822877805</v>
      </c>
      <c r="I169" s="26">
        <f>[13]Quantity_shares!BG395</f>
        <v>0.2255424152505987</v>
      </c>
      <c r="Q169" s="26">
        <f t="shared" ref="Q169:W169" si="77">0.25*Q106+0.75*Q190</f>
        <v>1.6271713814352953E-2</v>
      </c>
      <c r="R169" s="26">
        <f t="shared" si="77"/>
        <v>8.4338153234023976E-3</v>
      </c>
      <c r="S169" s="26">
        <f t="shared" si="77"/>
        <v>0.64422248774807123</v>
      </c>
      <c r="T169" s="26">
        <f t="shared" si="77"/>
        <v>4.0516279295453447E-3</v>
      </c>
      <c r="U169" s="26">
        <f t="shared" si="77"/>
        <v>2.8284062788102284E-2</v>
      </c>
      <c r="V169" s="26">
        <f t="shared" si="77"/>
        <v>0.24606512931243632</v>
      </c>
      <c r="W169" s="26">
        <f t="shared" si="77"/>
        <v>5.2671163084089472E-2</v>
      </c>
      <c r="X169" s="26">
        <f t="shared" si="22"/>
        <v>1</v>
      </c>
      <c r="Z169" s="4">
        <f>'[25]Predicted Residual Prices'!AS442</f>
        <v>5.0328876438421366</v>
      </c>
      <c r="AA169" s="4">
        <f>'[26]Predicted Distillate Prices'!AS442</f>
        <v>11.83563388992226</v>
      </c>
      <c r="AB169" s="4">
        <f>'[27]Predicted Gas Prices'!AR442</f>
        <v>8.0626842622761892</v>
      </c>
      <c r="AC169" s="4">
        <f>'[28]Predicted LPG Prices'!AS442</f>
        <v>12.267084015430187</v>
      </c>
      <c r="AD169" s="4">
        <f>'[29]Predicted Coal Prices'!AS442</f>
        <v>3.2048382594504594</v>
      </c>
      <c r="AE169" s="4">
        <f>'[30]Predicted Coke Prices'!AS400</f>
        <v>6.6183944686274696</v>
      </c>
      <c r="AF169" s="4">
        <f>'[31]Predicted Other Prices'!AT400</f>
        <v>2.7957474482948457</v>
      </c>
      <c r="AH169" s="115">
        <f t="shared" si="45"/>
        <v>7.2920346385557897</v>
      </c>
      <c r="AI169" s="4">
        <f>'[32]Quantity Shares_1998 forward'!AH169</f>
        <v>7.6879762724259439</v>
      </c>
    </row>
    <row r="170" spans="4:35" x14ac:dyDescent="0.2">
      <c r="D170">
        <f>[13]Quantity_shares!BB396</f>
        <v>2005</v>
      </c>
      <c r="E170" t="str">
        <f>[13]Quantity_shares!BC396</f>
        <v>332</v>
      </c>
      <c r="F170" s="26">
        <f>[13]Quantity_shares!BD396</f>
        <v>0.94256081356276922</v>
      </c>
      <c r="G170" s="26">
        <f>[13]Quantity_shares!BE396</f>
        <v>1.6442956175508318E-2</v>
      </c>
      <c r="H170" s="26">
        <f>[13]Quantity_shares!BF396</f>
        <v>1.9490360081485831E-3</v>
      </c>
      <c r="I170" s="26">
        <f>[13]Quantity_shares!BG396</f>
        <v>3.9047194253573884E-2</v>
      </c>
      <c r="Q170" s="26">
        <f t="shared" ref="Q170:W170" si="78">0.25*Q107+0.75*Q191</f>
        <v>2.5864701007545692E-3</v>
      </c>
      <c r="R170" s="26">
        <f t="shared" si="78"/>
        <v>1.2548523574824444E-2</v>
      </c>
      <c r="S170" s="26">
        <f t="shared" si="78"/>
        <v>0.94304749858245729</v>
      </c>
      <c r="T170" s="26">
        <f t="shared" si="78"/>
        <v>1.5185152876521132E-2</v>
      </c>
      <c r="U170" s="26">
        <f t="shared" si="78"/>
        <v>1.1013215859030838E-3</v>
      </c>
      <c r="V170" s="26">
        <f t="shared" si="78"/>
        <v>1.4417499018624332E-2</v>
      </c>
      <c r="W170" s="26">
        <f t="shared" si="78"/>
        <v>1.1113534260915079E-2</v>
      </c>
      <c r="X170" s="26">
        <f t="shared" si="22"/>
        <v>0.99999999999999989</v>
      </c>
      <c r="Z170" s="4">
        <f>'[25]Predicted Residual Prices'!AS443</f>
        <v>6.6009950608847374</v>
      </c>
      <c r="AA170" s="4">
        <f>'[26]Predicted Distillate Prices'!AS443</f>
        <v>17.443944217364098</v>
      </c>
      <c r="AB170" s="4">
        <f>'[27]Predicted Gas Prices'!AR443</f>
        <v>9.4952625237280319</v>
      </c>
      <c r="AC170" s="4">
        <f>'[28]Predicted LPG Prices'!AS443</f>
        <v>14.308543481013434</v>
      </c>
      <c r="AD170" s="4">
        <f>'[29]Predicted Coal Prices'!AS443</f>
        <v>4.3098451007762577</v>
      </c>
      <c r="AE170" s="4">
        <f>'[30]Predicted Coke Prices'!AS401</f>
        <v>6.3566160893022197</v>
      </c>
      <c r="AF170" s="4">
        <f>'[31]Predicted Other Prices'!AT401</f>
        <v>11.077941346562357</v>
      </c>
      <c r="AH170" s="115">
        <f t="shared" si="45"/>
        <v>9.6272381255608313</v>
      </c>
      <c r="AI170" s="4">
        <f>'[32]Quantity Shares_1998 forward'!AH170</f>
        <v>9.9409504094035661</v>
      </c>
    </row>
    <row r="171" spans="4:35" x14ac:dyDescent="0.2">
      <c r="D171">
        <f>[13]Quantity_shares!BB397</f>
        <v>2005</v>
      </c>
      <c r="E171" t="str">
        <f>[13]Quantity_shares!BC397</f>
        <v>333</v>
      </c>
      <c r="F171" s="26">
        <f>[13]Quantity_shares!BD397</f>
        <v>0.89667069173710534</v>
      </c>
      <c r="G171" s="26">
        <f>[13]Quantity_shares!BE397</f>
        <v>3.3551837157150252E-2</v>
      </c>
      <c r="H171" s="26">
        <f>[13]Quantity_shares!BF397</f>
        <v>1.0738312920476108E-2</v>
      </c>
      <c r="I171" s="26">
        <f>[13]Quantity_shares!BG397</f>
        <v>5.903915818526824E-2</v>
      </c>
      <c r="Q171" s="26">
        <f t="shared" ref="Q171:W171" si="79">0.25*Q108+0.75*Q192</f>
        <v>8.3389398392408193E-3</v>
      </c>
      <c r="R171" s="26">
        <f t="shared" si="79"/>
        <v>2.1617506462235758E-2</v>
      </c>
      <c r="S171" s="26">
        <f t="shared" si="79"/>
        <v>0.90244679720973053</v>
      </c>
      <c r="T171" s="26">
        <f t="shared" si="79"/>
        <v>2.9682022591268016E-2</v>
      </c>
      <c r="U171" s="26">
        <f t="shared" si="79"/>
        <v>1.0808753231117879E-2</v>
      </c>
      <c r="V171" s="26">
        <f t="shared" si="79"/>
        <v>0</v>
      </c>
      <c r="W171" s="26">
        <f t="shared" si="79"/>
        <v>2.7105980666406997E-2</v>
      </c>
      <c r="X171" s="26">
        <f t="shared" si="22"/>
        <v>1</v>
      </c>
      <c r="Z171" s="4">
        <f>'[25]Predicted Residual Prices'!AS444</f>
        <v>6.6115695777116112</v>
      </c>
      <c r="AA171" s="4">
        <f>'[26]Predicted Distillate Prices'!AS444</f>
        <v>16.050758778228815</v>
      </c>
      <c r="AB171" s="4">
        <f>'[27]Predicted Gas Prices'!AR444</f>
        <v>10.628880037577503</v>
      </c>
      <c r="AC171" s="4">
        <f>'[28]Predicted LPG Prices'!AS444</f>
        <v>13.949275753386624</v>
      </c>
      <c r="AD171" s="4">
        <f>'[29]Predicted Coal Prices'!AS444</f>
        <v>2.4113489660884908</v>
      </c>
      <c r="AE171" s="4">
        <f>'[30]Predicted Coke Prices'!AS402</f>
        <v>0</v>
      </c>
      <c r="AF171" s="4">
        <f>'[31]Predicted Other Prices'!AT402</f>
        <v>9.2792876750940074</v>
      </c>
      <c r="AH171" s="115">
        <f t="shared" si="45"/>
        <v>10.685740196693436</v>
      </c>
      <c r="AI171" s="4">
        <f>'[32]Quantity Shares_1998 forward'!AH171</f>
        <v>11.961938024635906</v>
      </c>
    </row>
    <row r="172" spans="4:35" x14ac:dyDescent="0.2">
      <c r="D172">
        <f>[13]Quantity_shares!BB398</f>
        <v>2005</v>
      </c>
      <c r="E172" t="str">
        <f>[13]Quantity_shares!BC398</f>
        <v>334</v>
      </c>
      <c r="F172" s="26">
        <f>[13]Quantity_shares!BD398</f>
        <v>0.93394886363636365</v>
      </c>
      <c r="G172" s="26">
        <f>[13]Quantity_shares!BE398</f>
        <v>3.0539772727272728E-2</v>
      </c>
      <c r="H172" s="26">
        <f>[13]Quantity_shares!BF398</f>
        <v>2.2727272727272726E-3</v>
      </c>
      <c r="I172" s="26">
        <f>[13]Quantity_shares!BG398</f>
        <v>3.3238636363636359E-2</v>
      </c>
      <c r="Q172" s="26">
        <f t="shared" ref="Q172:W172" si="80">0.25*Q109+0.75*Q193</f>
        <v>5.201699813853238E-3</v>
      </c>
      <c r="R172" s="26">
        <f t="shared" si="80"/>
        <v>1.9502547271480354E-2</v>
      </c>
      <c r="S172" s="26">
        <f t="shared" si="80"/>
        <v>0.94986896247673158</v>
      </c>
      <c r="T172" s="26">
        <f t="shared" si="80"/>
        <v>1.9502547271480358E-3</v>
      </c>
      <c r="U172" s="26">
        <f t="shared" si="80"/>
        <v>3.6127167630057802E-4</v>
      </c>
      <c r="V172" s="26">
        <f t="shared" si="80"/>
        <v>0</v>
      </c>
      <c r="W172" s="26">
        <f t="shared" si="80"/>
        <v>2.3115264034486136E-2</v>
      </c>
      <c r="X172" s="26">
        <f t="shared" si="22"/>
        <v>1</v>
      </c>
      <c r="Z172" s="4">
        <f>'[25]Predicted Residual Prices'!AS445</f>
        <v>7.3026670968156733</v>
      </c>
      <c r="AA172" s="4">
        <f>'[26]Predicted Distillate Prices'!AS445</f>
        <v>12.902438646349038</v>
      </c>
      <c r="AB172" s="4">
        <f>'[27]Predicted Gas Prices'!AR445</f>
        <v>9.7647440605816662</v>
      </c>
      <c r="AC172" s="4">
        <f>'[28]Predicted LPG Prices'!AS445</f>
        <v>15.392008139244174</v>
      </c>
      <c r="AD172" s="4">
        <f>'[29]Predicted Coal Prices'!AS445</f>
        <v>3.8263017452825081</v>
      </c>
      <c r="AE172" s="4">
        <f>'[30]Predicted Coke Prices'!AS403</f>
        <v>0</v>
      </c>
      <c r="AF172" s="4">
        <f>'[31]Predicted Other Prices'!AT403</f>
        <v>5.2118688962855506</v>
      </c>
      <c r="AH172" s="115">
        <f t="shared" si="45"/>
        <v>9.7167184081016487</v>
      </c>
      <c r="AI172" s="4">
        <f>'[32]Quantity Shares_1998 forward'!AH172</f>
        <v>9.3207832515757154</v>
      </c>
    </row>
    <row r="173" spans="4:35" x14ac:dyDescent="0.2">
      <c r="D173">
        <f>[13]Quantity_shares!BB399</f>
        <v>2005</v>
      </c>
      <c r="E173" t="str">
        <f>[13]Quantity_shares!BC399</f>
        <v>335</v>
      </c>
      <c r="F173" s="26">
        <f>[13]Quantity_shares!BD399</f>
        <v>0.94302633768574173</v>
      </c>
      <c r="G173" s="26">
        <f>[13]Quantity_shares!BE399</f>
        <v>1.8715220982478072E-2</v>
      </c>
      <c r="H173" s="26">
        <f>[13]Quantity_shares!BF399</f>
        <v>5.2216724775445761E-3</v>
      </c>
      <c r="I173" s="26">
        <f>[13]Quantity_shares!BG399</f>
        <v>3.3036768854235579E-2</v>
      </c>
      <c r="Q173" s="26">
        <f t="shared" ref="Q173:W173" si="81">0.25*Q110+0.75*Q194</f>
        <v>4.4483985765124553E-4</v>
      </c>
      <c r="R173" s="26">
        <f t="shared" si="81"/>
        <v>2.1769414742794209E-2</v>
      </c>
      <c r="S173" s="26">
        <f t="shared" si="81"/>
        <v>0.94592678737271219</v>
      </c>
      <c r="T173" s="26">
        <f t="shared" si="81"/>
        <v>2.1769414742794209E-2</v>
      </c>
      <c r="U173" s="26">
        <f t="shared" si="81"/>
        <v>4.4483985765124553E-4</v>
      </c>
      <c r="V173" s="26">
        <f t="shared" si="81"/>
        <v>0</v>
      </c>
      <c r="W173" s="26">
        <f t="shared" si="81"/>
        <v>9.6447034263969812E-3</v>
      </c>
      <c r="X173" s="26">
        <f t="shared" si="22"/>
        <v>1</v>
      </c>
      <c r="Z173" s="4">
        <f>'[25]Predicted Residual Prices'!AS446</f>
        <v>6.0771260968778149</v>
      </c>
      <c r="AA173" s="4">
        <f>'[26]Predicted Distillate Prices'!AS446</f>
        <v>9.512370584033004</v>
      </c>
      <c r="AB173" s="4">
        <f>'[27]Predicted Gas Prices'!AR446</f>
        <v>9.658934724099403</v>
      </c>
      <c r="AC173" s="4">
        <f>'[28]Predicted LPG Prices'!AS446</f>
        <v>17.569257579534074</v>
      </c>
      <c r="AD173" s="4">
        <f>'[29]Predicted Coal Prices'!AS446</f>
        <v>3.2585727786866716</v>
      </c>
      <c r="AE173" s="4">
        <f>'[30]Predicted Coke Prices'!AS404</f>
        <v>0</v>
      </c>
      <c r="AF173" s="4">
        <f>'[31]Predicted Other Prices'!AT404</f>
        <v>5.1734475747287654</v>
      </c>
      <c r="AH173" s="115">
        <f t="shared" si="45"/>
        <v>9.7802455469220622</v>
      </c>
      <c r="AI173" s="4">
        <f>'[32]Quantity Shares_1998 forward'!AH173</f>
        <v>10.411750490061559</v>
      </c>
    </row>
    <row r="174" spans="4:35" x14ac:dyDescent="0.2">
      <c r="D174">
        <f>[13]Quantity_shares!BB400</f>
        <v>2005</v>
      </c>
      <c r="E174" t="str">
        <f>[13]Quantity_shares!BC400</f>
        <v>336</v>
      </c>
      <c r="F174" s="26">
        <f>[13]Quantity_shares!BD400</f>
        <v>0.85658625230357943</v>
      </c>
      <c r="G174" s="26">
        <f>[13]Quantity_shares!BE400</f>
        <v>3.6207968979013856E-2</v>
      </c>
      <c r="H174" s="26">
        <f>[13]Quantity_shares!BF400</f>
        <v>2.1038256789976409E-2</v>
      </c>
      <c r="I174" s="26">
        <f>[13]Quantity_shares!BG400</f>
        <v>8.6167521927430213E-2</v>
      </c>
      <c r="Q174" s="26">
        <f t="shared" ref="Q174:W174" si="82">0.25*Q111+0.75*Q195</f>
        <v>2.4659369638882191E-2</v>
      </c>
      <c r="R174" s="26">
        <f t="shared" si="82"/>
        <v>1.0995165246487359E-2</v>
      </c>
      <c r="S174" s="26">
        <f t="shared" si="82"/>
        <v>0.86678198239072191</v>
      </c>
      <c r="T174" s="26">
        <f t="shared" si="82"/>
        <v>1.4660220328649814E-2</v>
      </c>
      <c r="U174" s="26">
        <f t="shared" si="82"/>
        <v>2.1313323219577209E-2</v>
      </c>
      <c r="V174" s="26">
        <f t="shared" si="82"/>
        <v>2.6690391459074735E-4</v>
      </c>
      <c r="W174" s="26">
        <f t="shared" si="82"/>
        <v>6.1589939175681618E-2</v>
      </c>
      <c r="X174" s="26">
        <f t="shared" si="22"/>
        <v>1.0002669039145908</v>
      </c>
      <c r="Z174" s="4">
        <f>'[25]Predicted Residual Prices'!AS447</f>
        <v>6.1408342414374006</v>
      </c>
      <c r="AA174" s="4">
        <f>'[26]Predicted Distillate Prices'!AS447</f>
        <v>14.738553661617711</v>
      </c>
      <c r="AB174" s="4">
        <f>'[27]Predicted Gas Prices'!AR447</f>
        <v>8.0985914295385086</v>
      </c>
      <c r="AC174" s="4">
        <f>'[28]Predicted LPG Prices'!AS447</f>
        <v>11.321466576732956</v>
      </c>
      <c r="AD174" s="4">
        <f>'[29]Predicted Coal Prices'!AS447</f>
        <v>2.7715808525289196</v>
      </c>
      <c r="AE174" s="4">
        <f>'[30]Predicted Coke Prices'!AS405</f>
        <v>0</v>
      </c>
      <c r="AF174" s="4">
        <f>'[31]Predicted Other Prices'!AT405</f>
        <v>6.5083145226746986</v>
      </c>
      <c r="AH174" s="115">
        <f t="shared" si="45"/>
        <v>7.9590885569075471</v>
      </c>
      <c r="AI174" s="4">
        <f>'[32]Quantity Shares_1998 forward'!AH174</f>
        <v>7.9408705929807937</v>
      </c>
    </row>
    <row r="175" spans="4:35" x14ac:dyDescent="0.2">
      <c r="D175">
        <f>[13]Quantity_shares!BB401</f>
        <v>2005</v>
      </c>
      <c r="E175" t="str">
        <f>[13]Quantity_shares!BC401</f>
        <v>337</v>
      </c>
      <c r="F175" s="26">
        <f>[13]Quantity_shares!BD401</f>
        <v>0.60955839005305745</v>
      </c>
      <c r="G175" s="26">
        <f>[13]Quantity_shares!BE401</f>
        <v>2.6173696339568037E-2</v>
      </c>
      <c r="H175" s="26">
        <f>[13]Quantity_shares!BF401</f>
        <v>7.5935205530843028E-2</v>
      </c>
      <c r="I175" s="26">
        <f>[13]Quantity_shares!BG401</f>
        <v>0.28833270807653144</v>
      </c>
      <c r="Q175" s="26">
        <f t="shared" ref="Q175:W175" si="83">0.25*Q112+0.75*Q196</f>
        <v>1.0824818054840844E-2</v>
      </c>
      <c r="R175" s="26">
        <f t="shared" si="83"/>
        <v>1.1559950011026981E-2</v>
      </c>
      <c r="S175" s="26">
        <f t="shared" si="83"/>
        <v>0.77666691171065205</v>
      </c>
      <c r="T175" s="26">
        <f t="shared" si="83"/>
        <v>4.1829008306991107E-2</v>
      </c>
      <c r="U175" s="26">
        <f t="shared" si="83"/>
        <v>0.10909358229802249</v>
      </c>
      <c r="V175" s="26">
        <f t="shared" si="83"/>
        <v>0</v>
      </c>
      <c r="W175" s="26">
        <f t="shared" si="83"/>
        <v>5.0025729618466519E-2</v>
      </c>
      <c r="X175" s="26">
        <f t="shared" si="22"/>
        <v>1</v>
      </c>
      <c r="Z175" s="4">
        <f>'[25]Predicted Residual Prices'!AS448</f>
        <v>6.1133655767295254</v>
      </c>
      <c r="AA175" s="4">
        <f>'[26]Predicted Distillate Prices'!AS448</f>
        <v>13.845683284343787</v>
      </c>
      <c r="AB175" s="4">
        <f>'[27]Predicted Gas Prices'!AR448</f>
        <v>11.279053423531664</v>
      </c>
      <c r="AC175" s="4">
        <f>'[28]Predicted LPG Prices'!AS448</f>
        <v>14.87714490853833</v>
      </c>
      <c r="AD175" s="4">
        <f>'[29]Predicted Coal Prices'!AS448</f>
        <v>2.0222267693960441</v>
      </c>
      <c r="AE175" s="4">
        <f>'[30]Predicted Coke Prices'!AS406</f>
        <v>0</v>
      </c>
      <c r="AF175" s="4">
        <f>'[31]Predicted Other Prices'!AT406</f>
        <v>2.9001655994340898</v>
      </c>
      <c r="AH175" s="115">
        <f t="shared" si="45"/>
        <v>9.9742901467621472</v>
      </c>
      <c r="AI175" s="4">
        <f>'[32]Quantity Shares_1998 forward'!AH175</f>
        <v>10.001272327225667</v>
      </c>
    </row>
    <row r="176" spans="4:35" x14ac:dyDescent="0.2">
      <c r="D176">
        <f>[13]Quantity_shares!BB402</f>
        <v>2005</v>
      </c>
      <c r="E176" t="str">
        <f>[13]Quantity_shares!BC402</f>
        <v>339</v>
      </c>
      <c r="F176" s="26">
        <f>[13]Quantity_shares!BD402</f>
        <v>0.79737559645535105</v>
      </c>
      <c r="G176" s="26">
        <f>[13]Quantity_shares!BE402</f>
        <v>8.7465916837082477E-2</v>
      </c>
      <c r="H176" s="26">
        <f>[13]Quantity_shares!BF402</f>
        <v>2.3006134969325849E-3</v>
      </c>
      <c r="I176" s="26">
        <f>[13]Quantity_shares!BG402</f>
        <v>0.11285787321063394</v>
      </c>
      <c r="Q176" s="26">
        <f t="shared" ref="Q176:W176" si="84">0.25*Q113+0.75*Q197</f>
        <v>6.1164529914529919E-2</v>
      </c>
      <c r="R176" s="26">
        <f t="shared" si="84"/>
        <v>2.6549145299145302E-2</v>
      </c>
      <c r="S176" s="26">
        <f t="shared" si="84"/>
        <v>0.79914529914529919</v>
      </c>
      <c r="T176" s="26">
        <f t="shared" si="84"/>
        <v>3.0021367521367522E-2</v>
      </c>
      <c r="U176" s="26">
        <f t="shared" si="84"/>
        <v>0</v>
      </c>
      <c r="V176" s="26">
        <f t="shared" si="84"/>
        <v>0</v>
      </c>
      <c r="W176" s="26">
        <f t="shared" si="84"/>
        <v>8.311965811965813E-2</v>
      </c>
      <c r="X176" s="26">
        <f t="shared" si="22"/>
        <v>1</v>
      </c>
      <c r="Z176" s="4">
        <f>'[25]Predicted Residual Prices'!AS449</f>
        <v>6.9183107877584513</v>
      </c>
      <c r="AA176" s="4">
        <f>'[26]Predicted Distillate Prices'!AS449</f>
        <v>13.495274905999571</v>
      </c>
      <c r="AB176" s="4">
        <f>'[27]Predicted Gas Prices'!AR449</f>
        <v>10.740422376597557</v>
      </c>
      <c r="AC176" s="4">
        <f>'[28]Predicted LPG Prices'!AS449</f>
        <v>15.591960486121708</v>
      </c>
      <c r="AD176" s="4">
        <f>'[29]Predicted Coal Prices'!AS449</f>
        <v>2.6517349756471593</v>
      </c>
      <c r="AE176" s="4">
        <f>'[30]Predicted Coke Prices'!AS407</f>
        <v>0</v>
      </c>
      <c r="AF176" s="4">
        <f>'[31]Predicted Other Prices'!AT407</f>
        <v>3.3553288834873101</v>
      </c>
      <c r="AH176" s="115">
        <f t="shared" si="45"/>
        <v>10.111587060367057</v>
      </c>
      <c r="AI176" s="4">
        <f>'[32]Quantity Shares_1998 forward'!AH176</f>
        <v>10.143664250617315</v>
      </c>
    </row>
    <row r="177" spans="4:35" x14ac:dyDescent="0.2">
      <c r="D177" s="27">
        <f>[13]Quantity_shares!BB403</f>
        <v>2006</v>
      </c>
      <c r="E177" s="27" t="str">
        <f>[13]Quantity_shares!BC403</f>
        <v>311</v>
      </c>
      <c r="F177" s="28">
        <f>[13]Quantity_shares!BD403</f>
        <v>0.67914438502673802</v>
      </c>
      <c r="G177" s="28">
        <f>[13]Quantity_shares!BE403</f>
        <v>4.4919786096256686E-2</v>
      </c>
      <c r="H177" s="28">
        <f>[13]Quantity_shares!BF403</f>
        <v>0.15828877005347594</v>
      </c>
      <c r="I177" s="28">
        <f>[13]Quantity_shares!BG403</f>
        <v>0.11764705882352941</v>
      </c>
      <c r="P177">
        <v>2006</v>
      </c>
      <c r="Q177" s="31">
        <f>MECS_data!AR62</f>
        <v>2.9782359679266894E-2</v>
      </c>
      <c r="R177" s="31">
        <f>MECS_data!AS62</f>
        <v>1.8327605956471937E-2</v>
      </c>
      <c r="S177" s="31">
        <f>MECS_data!AT62</f>
        <v>0.72737686139747992</v>
      </c>
      <c r="T177" s="31">
        <f>MECS_data!AU62</f>
        <v>3.4364261168384879E-3</v>
      </c>
      <c r="U177" s="31">
        <f>MECS_data!AV62</f>
        <v>0.16838487972508592</v>
      </c>
      <c r="V177" s="31">
        <f>MECS_data!AW62</f>
        <v>1.145475372279496E-3</v>
      </c>
      <c r="W177" s="31">
        <f>MECS_data!AX62</f>
        <v>5.1546391752577317E-2</v>
      </c>
      <c r="X177" s="32">
        <f>MECS_data!AY62</f>
        <v>1</v>
      </c>
      <c r="Z177" s="4">
        <f>'[25]Predicted Residual Prices'!AS450</f>
        <v>8</v>
      </c>
      <c r="AA177" s="4">
        <f>'[26]Predicted Distillate Prices'!AS450</f>
        <v>17.170000000000002</v>
      </c>
      <c r="AB177" s="4">
        <f>'[27]Predicted Gas Prices'!AR450</f>
        <v>7.54</v>
      </c>
      <c r="AC177" s="4">
        <f>'[28]Predicted LPG Prices'!AS450</f>
        <v>17.13</v>
      </c>
      <c r="AD177" s="4">
        <f>'[29]Predicted Coal Prices'!AS450</f>
        <v>1.93</v>
      </c>
      <c r="AE177" s="4">
        <f>'[30]Predicted Coke Prices'!AS408</f>
        <v>10.37</v>
      </c>
      <c r="AF177" s="4">
        <f>'[31]Predicted Other Prices'!AT408</f>
        <v>3.081967213114754</v>
      </c>
      <c r="AH177" s="115">
        <f t="shared" si="45"/>
        <v>6.5919570728409669</v>
      </c>
      <c r="AI177" s="4">
        <f>'[32]Quantity Shares_1998 forward'!AH177</f>
        <v>6.5919570728409669</v>
      </c>
    </row>
    <row r="178" spans="4:35" x14ac:dyDescent="0.2">
      <c r="D178" s="27">
        <f>[13]Quantity_shares!BB404</f>
        <v>2006</v>
      </c>
      <c r="E178" s="27" t="str">
        <f>[13]Quantity_shares!BC404</f>
        <v>312</v>
      </c>
      <c r="F178" s="28">
        <f>[13]Quantity_shares!BD404</f>
        <v>0.52564102564102566</v>
      </c>
      <c r="G178" s="28">
        <f>[13]Quantity_shares!BE404</f>
        <v>5.128205128205128E-2</v>
      </c>
      <c r="H178" s="28">
        <f>[13]Quantity_shares!BF404</f>
        <v>0.25641025641025639</v>
      </c>
      <c r="I178" s="28">
        <f>[13]Quantity_shares!BG404</f>
        <v>0.16666666666666666</v>
      </c>
      <c r="Q178" s="31">
        <f>MECS_data!AR63</f>
        <v>4.2253521126760563E-2</v>
      </c>
      <c r="R178" s="31">
        <f>MECS_data!AS63</f>
        <v>1.4084507042253521E-2</v>
      </c>
      <c r="S178" s="31">
        <f>MECS_data!AT63</f>
        <v>0.57746478873239437</v>
      </c>
      <c r="T178" s="31">
        <f>MECS_data!AU63</f>
        <v>1.4084507042253521E-2</v>
      </c>
      <c r="U178" s="31">
        <f>MECS_data!AV63</f>
        <v>0.28169014084507044</v>
      </c>
      <c r="V178" s="31">
        <f>MECS_data!AW63</f>
        <v>0</v>
      </c>
      <c r="W178" s="31">
        <f>MECS_data!AX63</f>
        <v>7.0422535211267609E-2</v>
      </c>
      <c r="X178" s="32">
        <f>MECS_data!AY63</f>
        <v>1</v>
      </c>
      <c r="Z178" s="4">
        <f>'[25]Predicted Residual Prices'!AS451</f>
        <v>8.4499999999999993</v>
      </c>
      <c r="AA178" s="4">
        <f>'[26]Predicted Distillate Prices'!AS451</f>
        <v>19.59</v>
      </c>
      <c r="AB178" s="4">
        <f>'[27]Predicted Gas Prices'!AR451</f>
        <v>9.24</v>
      </c>
      <c r="AC178" s="4">
        <f>'[28]Predicted LPG Prices'!AS451</f>
        <v>18.39</v>
      </c>
      <c r="AD178" s="4">
        <f>'[29]Predicted Coal Prices'!AS451</f>
        <v>3.19</v>
      </c>
      <c r="AE178" s="4">
        <f>'[30]Predicted Coke Prices'!AS409</f>
        <v>0</v>
      </c>
      <c r="AF178" s="4">
        <f>'[31]Predicted Other Prices'!AT409</f>
        <v>4</v>
      </c>
      <c r="AH178" s="115">
        <f t="shared" si="45"/>
        <v>7.4080281690140843</v>
      </c>
      <c r="AI178" s="4">
        <f>'[32]Quantity Shares_1998 forward'!AH178</f>
        <v>7.4080281690140843</v>
      </c>
    </row>
    <row r="179" spans="4:35" x14ac:dyDescent="0.2">
      <c r="D179" s="27">
        <f>[13]Quantity_shares!BB405</f>
        <v>2006</v>
      </c>
      <c r="E179" s="27" t="str">
        <f>[13]Quantity_shares!BC405</f>
        <v>313</v>
      </c>
      <c r="F179" s="28">
        <f>[13]Quantity_shares!BD405</f>
        <v>0.5829596412556054</v>
      </c>
      <c r="G179" s="28">
        <f>[13]Quantity_shares!BE405</f>
        <v>2.2421524663677129E-2</v>
      </c>
      <c r="H179" s="28">
        <f>[13]Quantity_shares!BF405</f>
        <v>0.28699551569506726</v>
      </c>
      <c r="I179" s="28">
        <f>[13]Quantity_shares!BG405</f>
        <v>0.10762331838565023</v>
      </c>
      <c r="Q179" s="31">
        <f>MECS_data!AR64</f>
        <v>1.7921146953405021E-2</v>
      </c>
      <c r="R179" s="31">
        <f>MECS_data!AS64</f>
        <v>4.4802867383512551E-3</v>
      </c>
      <c r="S179" s="31">
        <f>MECS_data!AT64</f>
        <v>0.58243727598566308</v>
      </c>
      <c r="T179" s="31">
        <f>MECS_data!AU64</f>
        <v>8.96057347670251E-4</v>
      </c>
      <c r="U179" s="31">
        <f>MECS_data!AV64</f>
        <v>0.28673835125448033</v>
      </c>
      <c r="V179" s="31">
        <f>MECS_data!AW64</f>
        <v>0</v>
      </c>
      <c r="W179" s="31">
        <f>MECS_data!AX64</f>
        <v>0.10752688172043011</v>
      </c>
      <c r="X179" s="32">
        <f>MECS_data!AY64</f>
        <v>1</v>
      </c>
      <c r="Z179" s="4">
        <f>'[25]Predicted Residual Prices'!AS452</f>
        <v>8.49</v>
      </c>
      <c r="AA179" s="4">
        <f>'[26]Predicted Distillate Prices'!AS452</f>
        <v>18.440000000000001</v>
      </c>
      <c r="AB179" s="4">
        <f>'[27]Predicted Gas Prices'!AR452</f>
        <v>8.7799999999999994</v>
      </c>
      <c r="AC179" s="4">
        <f>'[28]Predicted LPG Prices'!AS452</f>
        <v>20.010000000000002</v>
      </c>
      <c r="AD179" s="4">
        <f>'[29]Predicted Coal Prices'!AS452</f>
        <v>3.63</v>
      </c>
      <c r="AE179" s="4">
        <f>'[30]Predicted Coke Prices'!AS410</f>
        <v>0</v>
      </c>
      <c r="AF179" s="4">
        <f>'[31]Predicted Other Prices'!AT410</f>
        <v>4.916666666666667</v>
      </c>
      <c r="AH179" s="115">
        <f t="shared" si="45"/>
        <v>6.9360304659498206</v>
      </c>
      <c r="AI179" s="4">
        <f>'[32]Quantity Shares_1998 forward'!AH179</f>
        <v>6.9360304659498206</v>
      </c>
    </row>
    <row r="180" spans="4:35" x14ac:dyDescent="0.2">
      <c r="D180" s="27">
        <f>[13]Quantity_shares!BB406</f>
        <v>2006</v>
      </c>
      <c r="E180" s="27" t="str">
        <f>[13]Quantity_shares!BC406</f>
        <v>314</v>
      </c>
      <c r="F180" s="28">
        <f>[13]Quantity_shares!BD406</f>
        <v>0.88461538461538458</v>
      </c>
      <c r="G180" s="28">
        <f>[13]Quantity_shares!BE406</f>
        <v>3.8461538461538464E-2</v>
      </c>
      <c r="H180" s="28">
        <f>[13]Quantity_shares!BF406</f>
        <v>5.7692307692307696E-2</v>
      </c>
      <c r="I180" s="28">
        <f>[13]Quantity_shares!BG406</f>
        <v>1.9230769230769232E-2</v>
      </c>
      <c r="Q180" s="31">
        <f>MECS_data!AR65</f>
        <v>2.8846153846153848E-2</v>
      </c>
      <c r="R180" s="31">
        <f>MECS_data!AS65</f>
        <v>1.9230769230769232E-3</v>
      </c>
      <c r="S180" s="31">
        <f>MECS_data!AT65</f>
        <v>0.88461538461538458</v>
      </c>
      <c r="T180" s="31">
        <f>MECS_data!AU65</f>
        <v>1.9230769230769232E-2</v>
      </c>
      <c r="U180" s="31">
        <f>MECS_data!AV65</f>
        <v>5.7692307692307696E-2</v>
      </c>
      <c r="V180" s="31">
        <f>MECS_data!AW65</f>
        <v>0</v>
      </c>
      <c r="W180" s="31">
        <f>MECS_data!AX65</f>
        <v>7.6923076923076927E-3</v>
      </c>
      <c r="X180" s="32">
        <f>MECS_data!AY65</f>
        <v>1</v>
      </c>
      <c r="Z180" s="4">
        <f>'[25]Predicted Residual Prices'!AS453</f>
        <v>8.5</v>
      </c>
      <c r="AA180" s="4">
        <f>'[26]Predicted Distillate Prices'!AS453</f>
        <v>15.42</v>
      </c>
      <c r="AB180" s="4">
        <f>'[27]Predicted Gas Prices'!AR453</f>
        <v>8.9</v>
      </c>
      <c r="AC180" s="4">
        <f>'[28]Predicted LPG Prices'!AS453</f>
        <v>19</v>
      </c>
      <c r="AD180" s="4">
        <f>'[29]Predicted Coal Prices'!AS453</f>
        <v>3.5</v>
      </c>
      <c r="AE180" s="4">
        <f>'[30]Predicted Coke Prices'!AS411</f>
        <v>0</v>
      </c>
      <c r="AF180" s="4">
        <f>'[31]Predicted Other Prices'!AT411</f>
        <v>5</v>
      </c>
      <c r="AH180" s="115">
        <f t="shared" si="45"/>
        <v>8.7536923076923081</v>
      </c>
      <c r="AI180" s="4">
        <f>'[32]Quantity Shares_1998 forward'!AH180</f>
        <v>8.7536923076923081</v>
      </c>
    </row>
    <row r="181" spans="4:35" x14ac:dyDescent="0.2">
      <c r="D181" s="27">
        <f>[13]Quantity_shares!BB407</f>
        <v>2006</v>
      </c>
      <c r="E181" s="27" t="str">
        <f>[13]Quantity_shares!BC407</f>
        <v>315</v>
      </c>
      <c r="F181" s="28">
        <f>[13]Quantity_shares!BD407</f>
        <v>0.93150684931506722</v>
      </c>
      <c r="G181" s="28">
        <f>[13]Quantity_shares!BE407</f>
        <v>4.1095890410958846E-2</v>
      </c>
      <c r="H181" s="28">
        <f>[13]Quantity_shares!BF407</f>
        <v>1.3698630136986284E-15</v>
      </c>
      <c r="I181" s="28">
        <f>[13]Quantity_shares!BG407</f>
        <v>2.739726027397257E-2</v>
      </c>
      <c r="Q181" s="31">
        <f>MECS_data!AR66</f>
        <v>6.8493150684931512E-3</v>
      </c>
      <c r="R181" s="31">
        <f>MECS_data!AS66</f>
        <v>1.3698630136986302E-2</v>
      </c>
      <c r="S181" s="31">
        <f>MECS_data!AT66</f>
        <v>0.95890410958904115</v>
      </c>
      <c r="T181" s="31">
        <f>MECS_data!AU66</f>
        <v>6.8493150684931512E-3</v>
      </c>
      <c r="U181" s="31">
        <f>MECS_data!AV66</f>
        <v>0</v>
      </c>
      <c r="V181" s="31">
        <f>MECS_data!AW66</f>
        <v>0</v>
      </c>
      <c r="W181" s="31">
        <f>MECS_data!AX66</f>
        <v>1.3698630136986302E-2</v>
      </c>
      <c r="X181" s="32">
        <f>MECS_data!AY66</f>
        <v>1</v>
      </c>
      <c r="Z181" s="4">
        <f>'[25]Predicted Residual Prices'!AS454</f>
        <v>8.5</v>
      </c>
      <c r="AA181" s="4">
        <f>'[26]Predicted Distillate Prices'!AS454</f>
        <v>14.46</v>
      </c>
      <c r="AB181" s="4">
        <f>'[27]Predicted Gas Prices'!AR454</f>
        <v>9.08</v>
      </c>
      <c r="AC181" s="4">
        <f>'[28]Predicted LPG Prices'!AS454</f>
        <v>17.739999999999998</v>
      </c>
      <c r="AD181" s="4">
        <f>'[29]Predicted Coal Prices'!AS454</f>
        <v>3.5</v>
      </c>
      <c r="AE181" s="4">
        <f>'[30]Predicted Coke Prices'!AS412</f>
        <v>0</v>
      </c>
      <c r="AF181" s="4">
        <f>'[31]Predicted Other Prices'!AT412</f>
        <v>5</v>
      </c>
      <c r="AH181" s="115">
        <f t="shared" si="45"/>
        <v>9.1531506849315072</v>
      </c>
      <c r="AI181" s="4">
        <f>'[32]Quantity Shares_1998 forward'!AH181</f>
        <v>9.1531506849315072</v>
      </c>
    </row>
    <row r="182" spans="4:35" x14ac:dyDescent="0.2">
      <c r="D182" s="27">
        <f>[13]Quantity_shares!BB408</f>
        <v>2006</v>
      </c>
      <c r="E182" s="27" t="str">
        <f>[13]Quantity_shares!BC408</f>
        <v>316</v>
      </c>
      <c r="F182" s="28">
        <f>[13]Quantity_shares!BD408</f>
        <v>0.71428571428570919</v>
      </c>
      <c r="G182" s="28">
        <f>[13]Quantity_shares!BE408</f>
        <v>0.14285714285714185</v>
      </c>
      <c r="H182" s="28">
        <f>[13]Quantity_shares!BF408</f>
        <v>7.1428571428570917E-15</v>
      </c>
      <c r="I182" s="28">
        <f>[13]Quantity_shares!BG408</f>
        <v>0.14285714285714185</v>
      </c>
      <c r="Q182" s="31">
        <f>MECS_data!AR67</f>
        <v>5.7142857142857141E-2</v>
      </c>
      <c r="R182" s="31">
        <f>MECS_data!AS67</f>
        <v>0.2857142857142857</v>
      </c>
      <c r="S182" s="31">
        <f>MECS_data!AT67</f>
        <v>0.5714285714285714</v>
      </c>
      <c r="T182" s="31">
        <f>MECS_data!AU67</f>
        <v>2.8571428571428571E-2</v>
      </c>
      <c r="U182" s="31">
        <f>MECS_data!AV67</f>
        <v>0</v>
      </c>
      <c r="V182" s="31">
        <f>MECS_data!AW67</f>
        <v>0</v>
      </c>
      <c r="W182" s="31">
        <f>MECS_data!AX67</f>
        <v>5.7142857142857141E-2</v>
      </c>
      <c r="X182" s="32">
        <f>MECS_data!AY67</f>
        <v>1</v>
      </c>
      <c r="Z182" s="4">
        <f>'[25]Predicted Residual Prices'!AS455</f>
        <v>10</v>
      </c>
      <c r="AA182" s="4">
        <f>'[26]Predicted Distillate Prices'!AS455</f>
        <v>10</v>
      </c>
      <c r="AB182" s="4">
        <f>'[27]Predicted Gas Prices'!AR455</f>
        <v>10</v>
      </c>
      <c r="AC182" s="4">
        <f>'[28]Predicted LPG Prices'!AS455</f>
        <v>10</v>
      </c>
      <c r="AD182" s="4">
        <f>'[29]Predicted Coal Prices'!AS455</f>
        <v>2.97</v>
      </c>
      <c r="AE182" s="4">
        <f>'[30]Predicted Coke Prices'!AS413</f>
        <v>0</v>
      </c>
      <c r="AF182" s="4">
        <f>'[31]Predicted Other Prices'!AT413</f>
        <v>5</v>
      </c>
      <c r="AH182" s="115">
        <f t="shared" si="45"/>
        <v>9.7142857142857153</v>
      </c>
      <c r="AI182" s="4">
        <f>'[32]Quantity Shares_1998 forward'!AH182</f>
        <v>9.7142857142857153</v>
      </c>
    </row>
    <row r="183" spans="4:35" x14ac:dyDescent="0.2">
      <c r="D183" s="27">
        <f>[13]Quantity_shares!BB409</f>
        <v>2006</v>
      </c>
      <c r="E183" s="27" t="str">
        <f>[13]Quantity_shares!BC409</f>
        <v>321</v>
      </c>
      <c r="F183" s="28">
        <f>[13]Quantity_shares!BD409</f>
        <v>0.24293785310734464</v>
      </c>
      <c r="G183" s="28">
        <f>[13]Quantity_shares!BE409</f>
        <v>5.3672316384180789E-2</v>
      </c>
      <c r="H183" s="28">
        <f>[13]Quantity_shares!BF409</f>
        <v>4.519774011299435E-2</v>
      </c>
      <c r="I183" s="28">
        <f>[13]Quantity_shares!BG409</f>
        <v>0.65819209039548021</v>
      </c>
      <c r="Q183" s="31">
        <f>MECS_data!AR68</f>
        <v>1.9851116625310174E-2</v>
      </c>
      <c r="R183" s="31">
        <f>MECS_data!AS68</f>
        <v>7.4441687344913146E-2</v>
      </c>
      <c r="S183" s="31">
        <f>MECS_data!AT68</f>
        <v>0.42679900744416871</v>
      </c>
      <c r="T183" s="31">
        <f>MECS_data!AU68</f>
        <v>1.9851116625310174E-2</v>
      </c>
      <c r="U183" s="31">
        <f>MECS_data!AV68</f>
        <v>7.4441687344913146E-2</v>
      </c>
      <c r="V183" s="31">
        <f>MECS_data!AW68</f>
        <v>2.4813895781637717E-3</v>
      </c>
      <c r="W183" s="31">
        <f>MECS_data!AX68</f>
        <v>0.38213399503722084</v>
      </c>
      <c r="X183" s="32">
        <f>MECS_data!AY68</f>
        <v>1</v>
      </c>
      <c r="Z183" s="4">
        <f>'[25]Predicted Residual Prices'!AS456</f>
        <v>8.33</v>
      </c>
      <c r="AA183" s="4">
        <f>'[26]Predicted Distillate Prices'!AS456</f>
        <v>16.75</v>
      </c>
      <c r="AB183" s="4">
        <f>'[27]Predicted Gas Prices'!AR456</f>
        <v>8.31</v>
      </c>
      <c r="AC183" s="4">
        <f>'[28]Predicted LPG Prices'!AS456</f>
        <v>13.22</v>
      </c>
      <c r="AD183" s="4">
        <f>'[29]Predicted Coal Prices'!AS456</f>
        <v>2.2000000000000002</v>
      </c>
      <c r="AE183" s="4">
        <f>'[30]Predicted Coke Prices'!AS414</f>
        <v>0</v>
      </c>
      <c r="AF183" s="4">
        <f>'[31]Predicted Other Prices'!AT414</f>
        <v>2.574074074074074</v>
      </c>
      <c r="AH183" s="115">
        <f t="shared" si="45"/>
        <v>6.3688024997702417</v>
      </c>
      <c r="AI183" s="4">
        <f>'[32]Quantity Shares_1998 forward'!AH183</f>
        <v>6.3688024997702417</v>
      </c>
    </row>
    <row r="184" spans="4:35" x14ac:dyDescent="0.2">
      <c r="D184" s="27">
        <f>[13]Quantity_shares!BB410</f>
        <v>2006</v>
      </c>
      <c r="E184" s="27" t="str">
        <f>[13]Quantity_shares!BC410</f>
        <v>322</v>
      </c>
      <c r="F184" s="28">
        <f>[13]Quantity_shares!BD410</f>
        <v>0.22507122507122507</v>
      </c>
      <c r="G184" s="28">
        <f>[13]Quantity_shares!BE410</f>
        <v>4.9382716049382713E-2</v>
      </c>
      <c r="H184" s="28">
        <f>[13]Quantity_shares!BF410</f>
        <v>0.10493827160493827</v>
      </c>
      <c r="I184" s="28">
        <f>[13]Quantity_shares!BG410</f>
        <v>0.62060778727445398</v>
      </c>
      <c r="Q184" s="31">
        <f>MECS_data!AR69</f>
        <v>8.3639705882352935E-2</v>
      </c>
      <c r="R184" s="31">
        <f>MECS_data!AS69</f>
        <v>1.1948529411764705E-2</v>
      </c>
      <c r="S184" s="31">
        <f>MECS_data!AT69</f>
        <v>0.43566176470588236</v>
      </c>
      <c r="T184" s="31">
        <f>MECS_data!AU69</f>
        <v>4.5955882352941178E-3</v>
      </c>
      <c r="U184" s="31">
        <f>MECS_data!AV69</f>
        <v>0.203125</v>
      </c>
      <c r="V184" s="31">
        <f>MECS_data!AW69</f>
        <v>0</v>
      </c>
      <c r="W184" s="31">
        <f>MECS_data!AX69</f>
        <v>0.2610294117647059</v>
      </c>
      <c r="X184" s="32">
        <f>MECS_data!AY69</f>
        <v>1</v>
      </c>
      <c r="Z184" s="4">
        <f>'[25]Predicted Residual Prices'!AS457</f>
        <v>7.82</v>
      </c>
      <c r="AA184" s="4">
        <f>'[26]Predicted Distillate Prices'!AS457</f>
        <v>10.93</v>
      </c>
      <c r="AB184" s="4">
        <f>'[27]Predicted Gas Prices'!AR457</f>
        <v>8.42</v>
      </c>
      <c r="AC184" s="4">
        <f>'[28]Predicted LPG Prices'!AS457</f>
        <v>17.559999999999999</v>
      </c>
      <c r="AD184" s="4">
        <f>'[29]Predicted Coal Prices'!AS457</f>
        <v>2.87</v>
      </c>
      <c r="AE184" s="4">
        <f>'[30]Predicted Coke Prices'!AS415</f>
        <v>5</v>
      </c>
      <c r="AF184" s="4">
        <f>'[31]Predicted Other Prices'!AT415</f>
        <v>5</v>
      </c>
      <c r="AH184" s="115">
        <f t="shared" si="45"/>
        <v>6.4217463235294119</v>
      </c>
      <c r="AI184" s="4">
        <f>'[32]Quantity Shares_1998 forward'!AH184</f>
        <v>6.4217463235294119</v>
      </c>
    </row>
    <row r="185" spans="4:35" x14ac:dyDescent="0.2">
      <c r="D185" s="27">
        <f>[13]Quantity_shares!BB411</f>
        <v>2006</v>
      </c>
      <c r="E185" s="27" t="str">
        <f>[13]Quantity_shares!BC411</f>
        <v>323</v>
      </c>
      <c r="F185" s="28">
        <f>[13]Quantity_shares!BD411</f>
        <v>0.95588235294117618</v>
      </c>
      <c r="G185" s="28">
        <f>[13]Quantity_shares!BE411</f>
        <v>1.4705882352941171E-2</v>
      </c>
      <c r="H185" s="28">
        <f>[13]Quantity_shares!BF411</f>
        <v>2.4509803921568622E-16</v>
      </c>
      <c r="I185" s="28">
        <f>[13]Quantity_shares!BG411</f>
        <v>2.9411764705882342E-2</v>
      </c>
      <c r="Q185" s="31">
        <f>MECS_data!AR70</f>
        <v>1.2391573729863693E-3</v>
      </c>
      <c r="R185" s="31">
        <f>MECS_data!AS70</f>
        <v>2.4783147459727386E-3</v>
      </c>
      <c r="S185" s="31">
        <f>MECS_data!AT70</f>
        <v>0.96654275092936803</v>
      </c>
      <c r="T185" s="31">
        <f>MECS_data!AU70</f>
        <v>2.4783147459727383E-2</v>
      </c>
      <c r="U185" s="31">
        <f>MECS_data!AV70</f>
        <v>0</v>
      </c>
      <c r="V185" s="31">
        <f>MECS_data!AW70</f>
        <v>0</v>
      </c>
      <c r="W185" s="31">
        <f>MECS_data!AX70</f>
        <v>4.9566294919454771E-3</v>
      </c>
      <c r="X185" s="32">
        <f>MECS_data!AY70</f>
        <v>1</v>
      </c>
      <c r="Z185" s="4">
        <f>'[25]Predicted Residual Prices'!AS458</f>
        <v>8.5</v>
      </c>
      <c r="AA185" s="4">
        <f>'[26]Predicted Distillate Prices'!AS458</f>
        <v>15</v>
      </c>
      <c r="AB185" s="4">
        <f>'[27]Predicted Gas Prices'!AR458</f>
        <v>7.61</v>
      </c>
      <c r="AC185" s="4">
        <f>'[28]Predicted LPG Prices'!AS458</f>
        <v>19.010000000000002</v>
      </c>
      <c r="AD185" s="4">
        <f>'[29]Predicted Coal Prices'!AS458</f>
        <v>3.2670000000000003</v>
      </c>
      <c r="AE185" s="4">
        <f>'[30]Predicted Coke Prices'!AS416</f>
        <v>0</v>
      </c>
      <c r="AF185" s="4">
        <f>'[31]Predicted Other Prices'!AT416</f>
        <v>5</v>
      </c>
      <c r="AH185" s="115">
        <f t="shared" si="45"/>
        <v>7.8990086741016112</v>
      </c>
      <c r="AI185" s="4">
        <f>'[32]Quantity Shares_1998 forward'!AH185</f>
        <v>7.8990086741016112</v>
      </c>
    </row>
    <row r="186" spans="4:35" x14ac:dyDescent="0.2">
      <c r="D186" s="27">
        <f>[13]Quantity_shares!BB412</f>
        <v>2006</v>
      </c>
      <c r="E186" s="27" t="str">
        <f>[13]Quantity_shares!BC412</f>
        <v>324</v>
      </c>
      <c r="F186" s="28">
        <f>[13]Quantity_shares!BD412</f>
        <v>0.26042944785276073</v>
      </c>
      <c r="G186" s="28">
        <f>[13]Quantity_shares!BE412</f>
        <v>2.5460122699386502E-2</v>
      </c>
      <c r="H186" s="28">
        <f>[13]Quantity_shares!BF412</f>
        <v>1.6257668711656442E-2</v>
      </c>
      <c r="I186" s="28">
        <f>[13]Quantity_shares!BG412</f>
        <v>0.69785276073619629</v>
      </c>
      <c r="Q186" s="31">
        <f>MECS_data!AR71</f>
        <v>3.1150221945331364E-2</v>
      </c>
      <c r="R186" s="31">
        <f>MECS_data!AS71</f>
        <v>1.4796355424032397E-2</v>
      </c>
      <c r="S186" s="31">
        <f>MECS_data!AT71</f>
        <v>0.66116346078965815</v>
      </c>
      <c r="T186" s="31">
        <f>MECS_data!AU71</f>
        <v>3.8937777431664205E-3</v>
      </c>
      <c r="U186" s="31">
        <f>MECS_data!AV71</f>
        <v>4.1274044077564055E-2</v>
      </c>
      <c r="V186" s="31">
        <f>MECS_data!AW71</f>
        <v>7.7875554863328416E-5</v>
      </c>
      <c r="W186" s="31">
        <f>MECS_data!AX71</f>
        <v>0.24764426446538435</v>
      </c>
      <c r="X186" s="32">
        <f>MECS_data!AY71</f>
        <v>1.0000000000000002</v>
      </c>
      <c r="Z186" s="4">
        <f>'[25]Predicted Residual Prices'!AS459</f>
        <v>5</v>
      </c>
      <c r="AA186" s="4">
        <f>'[26]Predicted Distillate Prices'!AS459</f>
        <v>13.03</v>
      </c>
      <c r="AB186" s="4">
        <f>'[27]Predicted Gas Prices'!AR459</f>
        <v>6.69</v>
      </c>
      <c r="AC186" s="4">
        <f>'[28]Predicted LPG Prices'!AS459</f>
        <v>20.13</v>
      </c>
      <c r="AD186" s="4">
        <f>'[29]Predicted Coal Prices'!AS459</f>
        <v>3.73</v>
      </c>
      <c r="AE186" s="4">
        <f>'[30]Predicted Coke Prices'!AS417</f>
        <v>0</v>
      </c>
      <c r="AF186" s="4">
        <f>'[31]Predicted Other Prices'!AT417</f>
        <v>5.6351791530944624</v>
      </c>
      <c r="AH186" s="115">
        <f t="shared" si="45"/>
        <v>6.399584900462612</v>
      </c>
      <c r="AI186" s="4">
        <f>'[32]Quantity Shares_1998 forward'!AH186</f>
        <v>6.399584900462612</v>
      </c>
    </row>
    <row r="187" spans="4:35" x14ac:dyDescent="0.2">
      <c r="D187" s="27">
        <f>[13]Quantity_shares!BB413</f>
        <v>2006</v>
      </c>
      <c r="E187" s="27" t="str">
        <f>[13]Quantity_shares!BC413</f>
        <v>325</v>
      </c>
      <c r="F187" s="28">
        <f>[13]Quantity_shares!BD413</f>
        <v>0.52073216286888313</v>
      </c>
      <c r="G187" s="28">
        <f>[13]Quantity_shares!BE413</f>
        <v>1.1953679491968622E-2</v>
      </c>
      <c r="H187" s="28">
        <f>[13]Quantity_shares!BF413</f>
        <v>6.2383264848711241E-2</v>
      </c>
      <c r="I187" s="28">
        <f>[13]Quantity_shares!BG413</f>
        <v>0.40493089279043704</v>
      </c>
      <c r="Q187" s="31">
        <f>MECS_data!AR72</f>
        <v>1.030419784059854E-2</v>
      </c>
      <c r="R187" s="31">
        <f>MECS_data!AS72</f>
        <v>3.5840688141212311E-3</v>
      </c>
      <c r="S187" s="31">
        <f>MECS_data!AT72</f>
        <v>0.62183593925003366</v>
      </c>
      <c r="T187" s="31">
        <f>MECS_data!AU72</f>
        <v>3.1360602123560776E-3</v>
      </c>
      <c r="U187" s="31">
        <f>MECS_data!AV72</f>
        <v>7.4817436494780704E-2</v>
      </c>
      <c r="V187" s="31">
        <f>MECS_data!AW72</f>
        <v>4.4800860176515395E-5</v>
      </c>
      <c r="W187" s="31">
        <f>MECS_data!AX72</f>
        <v>0.28627749652793333</v>
      </c>
      <c r="X187" s="32">
        <f>MECS_data!AY72</f>
        <v>1</v>
      </c>
      <c r="Z187" s="4">
        <f>'[25]Predicted Residual Prices'!AS460</f>
        <v>7.57</v>
      </c>
      <c r="AA187" s="4">
        <f>'[26]Predicted Distillate Prices'!AS460</f>
        <v>13.34</v>
      </c>
      <c r="AB187" s="4">
        <f>'[27]Predicted Gas Prices'!AR460</f>
        <v>7.47</v>
      </c>
      <c r="AC187" s="4">
        <f>'[28]Predicted LPG Prices'!AS460</f>
        <v>13.06</v>
      </c>
      <c r="AD187" s="4">
        <f>'[29]Predicted Coal Prices'!AS460</f>
        <v>2.7</v>
      </c>
      <c r="AE187" s="4">
        <f>'[30]Predicted Coke Prices'!AS418</f>
        <v>8.77</v>
      </c>
      <c r="AF187" s="4">
        <f>'[31]Predicted Other Prices'!AT418</f>
        <v>7.8918128654970756</v>
      </c>
      <c r="AH187" s="115">
        <f t="shared" si="45"/>
        <v>7.2735340804859234</v>
      </c>
      <c r="AI187" s="4">
        <f>'[32]Quantity Shares_1998 forward'!AH187</f>
        <v>7.2735340804859234</v>
      </c>
    </row>
    <row r="188" spans="4:35" x14ac:dyDescent="0.2">
      <c r="D188" s="27">
        <f>[13]Quantity_shares!BB414</f>
        <v>2006</v>
      </c>
      <c r="E188" s="27" t="str">
        <f>[13]Quantity_shares!BC414</f>
        <v>326</v>
      </c>
      <c r="F188" s="28">
        <f>[13]Quantity_shares!BD414</f>
        <v>0.82844096542726675</v>
      </c>
      <c r="G188" s="28">
        <f>[13]Quantity_shares!BE414</f>
        <v>7.8277886497064575E-2</v>
      </c>
      <c r="H188" s="28">
        <f>[13]Quantity_shares!BF414</f>
        <v>5.8708414872798431E-2</v>
      </c>
      <c r="I188" s="28">
        <f>[13]Quantity_shares!BG414</f>
        <v>3.4572733202870187E-2</v>
      </c>
      <c r="Q188" s="31">
        <f>MECS_data!AR73</f>
        <v>5.844155844155844E-2</v>
      </c>
      <c r="R188" s="31">
        <f>MECS_data!AS73</f>
        <v>1.948051948051948E-2</v>
      </c>
      <c r="S188" s="31">
        <f>MECS_data!AT73</f>
        <v>0.82467532467532467</v>
      </c>
      <c r="T188" s="31">
        <f>MECS_data!AU73</f>
        <v>3.2467532467532464E-2</v>
      </c>
      <c r="U188" s="31">
        <f>MECS_data!AV73</f>
        <v>3.896103896103896E-2</v>
      </c>
      <c r="V188" s="31">
        <f>MECS_data!AW73</f>
        <v>0</v>
      </c>
      <c r="W188" s="31">
        <f>MECS_data!AX73</f>
        <v>2.5974025974025976E-2</v>
      </c>
      <c r="X188" s="32">
        <f>MECS_data!AY73</f>
        <v>1</v>
      </c>
      <c r="Z188" s="4">
        <f>'[25]Predicted Residual Prices'!AS461</f>
        <v>8.67</v>
      </c>
      <c r="AA188" s="4">
        <f>'[26]Predicted Distillate Prices'!AS461</f>
        <v>13.94</v>
      </c>
      <c r="AB188" s="4">
        <f>'[27]Predicted Gas Prices'!AR461</f>
        <v>9.02</v>
      </c>
      <c r="AC188" s="4">
        <f>'[28]Predicted LPG Prices'!AS461</f>
        <v>17.63</v>
      </c>
      <c r="AD188" s="4">
        <f>'[29]Predicted Coal Prices'!AS461</f>
        <v>3</v>
      </c>
      <c r="AE188" s="4">
        <f>'[30]Predicted Coke Prices'!AS419</f>
        <v>0</v>
      </c>
      <c r="AF188" s="4">
        <f>'[31]Predicted Other Prices'!AT419</f>
        <v>8</v>
      </c>
      <c r="AH188" s="115">
        <f t="shared" si="45"/>
        <v>9.1138961038961028</v>
      </c>
      <c r="AI188" s="4">
        <f>'[32]Quantity Shares_1998 forward'!AH188</f>
        <v>9.1138961038961028</v>
      </c>
    </row>
    <row r="189" spans="4:35" x14ac:dyDescent="0.2">
      <c r="D189" s="27">
        <f>[13]Quantity_shares!BB415</f>
        <v>2006</v>
      </c>
      <c r="E189" s="27" t="str">
        <f>[13]Quantity_shares!BC415</f>
        <v>327</v>
      </c>
      <c r="F189" s="28">
        <f>[13]Quantity_shares!BD415</f>
        <v>0.4791231732776618</v>
      </c>
      <c r="G189" s="28">
        <f>[13]Quantity_shares!BE415</f>
        <v>3.444676409185804E-2</v>
      </c>
      <c r="H189" s="28">
        <f>[13]Quantity_shares!BF415</f>
        <v>0.3455114822546973</v>
      </c>
      <c r="I189" s="28">
        <f>[13]Quantity_shares!BG415</f>
        <v>0.14091858037578289</v>
      </c>
      <c r="Q189" s="31">
        <f>MECS_data!AR74</f>
        <v>3.1446540880503146E-3</v>
      </c>
      <c r="R189" s="31">
        <f>MECS_data!AS74</f>
        <v>3.1446540880503145E-2</v>
      </c>
      <c r="S189" s="31">
        <f>MECS_data!AT74</f>
        <v>0.48113207547169812</v>
      </c>
      <c r="T189" s="31">
        <f>MECS_data!AU74</f>
        <v>5.2410901467505244E-3</v>
      </c>
      <c r="U189" s="31">
        <f>MECS_data!AV74</f>
        <v>0.33542976939203356</v>
      </c>
      <c r="V189" s="31">
        <f>MECS_data!AW74</f>
        <v>1.1530398322851153E-2</v>
      </c>
      <c r="W189" s="31">
        <f>MECS_data!AX74</f>
        <v>0.13207547169811321</v>
      </c>
      <c r="X189" s="32">
        <f>MECS_data!AY74</f>
        <v>1</v>
      </c>
      <c r="Z189" s="4">
        <f>'[25]Predicted Residual Prices'!AS462</f>
        <v>8.4</v>
      </c>
      <c r="AA189" s="4">
        <f>'[26]Predicted Distillate Prices'!AS462</f>
        <v>18.329999999999998</v>
      </c>
      <c r="AB189" s="4">
        <f>'[27]Predicted Gas Prices'!AR462</f>
        <v>8.26</v>
      </c>
      <c r="AC189" s="4">
        <f>'[28]Predicted LPG Prices'!AS462</f>
        <v>15.13</v>
      </c>
      <c r="AD189" s="4">
        <f>'[29]Predicted Coal Prices'!AS462</f>
        <v>2.57</v>
      </c>
      <c r="AE189" s="4">
        <f>'[30]Predicted Coke Prices'!AS420</f>
        <v>3.05</v>
      </c>
      <c r="AF189" s="4">
        <f>'[31]Predicted Other Prices'!AT420</f>
        <v>1.5347222222222223</v>
      </c>
      <c r="AH189" s="115">
        <f t="shared" si="45"/>
        <v>5.7562002096436062</v>
      </c>
      <c r="AI189" s="4">
        <f>'[32]Quantity Shares_1998 forward'!AH189</f>
        <v>5.7562002096436062</v>
      </c>
    </row>
    <row r="190" spans="4:35" x14ac:dyDescent="0.2">
      <c r="D190" s="27">
        <f>[13]Quantity_shares!BB416</f>
        <v>2006</v>
      </c>
      <c r="E190" s="27" t="str">
        <f>[13]Quantity_shares!BC416</f>
        <v>331</v>
      </c>
      <c r="F190" s="28">
        <f>[13]Quantity_shares!BD416</f>
        <v>0.45489891135303268</v>
      </c>
      <c r="G190" s="28">
        <f>[13]Quantity_shares!BE416</f>
        <v>1.9440124416796267E-2</v>
      </c>
      <c r="H190" s="28">
        <f>[13]Quantity_shares!BF416</f>
        <v>0.29548989113530327</v>
      </c>
      <c r="I190" s="28">
        <f>[13]Quantity_shares!BG416</f>
        <v>0.23017107309486781</v>
      </c>
      <c r="Q190" s="31">
        <f>MECS_data!AR75</f>
        <v>2.1396396396396396E-2</v>
      </c>
      <c r="R190" s="31">
        <f>MECS_data!AS75</f>
        <v>6.7567567567567571E-3</v>
      </c>
      <c r="S190" s="31">
        <f>MECS_data!AT75</f>
        <v>0.65878378378378377</v>
      </c>
      <c r="T190" s="31">
        <f>MECS_data!AU75</f>
        <v>4.5045045045045045E-3</v>
      </c>
      <c r="U190" s="31">
        <f>MECS_data!AV75</f>
        <v>2.364864864864865E-2</v>
      </c>
      <c r="V190" s="31">
        <f>MECS_data!AW75</f>
        <v>0.22635135135135134</v>
      </c>
      <c r="W190" s="31">
        <f>MECS_data!AX75</f>
        <v>5.8558558558558557E-2</v>
      </c>
      <c r="X190" s="32">
        <f>MECS_data!AY75</f>
        <v>0.99999999999999989</v>
      </c>
      <c r="Z190" s="4">
        <f>'[25]Predicted Residual Prices'!AS463</f>
        <v>6.04</v>
      </c>
      <c r="AA190" s="4">
        <f>'[26]Predicted Distillate Prices'!AS463</f>
        <v>15.44</v>
      </c>
      <c r="AB190" s="4">
        <f>'[27]Predicted Gas Prices'!AR463</f>
        <v>8.39</v>
      </c>
      <c r="AC190" s="4">
        <f>'[28]Predicted LPG Prices'!AS463</f>
        <v>14.6</v>
      </c>
      <c r="AD190" s="4">
        <f>'[29]Predicted Coal Prices'!AS463</f>
        <v>3.56</v>
      </c>
      <c r="AE190" s="4">
        <f>'[30]Predicted Coke Prices'!AS421</f>
        <v>7.72</v>
      </c>
      <c r="AF190" s="4">
        <f>'[31]Predicted Other Prices'!AT421</f>
        <v>2.992481203007519</v>
      </c>
      <c r="AH190" s="115">
        <f t="shared" si="45"/>
        <v>7.8333772776535939</v>
      </c>
      <c r="AI190" s="4">
        <f>'[32]Quantity Shares_1998 forward'!AH190</f>
        <v>7.8333772776535939</v>
      </c>
    </row>
    <row r="191" spans="4:35" x14ac:dyDescent="0.2">
      <c r="D191" s="27">
        <f>[13]Quantity_shares!BB417</f>
        <v>2006</v>
      </c>
      <c r="E191" s="27" t="str">
        <f>[13]Quantity_shares!BC417</f>
        <v>332</v>
      </c>
      <c r="F191" s="28">
        <f>[13]Quantity_shares!BD417</f>
        <v>0.94824180165942318</v>
      </c>
      <c r="G191" s="28">
        <f>[13]Quantity_shares!BE417</f>
        <v>9.8775187672856587E-3</v>
      </c>
      <c r="H191" s="28">
        <f>[13]Quantity_shares!BF417</f>
        <v>3.9510075069142635E-4</v>
      </c>
      <c r="I191" s="28">
        <f>[13]Quantity_shares!BG417</f>
        <v>4.1485578822599761E-2</v>
      </c>
      <c r="Q191" s="31">
        <f>MECS_data!AR76</f>
        <v>1.9801980198019802E-3</v>
      </c>
      <c r="R191" s="31">
        <f>MECS_data!AS76</f>
        <v>7.9207920792079209E-3</v>
      </c>
      <c r="S191" s="31">
        <f>MECS_data!AT76</f>
        <v>0.95049504950495045</v>
      </c>
      <c r="T191" s="31">
        <f>MECS_data!AU76</f>
        <v>1.5841584158415842E-2</v>
      </c>
      <c r="U191" s="31">
        <f>MECS_data!AV76</f>
        <v>0</v>
      </c>
      <c r="V191" s="31">
        <f>MECS_data!AW76</f>
        <v>1.1881188118811881E-2</v>
      </c>
      <c r="W191" s="31">
        <f>MECS_data!AX76</f>
        <v>1.1881188118811881E-2</v>
      </c>
      <c r="X191" s="32">
        <f>MECS_data!AY76</f>
        <v>1</v>
      </c>
      <c r="Z191" s="4">
        <f>'[25]Predicted Residual Prices'!AS464</f>
        <v>8</v>
      </c>
      <c r="AA191" s="4">
        <f>'[26]Predicted Distillate Prices'!AS464</f>
        <v>20.399999999999999</v>
      </c>
      <c r="AB191" s="4">
        <f>'[27]Predicted Gas Prices'!AR464</f>
        <v>8.8699999999999992</v>
      </c>
      <c r="AC191" s="4">
        <f>'[28]Predicted LPG Prices'!AS464</f>
        <v>16.66</v>
      </c>
      <c r="AD191" s="4">
        <f>'[29]Predicted Coal Prices'!AS464</f>
        <v>4</v>
      </c>
      <c r="AE191" s="4">
        <f>'[30]Predicted Coke Prices'!AS422</f>
        <v>7.5</v>
      </c>
      <c r="AF191" s="4">
        <f>'[31]Predicted Other Prices'!AT422</f>
        <v>10</v>
      </c>
      <c r="AH191" s="115">
        <f t="shared" si="45"/>
        <v>9.0801584158415825</v>
      </c>
      <c r="AI191" s="4">
        <f>'[32]Quantity Shares_1998 forward'!AH191</f>
        <v>9.0801584158415825</v>
      </c>
    </row>
    <row r="192" spans="4:35" x14ac:dyDescent="0.2">
      <c r="D192" s="27">
        <f>[13]Quantity_shares!BB418</f>
        <v>2006</v>
      </c>
      <c r="E192" s="27" t="str">
        <f>[13]Quantity_shares!BC418</f>
        <v>333</v>
      </c>
      <c r="F192" s="28">
        <f>[13]Quantity_shares!BD418</f>
        <v>0.90322580645161288</v>
      </c>
      <c r="G192" s="28">
        <f>[13]Quantity_shares!BE418</f>
        <v>3.2258064516129031E-2</v>
      </c>
      <c r="H192" s="28">
        <f>[13]Quantity_shares!BF418</f>
        <v>1.0752688172043012E-2</v>
      </c>
      <c r="I192" s="28">
        <f>[13]Quantity_shares!BG418</f>
        <v>5.3763440860215055E-2</v>
      </c>
      <c r="Q192" s="31">
        <f>MECS_data!AR77</f>
        <v>1.0752688172043012E-2</v>
      </c>
      <c r="R192" s="31">
        <f>MECS_data!AS77</f>
        <v>2.1505376344086023E-2</v>
      </c>
      <c r="S192" s="31">
        <f>MECS_data!AT77</f>
        <v>0.90322580645161288</v>
      </c>
      <c r="T192" s="31">
        <f>MECS_data!AU77</f>
        <v>3.2258064516129031E-2</v>
      </c>
      <c r="U192" s="31">
        <f>MECS_data!AV77</f>
        <v>1.0752688172043012E-2</v>
      </c>
      <c r="V192" s="31">
        <f>MECS_data!AW77</f>
        <v>0</v>
      </c>
      <c r="W192" s="31">
        <f>MECS_data!AX77</f>
        <v>2.1505376344086023E-2</v>
      </c>
      <c r="X192" s="32">
        <f>MECS_data!AY77</f>
        <v>0.99999999999999989</v>
      </c>
      <c r="Z192" s="4">
        <f>'[25]Predicted Residual Prices'!AS465</f>
        <v>8</v>
      </c>
      <c r="AA192" s="4">
        <f>'[26]Predicted Distillate Prices'!AS465</f>
        <v>18.73</v>
      </c>
      <c r="AB192" s="4">
        <f>'[27]Predicted Gas Prices'!AR465</f>
        <v>10</v>
      </c>
      <c r="AC192" s="4">
        <f>'[28]Predicted LPG Prices'!AS465</f>
        <v>16.73</v>
      </c>
      <c r="AD192" s="4">
        <f>'[29]Predicted Coal Prices'!AS465</f>
        <v>2.67</v>
      </c>
      <c r="AE192" s="4">
        <f>'[30]Predicted Coke Prices'!AS423</f>
        <v>0</v>
      </c>
      <c r="AF192" s="4">
        <f>'[31]Predicted Other Prices'!AT423</f>
        <v>9.99</v>
      </c>
      <c r="AH192" s="115">
        <f t="shared" si="45"/>
        <v>10.304301075268816</v>
      </c>
      <c r="AI192" s="4">
        <f>'[32]Quantity Shares_1998 forward'!AH192</f>
        <v>12.192043010752688</v>
      </c>
    </row>
    <row r="193" spans="4:35" x14ac:dyDescent="0.2">
      <c r="D193" s="27">
        <f>[13]Quantity_shares!BB419</f>
        <v>2006</v>
      </c>
      <c r="E193" s="27" t="str">
        <f>[13]Quantity_shares!BC419</f>
        <v>334</v>
      </c>
      <c r="F193" s="28">
        <f>[13]Quantity_shares!BD419</f>
        <v>0.9375</v>
      </c>
      <c r="G193" s="28">
        <f>[13]Quantity_shares!BE419</f>
        <v>3.125E-2</v>
      </c>
      <c r="H193" s="28">
        <f>[13]Quantity_shares!BF419</f>
        <v>2.0833333333333333E-3</v>
      </c>
      <c r="I193" s="28">
        <f>[13]Quantity_shares!BG419</f>
        <v>2.9166666666666664E-2</v>
      </c>
      <c r="Q193" s="31">
        <f>MECS_data!AR78</f>
        <v>2.1186440677966102E-3</v>
      </c>
      <c r="R193" s="31">
        <f>MECS_data!AS78</f>
        <v>2.1186440677966101E-2</v>
      </c>
      <c r="S193" s="31">
        <f>MECS_data!AT78</f>
        <v>0.95338983050847448</v>
      </c>
      <c r="T193" s="31">
        <f>MECS_data!AU78</f>
        <v>2.1186440677966102E-3</v>
      </c>
      <c r="U193" s="31">
        <f>MECS_data!AV78</f>
        <v>0</v>
      </c>
      <c r="V193" s="31">
        <f>MECS_data!AW78</f>
        <v>0</v>
      </c>
      <c r="W193" s="31">
        <f>MECS_data!AX78</f>
        <v>2.1186440677966101E-2</v>
      </c>
      <c r="X193" s="32">
        <f>MECS_data!AY78</f>
        <v>1</v>
      </c>
      <c r="Z193" s="4">
        <f>'[25]Predicted Residual Prices'!AS466</f>
        <v>9.19</v>
      </c>
      <c r="AA193" s="4">
        <f>'[26]Predicted Distillate Prices'!AS466</f>
        <v>14.38</v>
      </c>
      <c r="AB193" s="4">
        <f>'[27]Predicted Gas Prices'!AR466</f>
        <v>9.7799999999999994</v>
      </c>
      <c r="AC193" s="4">
        <f>'[28]Predicted LPG Prices'!AS466</f>
        <v>18.059999999999999</v>
      </c>
      <c r="AD193" s="4">
        <f>'[29]Predicted Coal Prices'!AS466</f>
        <v>4</v>
      </c>
      <c r="AE193" s="4">
        <f>'[30]Predicted Coke Prices'!AS424</f>
        <v>0</v>
      </c>
      <c r="AF193" s="4">
        <f>'[31]Predicted Other Prices'!AT424</f>
        <v>6.5</v>
      </c>
      <c r="AH193" s="115">
        <f t="shared" si="45"/>
        <v>9.824258474576272</v>
      </c>
      <c r="AI193" s="4">
        <f>'[32]Quantity Shares_1998 forward'!AH193</f>
        <v>9.824258474576272</v>
      </c>
    </row>
    <row r="194" spans="4:35" x14ac:dyDescent="0.2">
      <c r="D194" s="27">
        <f>[13]Quantity_shares!BB420</f>
        <v>2006</v>
      </c>
      <c r="E194" s="27" t="str">
        <f>[13]Quantity_shares!BC420</f>
        <v>335</v>
      </c>
      <c r="F194" s="28">
        <f>[13]Quantity_shares!BD420</f>
        <v>0.94688221709006914</v>
      </c>
      <c r="G194" s="28">
        <f>[13]Quantity_shares!BE420</f>
        <v>1.6166281755196302E-2</v>
      </c>
      <c r="H194" s="28">
        <f>[13]Quantity_shares!BF420</f>
        <v>4.6189376443418013E-3</v>
      </c>
      <c r="I194" s="28">
        <f>[13]Quantity_shares!BG420</f>
        <v>3.2332563510392605E-2</v>
      </c>
      <c r="Q194" s="31">
        <f>MECS_data!AR79</f>
        <v>0</v>
      </c>
      <c r="R194" s="31">
        <f>MECS_data!AS79</f>
        <v>2.3094688221709007E-2</v>
      </c>
      <c r="S194" s="31">
        <f>MECS_data!AT79</f>
        <v>0.94688221709006937</v>
      </c>
      <c r="T194" s="31">
        <f>MECS_data!AU79</f>
        <v>2.3094688221709007E-2</v>
      </c>
      <c r="U194" s="31">
        <f>MECS_data!AV79</f>
        <v>0</v>
      </c>
      <c r="V194" s="31">
        <f>MECS_data!AW79</f>
        <v>0</v>
      </c>
      <c r="W194" s="31">
        <f>MECS_data!AX79</f>
        <v>6.9284064665127024E-3</v>
      </c>
      <c r="X194" s="32">
        <f>MECS_data!AY79</f>
        <v>1</v>
      </c>
      <c r="Z194" s="4">
        <f>'[25]Predicted Residual Prices'!AS467</f>
        <v>9</v>
      </c>
      <c r="AA194" s="4">
        <f>'[26]Predicted Distillate Prices'!AS467</f>
        <v>12.52</v>
      </c>
      <c r="AB194" s="4">
        <f>'[27]Predicted Gas Prices'!AR467</f>
        <v>9.4600000000000009</v>
      </c>
      <c r="AC194" s="4">
        <f>'[28]Predicted LPG Prices'!AS467</f>
        <v>20.58</v>
      </c>
      <c r="AD194" s="4">
        <f>'[29]Predicted Coal Prices'!AS467</f>
        <v>3.5</v>
      </c>
      <c r="AE194" s="4">
        <f>'[30]Predicted Coke Prices'!AS425</f>
        <v>0</v>
      </c>
      <c r="AF194" s="4">
        <f>'[31]Predicted Other Prices'!AT425</f>
        <v>6</v>
      </c>
      <c r="AH194" s="115">
        <f t="shared" si="45"/>
        <v>9.7635103926097013</v>
      </c>
      <c r="AI194" s="4">
        <f>'[32]Quantity Shares_1998 forward'!AH194</f>
        <v>9.7635103926097013</v>
      </c>
    </row>
    <row r="195" spans="4:35" x14ac:dyDescent="0.2">
      <c r="D195" s="27">
        <f>[13]Quantity_shares!BB421</f>
        <v>2006</v>
      </c>
      <c r="E195" s="27" t="str">
        <f>[13]Quantity_shares!BC421</f>
        <v>336</v>
      </c>
      <c r="F195" s="28">
        <f>[13]Quantity_shares!BD421</f>
        <v>0.87737843551797035</v>
      </c>
      <c r="G195" s="28">
        <f>[13]Quantity_shares!BE421</f>
        <v>3.5236081747709654E-2</v>
      </c>
      <c r="H195" s="28">
        <f>[13]Quantity_shares!BF421</f>
        <v>1.7618040873854827E-2</v>
      </c>
      <c r="I195" s="28">
        <f>[13]Quantity_shares!BG421</f>
        <v>6.9767441860465115E-2</v>
      </c>
      <c r="Q195" s="31">
        <f>MECS_data!AR80</f>
        <v>2.491103202846975E-2</v>
      </c>
      <c r="R195" s="31">
        <f>MECS_data!AS80</f>
        <v>1.0676156583629894E-2</v>
      </c>
      <c r="S195" s="31">
        <f>MECS_data!AT80</f>
        <v>0.88612099644128117</v>
      </c>
      <c r="T195" s="31">
        <f>MECS_data!AU80</f>
        <v>1.4234875444839857E-2</v>
      </c>
      <c r="U195" s="31">
        <f>MECS_data!AV80</f>
        <v>1.7793594306049824E-2</v>
      </c>
      <c r="V195" s="31">
        <f>MECS_data!AW80</f>
        <v>3.5587188612099647E-4</v>
      </c>
      <c r="W195" s="31">
        <f>MECS_data!AX80</f>
        <v>4.6263345195729534E-2</v>
      </c>
      <c r="X195" s="32">
        <f>MECS_data!AY80</f>
        <v>1.000355871886121</v>
      </c>
      <c r="Z195" s="4">
        <f>'[25]Predicted Residual Prices'!AS468</f>
        <v>7.56</v>
      </c>
      <c r="AA195" s="4">
        <f>'[26]Predicted Distillate Prices'!AS468</f>
        <v>16.579999999999998</v>
      </c>
      <c r="AB195" s="4">
        <f>'[27]Predicted Gas Prices'!AR468</f>
        <v>7.04</v>
      </c>
      <c r="AC195" s="4">
        <f>'[28]Predicted LPG Prices'!AS468</f>
        <v>13.57</v>
      </c>
      <c r="AD195" s="4">
        <f>'[29]Predicted Coal Prices'!AS468</f>
        <v>3.09</v>
      </c>
      <c r="AE195" s="4">
        <f>'[30]Predicted Coke Prices'!AS426</f>
        <v>0</v>
      </c>
      <c r="AF195" s="4">
        <f>'[31]Predicted Other Prices'!AT426</f>
        <v>7.4</v>
      </c>
      <c r="AH195" s="115">
        <f t="shared" si="45"/>
        <v>7.1941281138790041</v>
      </c>
      <c r="AI195" s="4">
        <f>'[32]Quantity Shares_1998 forward'!AH195</f>
        <v>7.1941281138790041</v>
      </c>
    </row>
    <row r="196" spans="4:35" x14ac:dyDescent="0.2">
      <c r="D196" s="27">
        <f>[13]Quantity_shares!BB422</f>
        <v>2006</v>
      </c>
      <c r="E196" s="27" t="str">
        <f>[13]Quantity_shares!BC422</f>
        <v>337</v>
      </c>
      <c r="F196" s="28">
        <f>[13]Quantity_shares!BD422</f>
        <v>0.6028368794326241</v>
      </c>
      <c r="G196" s="28">
        <f>[13]Quantity_shares!BE422</f>
        <v>2.4822695035460991E-2</v>
      </c>
      <c r="H196" s="28">
        <f>[13]Quantity_shares!BF422</f>
        <v>8.8652482269503549E-2</v>
      </c>
      <c r="I196" s="28">
        <f>[13]Quantity_shares!BG422</f>
        <v>0.28368794326241137</v>
      </c>
      <c r="Q196" s="31">
        <f>MECS_data!AR81</f>
        <v>8.9686098654708519E-3</v>
      </c>
      <c r="R196" s="31">
        <f>MECS_data!AS81</f>
        <v>4.4843049327354259E-3</v>
      </c>
      <c r="S196" s="31">
        <f>MECS_data!AT81</f>
        <v>0.7623318385650224</v>
      </c>
      <c r="T196" s="31">
        <f>MECS_data!AU81</f>
        <v>4.4843049327354258E-2</v>
      </c>
      <c r="U196" s="31">
        <f>MECS_data!AV81</f>
        <v>0.13452914798206278</v>
      </c>
      <c r="V196" s="31">
        <f>MECS_data!AW81</f>
        <v>0</v>
      </c>
      <c r="W196" s="31">
        <f>MECS_data!AX81</f>
        <v>4.4843049327354258E-2</v>
      </c>
      <c r="X196" s="32">
        <f>MECS_data!AY81</f>
        <v>1</v>
      </c>
      <c r="Z196" s="4">
        <f>'[25]Predicted Residual Prices'!AS469</f>
        <v>8</v>
      </c>
      <c r="AA196" s="4">
        <f>'[26]Predicted Distillate Prices'!AS469</f>
        <v>16.940000000000001</v>
      </c>
      <c r="AB196" s="4">
        <f>'[27]Predicted Gas Prices'!AR469</f>
        <v>10.33</v>
      </c>
      <c r="AC196" s="4">
        <f>'[28]Predicted LPG Prices'!AS469</f>
        <v>17.87</v>
      </c>
      <c r="AD196" s="4">
        <f>'[29]Predicted Coal Prices'!AS469</f>
        <v>1.87</v>
      </c>
      <c r="AE196" s="4">
        <f>'[30]Predicted Coke Prices'!AS427</f>
        <v>0</v>
      </c>
      <c r="AF196" s="4">
        <f>'[31]Predicted Other Prices'!AT427</f>
        <v>3.5</v>
      </c>
      <c r="AH196" s="115">
        <f t="shared" si="45"/>
        <v>9.2324663677130054</v>
      </c>
      <c r="AI196" s="4">
        <f>'[32]Quantity Shares_1998 forward'!AH196</f>
        <v>9.2324663677130054</v>
      </c>
    </row>
    <row r="197" spans="4:35" x14ac:dyDescent="0.2">
      <c r="D197" s="27">
        <f>[13]Quantity_shares!BB423</f>
        <v>2006</v>
      </c>
      <c r="E197" s="27" t="str">
        <f>[13]Quantity_shares!BC423</f>
        <v>339</v>
      </c>
      <c r="F197" s="28">
        <f>[13]Quantity_shares!BD423</f>
        <v>0.76687116564417179</v>
      </c>
      <c r="G197" s="28">
        <f>[13]Quantity_shares!BE423</f>
        <v>0.10736196319018404</v>
      </c>
      <c r="H197" s="28">
        <f>[13]Quantity_shares!BF423</f>
        <v>3.0674846625766872E-3</v>
      </c>
      <c r="I197" s="28">
        <f>[13]Quantity_shares!BG423</f>
        <v>0.12269938650306748</v>
      </c>
      <c r="Q197" s="31">
        <f>MECS_data!AR82</f>
        <v>7.6923076923076927E-2</v>
      </c>
      <c r="R197" s="31">
        <f>MECS_data!AS82</f>
        <v>3.0769230769230771E-2</v>
      </c>
      <c r="S197" s="31">
        <f>MECS_data!AT82</f>
        <v>0.76923076923076927</v>
      </c>
      <c r="T197" s="31">
        <f>MECS_data!AU82</f>
        <v>3.0769230769230771E-2</v>
      </c>
      <c r="U197" s="31">
        <f>MECS_data!AV82</f>
        <v>0</v>
      </c>
      <c r="V197" s="31">
        <f>MECS_data!AW82</f>
        <v>0</v>
      </c>
      <c r="W197" s="31">
        <f>MECS_data!AX82</f>
        <v>9.2307692307692313E-2</v>
      </c>
      <c r="X197" s="32">
        <f>MECS_data!AY82</f>
        <v>1</v>
      </c>
      <c r="Z197" s="4">
        <f>'[25]Predicted Residual Prices'!AS470</f>
        <v>8</v>
      </c>
      <c r="AA197" s="4">
        <f>'[26]Predicted Distillate Prices'!AS470</f>
        <v>17.32</v>
      </c>
      <c r="AB197" s="4">
        <f>'[27]Predicted Gas Prices'!AR470</f>
        <v>9.7799999999999994</v>
      </c>
      <c r="AC197" s="4">
        <f>'[28]Predicted LPG Prices'!AS470</f>
        <v>18.760000000000002</v>
      </c>
      <c r="AD197" s="4">
        <f>'[29]Predicted Coal Prices'!AS470</f>
        <v>3</v>
      </c>
      <c r="AE197" s="4">
        <f>'[30]Predicted Coke Prices'!AS428</f>
        <v>0</v>
      </c>
      <c r="AF197" s="4">
        <f>'[31]Predicted Other Prices'!AT428</f>
        <v>4</v>
      </c>
      <c r="AH197" s="115">
        <f t="shared" si="45"/>
        <v>9.6178461538461555</v>
      </c>
      <c r="AI197" s="4">
        <f>'[32]Quantity Shares_1998 forward'!AH197</f>
        <v>9.6178461538461555</v>
      </c>
    </row>
    <row r="198" spans="4:35" x14ac:dyDescent="0.2">
      <c r="D198">
        <f>[13]Quantity_shares!BB424</f>
        <v>2007</v>
      </c>
      <c r="E198" t="str">
        <f>[13]Quantity_shares!BC424</f>
        <v>311</v>
      </c>
      <c r="F198" s="26">
        <f>[13]Quantity_shares!BD424</f>
        <v>0.66983500717360123</v>
      </c>
      <c r="G198" s="26">
        <f>[13]Quantity_shares!BE424</f>
        <v>4.3113342898134864E-2</v>
      </c>
      <c r="H198" s="26">
        <f>[13]Quantity_shares!BF424</f>
        <v>0.16971436024520672</v>
      </c>
      <c r="I198" s="26">
        <f>[13]Quantity_shares!BG424</f>
        <v>0.11733728968305725</v>
      </c>
      <c r="O198" t="s">
        <v>10</v>
      </c>
      <c r="P198">
        <v>2007</v>
      </c>
      <c r="Q198" s="26">
        <f t="shared" ref="Q198:W198" si="85">0.75*Q177+0.25*Q261</f>
        <v>2.5841442656646431E-2</v>
      </c>
      <c r="R198" s="26">
        <f t="shared" si="85"/>
        <v>2.0170938112213765E-2</v>
      </c>
      <c r="S198" s="26">
        <f t="shared" si="85"/>
        <v>0.71463311333782953</v>
      </c>
      <c r="T198" s="26">
        <f t="shared" si="85"/>
        <v>4.0375999614606414E-3</v>
      </c>
      <c r="U198" s="26">
        <f t="shared" si="85"/>
        <v>0.17944286540129106</v>
      </c>
      <c r="V198" s="26">
        <f t="shared" si="85"/>
        <v>1.4432186787423323E-3</v>
      </c>
      <c r="W198" s="26">
        <f t="shared" si="85"/>
        <v>5.4430821851816164E-2</v>
      </c>
      <c r="X198" s="26">
        <f>SUM(Q198:W198)</f>
        <v>0.99999999999999989</v>
      </c>
      <c r="Z198" s="4">
        <f>'[25]Predicted Residual Prices'!AS471</f>
        <v>9.2047016766019016</v>
      </c>
      <c r="AA198" s="4">
        <f>'[26]Predicted Distillate Prices'!AS471</f>
        <v>18.387356093069879</v>
      </c>
      <c r="AB198" s="4">
        <f>'[27]Predicted Gas Prices'!AR471</f>
        <v>7.4884476524197208</v>
      </c>
      <c r="AC198" s="4">
        <f>'[28]Predicted LPG Prices'!AS471</f>
        <v>19.503488559871233</v>
      </c>
      <c r="AD198" s="4">
        <f>'[29]Predicted Coal Prices'!AS471</f>
        <v>1.9830580580089388</v>
      </c>
      <c r="AE198" s="4">
        <f>'[30]Predicted Coke Prices'!AS429</f>
        <v>11.055720720798455</v>
      </c>
      <c r="AF198" s="4">
        <f>'[31]Predicted Other Prices'!AT429</f>
        <v>3.1226185146128529</v>
      </c>
      <c r="AH198" s="115">
        <f t="shared" si="45"/>
        <v>6.5807610718392775</v>
      </c>
      <c r="AI198" s="4">
        <f>'[32]Quantity Shares_1998 forward'!AH198</f>
        <v>6.5986510727785879</v>
      </c>
    </row>
    <row r="199" spans="4:35" x14ac:dyDescent="0.2">
      <c r="D199">
        <f>[13]Quantity_shares!BB425</f>
        <v>2007</v>
      </c>
      <c r="E199" t="str">
        <f>[13]Quantity_shares!BC425</f>
        <v>312</v>
      </c>
      <c r="F199" s="26">
        <f>[13]Quantity_shares!BD425</f>
        <v>0.55802387267904519</v>
      </c>
      <c r="G199" s="26">
        <f>[13]Quantity_shares!BE425</f>
        <v>4.7082228116710881E-2</v>
      </c>
      <c r="H199" s="26">
        <f>[13]Quantity_shares!BF425</f>
        <v>0.23541114058355436</v>
      </c>
      <c r="I199" s="26">
        <f>[13]Quantity_shares!BG425</f>
        <v>0.15948275862068967</v>
      </c>
      <c r="O199" t="s">
        <v>12</v>
      </c>
      <c r="Q199" s="26">
        <f t="shared" ref="Q199:W199" si="86">0.75*Q178+0.25*Q262</f>
        <v>3.6154426559356134E-2</v>
      </c>
      <c r="R199" s="26">
        <f t="shared" si="86"/>
        <v>1.5027665995975855E-2</v>
      </c>
      <c r="S199" s="26">
        <f t="shared" si="86"/>
        <v>0.60274144869215296</v>
      </c>
      <c r="T199" s="26">
        <f t="shared" si="86"/>
        <v>1.5027665995975855E-2</v>
      </c>
      <c r="U199" s="26">
        <f t="shared" si="86"/>
        <v>0.25591046277665996</v>
      </c>
      <c r="V199" s="26">
        <f t="shared" si="86"/>
        <v>0</v>
      </c>
      <c r="W199" s="26">
        <f t="shared" si="86"/>
        <v>7.5138329979879279E-2</v>
      </c>
      <c r="X199" s="26">
        <f t="shared" ref="X199:X259" si="87">SUM(Q199:W199)</f>
        <v>1</v>
      </c>
      <c r="Z199" s="4">
        <f>'[25]Predicted Residual Prices'!AS472</f>
        <v>9.2876993013681997</v>
      </c>
      <c r="AA199" s="4">
        <f>'[26]Predicted Distillate Prices'!AS472</f>
        <v>19.315553206370481</v>
      </c>
      <c r="AB199" s="4">
        <f>'[27]Predicted Gas Prices'!AR472</f>
        <v>8.9044213855757022</v>
      </c>
      <c r="AC199" s="4">
        <f>'[28]Predicted LPG Prices'!AS472</f>
        <v>20.590519133103417</v>
      </c>
      <c r="AD199" s="4">
        <f>'[29]Predicted Coal Prices'!AS472</f>
        <v>3.3068882515383957</v>
      </c>
      <c r="AE199" s="4">
        <f>'[30]Predicted Coke Prices'!AS430</f>
        <v>0</v>
      </c>
      <c r="AF199" s="4">
        <f>'[31]Predicted Other Prices'!AT430</f>
        <v>4.0982956487415763</v>
      </c>
      <c r="AH199" s="115">
        <f t="shared" si="45"/>
        <v>7.4567568079449895</v>
      </c>
      <c r="AI199" s="4">
        <f>'[32]Quantity Shares_1998 forward'!AH199</f>
        <v>7.4734947102454514</v>
      </c>
    </row>
    <row r="200" spans="4:35" x14ac:dyDescent="0.2">
      <c r="D200">
        <f>[13]Quantity_shares!BB426</f>
        <v>2007</v>
      </c>
      <c r="E200" t="str">
        <f>[13]Quantity_shares!BC426</f>
        <v>313</v>
      </c>
      <c r="F200" s="26">
        <f>[13]Quantity_shares!BD426</f>
        <v>0.5922197309417041</v>
      </c>
      <c r="G200" s="26">
        <f>[13]Quantity_shares!BE426</f>
        <v>3.6816143497757844E-2</v>
      </c>
      <c r="H200" s="26">
        <f>[13]Quantity_shares!BF426</f>
        <v>0.25524663677130044</v>
      </c>
      <c r="I200" s="26">
        <f>[13]Quantity_shares!BG426</f>
        <v>0.11571748878923768</v>
      </c>
      <c r="O200" t="s">
        <v>14</v>
      </c>
      <c r="Q200" s="26">
        <f t="shared" ref="Q200:W200" si="88">0.75*Q179+0.25*Q263</f>
        <v>2.3644941847706824E-2</v>
      </c>
      <c r="R200" s="26">
        <f t="shared" si="88"/>
        <v>8.4622558700899707E-3</v>
      </c>
      <c r="S200" s="26">
        <f t="shared" si="88"/>
        <v>0.59499122229536971</v>
      </c>
      <c r="T200" s="26">
        <f t="shared" si="88"/>
        <v>5.7740838270792186E-3</v>
      </c>
      <c r="U200" s="26">
        <f t="shared" si="88"/>
        <v>0.25587008997147248</v>
      </c>
      <c r="V200" s="26">
        <f t="shared" si="88"/>
        <v>0</v>
      </c>
      <c r="W200" s="26">
        <f t="shared" si="88"/>
        <v>0.11125740618828175</v>
      </c>
      <c r="X200" s="26">
        <f t="shared" si="87"/>
        <v>0.99999999999999989</v>
      </c>
      <c r="Z200" s="4">
        <f>'[25]Predicted Residual Prices'!AS473</f>
        <v>10.12972283985685</v>
      </c>
      <c r="AA200" s="4">
        <f>'[26]Predicted Distillate Prices'!AS473</f>
        <v>19.095322271785271</v>
      </c>
      <c r="AB200" s="4">
        <f>'[27]Predicted Gas Prices'!AR473</f>
        <v>8.789013886582552</v>
      </c>
      <c r="AC200" s="4">
        <f>'[28]Predicted LPG Prices'!AS473</f>
        <v>20.78556919395912</v>
      </c>
      <c r="AD200" s="4">
        <f>'[29]Predicted Coal Prices'!AS473</f>
        <v>3.7009638678183712</v>
      </c>
      <c r="AE200" s="4">
        <f>'[30]Predicted Coke Prices'!AS431</f>
        <v>0</v>
      </c>
      <c r="AF200" s="4">
        <f>'[31]Predicted Other Prices'!AT431</f>
        <v>4.9863783064707849</v>
      </c>
      <c r="AH200" s="115">
        <f t="shared" si="45"/>
        <v>7.252247419026995</v>
      </c>
      <c r="AI200" s="4">
        <f>'[32]Quantity Shares_1998 forward'!AH200</f>
        <v>7.2529635686441623</v>
      </c>
    </row>
    <row r="201" spans="4:35" x14ac:dyDescent="0.2">
      <c r="D201">
        <f>[13]Quantity_shares!BB427</f>
        <v>2007</v>
      </c>
      <c r="E201" t="str">
        <f>[13]Quantity_shares!BC427</f>
        <v>314</v>
      </c>
      <c r="F201" s="26">
        <f>[13]Quantity_shares!BD427</f>
        <v>0.85096153846153844</v>
      </c>
      <c r="G201" s="26">
        <f>[13]Quantity_shares!BE427</f>
        <v>4.5512820512820518E-2</v>
      </c>
      <c r="H201" s="26">
        <f>[13]Quantity_shares!BF427</f>
        <v>7.8685897435897434E-2</v>
      </c>
      <c r="I201" s="26">
        <f>[13]Quantity_shares!BG427</f>
        <v>2.4839743589743592E-2</v>
      </c>
      <c r="O201" t="s">
        <v>16</v>
      </c>
      <c r="Q201" s="26">
        <f t="shared" ref="Q201:W201" si="89">0.75*Q180+0.25*Q264</f>
        <v>2.3789787798408488E-2</v>
      </c>
      <c r="R201" s="26">
        <f t="shared" si="89"/>
        <v>3.5974801061007958E-3</v>
      </c>
      <c r="S201" s="26">
        <f t="shared" si="89"/>
        <v>0.85742705570291777</v>
      </c>
      <c r="T201" s="26">
        <f t="shared" si="89"/>
        <v>1.6578249336870028E-2</v>
      </c>
      <c r="U201" s="26">
        <f t="shared" si="89"/>
        <v>8.637267904509284E-2</v>
      </c>
      <c r="V201" s="26">
        <f t="shared" si="89"/>
        <v>0</v>
      </c>
      <c r="W201" s="26">
        <f t="shared" si="89"/>
        <v>1.2234748010610079E-2</v>
      </c>
      <c r="X201" s="26">
        <f t="shared" si="87"/>
        <v>1</v>
      </c>
      <c r="Z201" s="4">
        <f>'[25]Predicted Residual Prices'!AS474</f>
        <v>11.048116591229569</v>
      </c>
      <c r="AA201" s="4">
        <f>'[26]Predicted Distillate Prices'!AS474</f>
        <v>16.677619567557603</v>
      </c>
      <c r="AB201" s="4">
        <f>'[27]Predicted Gas Prices'!AR474</f>
        <v>8.8362642322560738</v>
      </c>
      <c r="AC201" s="4">
        <f>'[28]Predicted LPG Prices'!AS474</f>
        <v>20.273648155982354</v>
      </c>
      <c r="AD201" s="4">
        <f>'[29]Predicted Coal Prices'!AS474</f>
        <v>3.6364609259381533</v>
      </c>
      <c r="AE201" s="4">
        <f>'[30]Predicted Coke Prices'!AS432</f>
        <v>0</v>
      </c>
      <c r="AF201" s="4">
        <f>'[31]Predicted Other Prices'!AT432</f>
        <v>5.1827368784664722</v>
      </c>
      <c r="AH201" s="115">
        <f t="shared" ref="AH201:AH264" si="90">SUMPRODUCT(Q201:W201,Z201:AF201)</f>
        <v>8.6128837241924234</v>
      </c>
      <c r="AI201" s="4">
        <f>'[32]Quantity Shares_1998 forward'!AH201</f>
        <v>8.6085057771191273</v>
      </c>
    </row>
    <row r="202" spans="4:35" x14ac:dyDescent="0.2">
      <c r="D202">
        <f>[13]Quantity_shares!BB428</f>
        <v>2007</v>
      </c>
      <c r="E202" t="str">
        <f>[13]Quantity_shares!BC428</f>
        <v>315</v>
      </c>
      <c r="F202" s="26">
        <f>[13]Quantity_shares!BD428</f>
        <v>0.89863013698630034</v>
      </c>
      <c r="G202" s="26">
        <f>[13]Quantity_shares!BE428</f>
        <v>5.0821917808219139E-2</v>
      </c>
      <c r="H202" s="26">
        <f>[13]Quantity_shares!BF428</f>
        <v>1.0273972602739712E-15</v>
      </c>
      <c r="I202" s="26">
        <f>[13]Quantity_shares!BG428</f>
        <v>5.0547945205479422E-2</v>
      </c>
      <c r="O202" t="s">
        <v>18</v>
      </c>
      <c r="Q202" s="26">
        <f t="shared" ref="Q202:W202" si="91">0.75*Q181+0.25*Q265</f>
        <v>5.1369863013698636E-3</v>
      </c>
      <c r="R202" s="26">
        <f t="shared" si="91"/>
        <v>2.1632446023911921E-2</v>
      </c>
      <c r="S202" s="26">
        <f t="shared" si="91"/>
        <v>0.94634755061522469</v>
      </c>
      <c r="T202" s="26">
        <f t="shared" si="91"/>
        <v>1.6495459722542058E-2</v>
      </c>
      <c r="U202" s="26">
        <f t="shared" si="91"/>
        <v>0</v>
      </c>
      <c r="V202" s="26">
        <f t="shared" si="91"/>
        <v>0</v>
      </c>
      <c r="W202" s="26">
        <f t="shared" si="91"/>
        <v>1.038755733695145E-2</v>
      </c>
      <c r="X202" s="26">
        <f t="shared" si="87"/>
        <v>0.99999999999999989</v>
      </c>
      <c r="Z202" s="4">
        <f>'[25]Predicted Residual Prices'!AS475</f>
        <v>11.431330167269325</v>
      </c>
      <c r="AA202" s="4">
        <f>'[26]Predicted Distillate Prices'!AS475</f>
        <v>15.654999999999999</v>
      </c>
      <c r="AB202" s="4">
        <f>'[27]Predicted Gas Prices'!AR475</f>
        <v>9.4889258140595754</v>
      </c>
      <c r="AC202" s="4">
        <f>'[28]Predicted LPG Prices'!AS475</f>
        <v>21.115800264305026</v>
      </c>
      <c r="AD202" s="4">
        <f>'[29]Predicted Coal Prices'!AS475</f>
        <v>3.6345084058311414</v>
      </c>
      <c r="AE202" s="4">
        <f>'[30]Predicted Coke Prices'!AS433</f>
        <v>0</v>
      </c>
      <c r="AF202" s="4">
        <f>'[31]Predicted Other Prices'!AT433</f>
        <v>5.0813026029961978</v>
      </c>
      <c r="AH202" s="115">
        <f t="shared" si="90"/>
        <v>9.7782973859890046</v>
      </c>
      <c r="AI202" s="4">
        <f>'[32]Quantity Shares_1998 forward'!AH202</f>
        <v>9.7977426628539348</v>
      </c>
    </row>
    <row r="203" spans="4:35" x14ac:dyDescent="0.2">
      <c r="D203">
        <f>[13]Quantity_shares!BB429</f>
        <v>2007</v>
      </c>
      <c r="E203" t="str">
        <f>[13]Quantity_shares!BC429</f>
        <v>316</v>
      </c>
      <c r="F203" s="26">
        <f>[13]Quantity_shares!BD429</f>
        <v>0.65336134453781136</v>
      </c>
      <c r="G203" s="26">
        <f>[13]Quantity_shares!BE429</f>
        <v>0.12184873949579757</v>
      </c>
      <c r="H203" s="26">
        <f>[13]Quantity_shares!BF429</f>
        <v>5.3571428571428188E-15</v>
      </c>
      <c r="I203" s="26">
        <f>[13]Quantity_shares!BG429</f>
        <v>0.22478991596638581</v>
      </c>
      <c r="O203" t="s">
        <v>20</v>
      </c>
      <c r="Q203" s="26">
        <f t="shared" ref="Q203:W203" si="92">0.75*Q182+0.25*Q266</f>
        <v>6.2073130558910727E-2</v>
      </c>
      <c r="R203" s="26">
        <f t="shared" si="92"/>
        <v>0.23350170198748216</v>
      </c>
      <c r="S203" s="26">
        <f t="shared" si="92"/>
        <v>0.62073130558910727</v>
      </c>
      <c r="T203" s="26">
        <f t="shared" si="92"/>
        <v>4.0644559130339306E-2</v>
      </c>
      <c r="U203" s="26">
        <f t="shared" si="92"/>
        <v>0</v>
      </c>
      <c r="V203" s="26">
        <f t="shared" si="92"/>
        <v>0</v>
      </c>
      <c r="W203" s="26">
        <f t="shared" si="92"/>
        <v>4.3049302734160536E-2</v>
      </c>
      <c r="X203" s="26">
        <f t="shared" si="87"/>
        <v>1</v>
      </c>
      <c r="Z203" s="4">
        <f>'[25]Predicted Residual Prices'!AS476</f>
        <v>11.803584823807322</v>
      </c>
      <c r="AA203" s="4">
        <f>'[26]Predicted Distillate Prices'!AS476</f>
        <v>13.723029545198019</v>
      </c>
      <c r="AB203" s="4">
        <f>'[27]Predicted Gas Prices'!AR476</f>
        <v>9.8916244760929004</v>
      </c>
      <c r="AC203" s="4">
        <f>'[28]Predicted LPG Prices'!AS476</f>
        <v>16.395135023422299</v>
      </c>
      <c r="AD203" s="4">
        <f>'[29]Predicted Coal Prices'!AS476</f>
        <v>3.1703385431524413</v>
      </c>
      <c r="AE203" s="4">
        <f>'[30]Predicted Coke Prices'!AS434</f>
        <v>0</v>
      </c>
      <c r="AF203" s="4">
        <f>'[31]Predicted Other Prices'!AT434</f>
        <v>5.040651301498098</v>
      </c>
      <c r="AH203" s="115">
        <f t="shared" si="90"/>
        <v>10.96044675126684</v>
      </c>
      <c r="AI203" s="4">
        <f>'[32]Quantity Shares_1998 forward'!AH203</f>
        <v>10.955251293078076</v>
      </c>
    </row>
    <row r="204" spans="4:35" x14ac:dyDescent="0.2">
      <c r="D204">
        <f>[13]Quantity_shares!BB430</f>
        <v>2007</v>
      </c>
      <c r="E204" t="str">
        <f>[13]Quantity_shares!BC430</f>
        <v>321</v>
      </c>
      <c r="F204" s="26">
        <f>[13]Quantity_shares!BD430</f>
        <v>0.20256754891052767</v>
      </c>
      <c r="G204" s="26">
        <f>[13]Quantity_shares!BE430</f>
        <v>5.3670624446736453E-2</v>
      </c>
      <c r="H204" s="26">
        <f>[13]Quantity_shares!BF430</f>
        <v>3.4497250940040441E-2</v>
      </c>
      <c r="I204" s="26">
        <f>[13]Quantity_shares!BG430</f>
        <v>0.70926457570269552</v>
      </c>
      <c r="O204" t="s">
        <v>22</v>
      </c>
      <c r="Q204" s="26">
        <f t="shared" ref="Q204:W204" si="93">0.75*Q183+0.25*Q267</f>
        <v>1.5482161697011134E-2</v>
      </c>
      <c r="R204" s="26">
        <f t="shared" si="93"/>
        <v>8.1959531541939024E-2</v>
      </c>
      <c r="S204" s="26">
        <f t="shared" si="93"/>
        <v>0.36047930308906478</v>
      </c>
      <c r="T204" s="26">
        <f t="shared" si="93"/>
        <v>1.8451282837153651E-2</v>
      </c>
      <c r="U204" s="26">
        <f t="shared" si="93"/>
        <v>5.7018913964741867E-2</v>
      </c>
      <c r="V204" s="26">
        <f t="shared" si="93"/>
        <v>1.8610421836228288E-3</v>
      </c>
      <c r="W204" s="26">
        <f t="shared" si="93"/>
        <v>0.46474776468646672</v>
      </c>
      <c r="X204" s="26">
        <f t="shared" si="87"/>
        <v>1</v>
      </c>
      <c r="Z204" s="4">
        <f>'[25]Predicted Residual Prices'!AS477</f>
        <v>9.5717204051855074</v>
      </c>
      <c r="AA204" s="4">
        <f>'[26]Predicted Distillate Prices'!AS477</f>
        <v>17.818803434175091</v>
      </c>
      <c r="AB204" s="4">
        <f>'[27]Predicted Gas Prices'!AR477</f>
        <v>8.3230050648950975</v>
      </c>
      <c r="AC204" s="4">
        <f>'[28]Predicted LPG Prices'!AS477</f>
        <v>16.94668944339934</v>
      </c>
      <c r="AD204" s="4">
        <f>'[29]Predicted Coal Prices'!AS477</f>
        <v>2.2762010041053022</v>
      </c>
      <c r="AE204" s="4">
        <f>'[30]Predicted Coke Prices'!AS435</f>
        <v>0</v>
      </c>
      <c r="AF204" s="4">
        <f>'[31]Predicted Other Prices'!AT435</f>
        <v>2.7486249769689213</v>
      </c>
      <c r="AH204" s="115">
        <f t="shared" si="90"/>
        <v>6.3287747538354928</v>
      </c>
      <c r="AI204" s="4">
        <f>'[32]Quantity Shares_1998 forward'!AH204</f>
        <v>6.3640897141117563</v>
      </c>
    </row>
    <row r="205" spans="4:35" x14ac:dyDescent="0.2">
      <c r="D205">
        <f>[13]Quantity_shares!BB431</f>
        <v>2007</v>
      </c>
      <c r="E205" t="str">
        <f>[13]Quantity_shares!BC431</f>
        <v>322</v>
      </c>
      <c r="F205" s="26">
        <f>[13]Quantity_shares!BD431</f>
        <v>0.22118487130565062</v>
      </c>
      <c r="G205" s="26">
        <f>[13]Quantity_shares!BE431</f>
        <v>4.2419592306689929E-2</v>
      </c>
      <c r="H205" s="26">
        <f>[13]Quantity_shares!BF431</f>
        <v>0.10591842827441209</v>
      </c>
      <c r="I205" s="26">
        <f>[13]Quantity_shares!BG431</f>
        <v>0.63047710811324742</v>
      </c>
      <c r="O205" t="s">
        <v>24</v>
      </c>
      <c r="Q205" s="26">
        <f t="shared" ref="Q205:W205" si="94">0.75*Q184+0.25*Q268</f>
        <v>7.1901206485817423E-2</v>
      </c>
      <c r="R205" s="26">
        <f t="shared" si="94"/>
        <v>1.053364170008971E-2</v>
      </c>
      <c r="S205" s="26">
        <f t="shared" si="94"/>
        <v>0.43103855140006847</v>
      </c>
      <c r="T205" s="26">
        <f t="shared" si="94"/>
        <v>4.4948542706480417E-3</v>
      </c>
      <c r="U205" s="26">
        <f t="shared" si="94"/>
        <v>0.20658619012368323</v>
      </c>
      <c r="V205" s="26">
        <f t="shared" si="94"/>
        <v>1.3102038677218176E-5</v>
      </c>
      <c r="W205" s="26">
        <f t="shared" si="94"/>
        <v>0.27543245398101596</v>
      </c>
      <c r="X205" s="26">
        <f t="shared" si="87"/>
        <v>1</v>
      </c>
      <c r="Z205" s="4">
        <f>'[25]Predicted Residual Prices'!AS478</f>
        <v>8.9511718307108996</v>
      </c>
      <c r="AA205" s="4">
        <f>'[26]Predicted Distillate Prices'!AS478</f>
        <v>13.22326964988115</v>
      </c>
      <c r="AB205" s="4">
        <f>'[27]Predicted Gas Prices'!AR478</f>
        <v>8.0443283652155007</v>
      </c>
      <c r="AC205" s="4">
        <f>'[28]Predicted LPG Prices'!AS478</f>
        <v>20.017885092816961</v>
      </c>
      <c r="AD205" s="4">
        <f>'[29]Predicted Coal Prices'!AS478</f>
        <v>2.9865411167416847</v>
      </c>
      <c r="AE205" s="4">
        <f>'[30]Predicted Coke Prices'!AS436</f>
        <v>4.5049999999999999</v>
      </c>
      <c r="AF205" s="4">
        <f>'[31]Predicted Other Prices'!AT436</f>
        <v>5.0635658803018515</v>
      </c>
      <c r="AH205" s="115">
        <f t="shared" si="90"/>
        <v>6.3519899124589738</v>
      </c>
      <c r="AI205" s="4">
        <f>'[32]Quantity Shares_1998 forward'!AH205</f>
        <v>6.3716690770500763</v>
      </c>
    </row>
    <row r="206" spans="4:35" x14ac:dyDescent="0.2">
      <c r="D206">
        <f>[13]Quantity_shares!BB432</f>
        <v>2007</v>
      </c>
      <c r="E206" t="str">
        <f>[13]Quantity_shares!BC432</f>
        <v>323</v>
      </c>
      <c r="F206" s="26">
        <f>[13]Quantity_shares!BD432</f>
        <v>0.95302287581699319</v>
      </c>
      <c r="G206" s="26">
        <f>[13]Quantity_shares!BE432</f>
        <v>1.6584967320261434E-2</v>
      </c>
      <c r="H206" s="26">
        <f>[13]Quantity_shares!BF432</f>
        <v>1.8382352941176467E-16</v>
      </c>
      <c r="I206" s="26">
        <f>[13]Quantity_shares!BG432</f>
        <v>3.0392156862745108E-2</v>
      </c>
      <c r="O206" t="s">
        <v>26</v>
      </c>
      <c r="Q206" s="26">
        <f t="shared" ref="Q206:W206" si="95">0.75*Q185+0.25*Q269</f>
        <v>1.2819773386255316E-3</v>
      </c>
      <c r="R206" s="26">
        <f t="shared" si="95"/>
        <v>2.5639546772510632E-3</v>
      </c>
      <c r="S206" s="26">
        <f t="shared" si="95"/>
        <v>0.96468139323933921</v>
      </c>
      <c r="T206" s="26">
        <f t="shared" si="95"/>
        <v>2.5639546772510631E-2</v>
      </c>
      <c r="U206" s="26">
        <f t="shared" si="95"/>
        <v>0</v>
      </c>
      <c r="V206" s="26">
        <f t="shared" si="95"/>
        <v>0</v>
      </c>
      <c r="W206" s="26">
        <f t="shared" si="95"/>
        <v>5.8331279722736353E-3</v>
      </c>
      <c r="X206" s="26">
        <f t="shared" si="87"/>
        <v>1</v>
      </c>
      <c r="Z206" s="4">
        <f>'[25]Predicted Residual Prices'!AS479</f>
        <v>9.2985430938901299</v>
      </c>
      <c r="AA206" s="4">
        <f>'[26]Predicted Distillate Prices'!AS479</f>
        <v>17.37515440036529</v>
      </c>
      <c r="AB206" s="4">
        <f>'[27]Predicted Gas Prices'!AR479</f>
        <v>7.9270543400054629</v>
      </c>
      <c r="AC206" s="4">
        <f>'[28]Predicted LPG Prices'!AS479</f>
        <v>22.104030434497783</v>
      </c>
      <c r="AD206" s="4">
        <f>'[29]Predicted Coal Prices'!AS479</f>
        <v>3.4005234182968236</v>
      </c>
      <c r="AE206" s="4">
        <f>'[30]Predicted Coke Prices'!AS437</f>
        <v>0</v>
      </c>
      <c r="AF206" s="4">
        <f>'[31]Predicted Other Prices'!AT437</f>
        <v>5.0637621908064361</v>
      </c>
      <c r="AH206" s="115">
        <f t="shared" si="90"/>
        <v>8.2998263499882352</v>
      </c>
      <c r="AI206" s="4">
        <f>'[32]Quantity Shares_1998 forward'!AH206</f>
        <v>8.288856767781775</v>
      </c>
    </row>
    <row r="207" spans="4:35" x14ac:dyDescent="0.2">
      <c r="D207">
        <f>[13]Quantity_shares!BB433</f>
        <v>2007</v>
      </c>
      <c r="E207" t="str">
        <f>[13]Quantity_shares!BC433</f>
        <v>324</v>
      </c>
      <c r="F207" s="26">
        <f>[13]Quantity_shares!BD433</f>
        <v>0.26799466347031786</v>
      </c>
      <c r="G207" s="26">
        <f>[13]Quantity_shares!BE433</f>
        <v>2.2340817167035128E-2</v>
      </c>
      <c r="H207" s="26">
        <f>[13]Quantity_shares!BF433</f>
        <v>1.3064055840265446E-2</v>
      </c>
      <c r="I207" s="26">
        <f>[13]Quantity_shares!BG433</f>
        <v>0.69660046352238147</v>
      </c>
      <c r="O207" t="s">
        <v>28</v>
      </c>
      <c r="Q207" s="26">
        <f t="shared" ref="Q207:W207" si="96">0.75*Q186+0.25*Q270</f>
        <v>2.5606495927958883E-2</v>
      </c>
      <c r="R207" s="26">
        <f t="shared" si="96"/>
        <v>1.4276024982384805E-2</v>
      </c>
      <c r="S207" s="26">
        <f t="shared" si="96"/>
        <v>0.66752554996771107</v>
      </c>
      <c r="T207" s="26">
        <f t="shared" si="96"/>
        <v>3.8552622527749649E-3</v>
      </c>
      <c r="U207" s="26">
        <f t="shared" si="96"/>
        <v>3.3012376738053371E-2</v>
      </c>
      <c r="V207" s="26">
        <f t="shared" si="96"/>
        <v>5.8406666147496312E-5</v>
      </c>
      <c r="W207" s="26">
        <f t="shared" si="96"/>
        <v>0.25566588346496943</v>
      </c>
      <c r="X207" s="26">
        <f t="shared" si="87"/>
        <v>1</v>
      </c>
      <c r="Z207" s="4">
        <f>'[25]Predicted Residual Prices'!AS480</f>
        <v>6.6392052215650459</v>
      </c>
      <c r="AA207" s="4">
        <f>'[26]Predicted Distillate Prices'!AS480</f>
        <v>14.673463464827663</v>
      </c>
      <c r="AB207" s="4">
        <f>'[27]Predicted Gas Prices'!AR480</f>
        <v>6.5746389716863227</v>
      </c>
      <c r="AC207" s="4">
        <f>'[28]Predicted LPG Prices'!AS480</f>
        <v>21.319515419678375</v>
      </c>
      <c r="AD207" s="4">
        <f>'[29]Predicted Coal Prices'!AS480</f>
        <v>3.799784775919703</v>
      </c>
      <c r="AE207" s="4">
        <f>'[30]Predicted Coke Prices'!AS438</f>
        <v>0</v>
      </c>
      <c r="AF207" s="4">
        <f>'[31]Predicted Other Prices'!AT438</f>
        <v>5.8692482892562232</v>
      </c>
      <c r="AH207" s="115">
        <f t="shared" si="90"/>
        <v>6.4764238066260127</v>
      </c>
      <c r="AI207" s="4">
        <f>'[32]Quantity Shares_1998 forward'!AH207</f>
        <v>6.4197590451830067</v>
      </c>
    </row>
    <row r="208" spans="4:35" x14ac:dyDescent="0.2">
      <c r="D208">
        <f>[13]Quantity_shares!BB434</f>
        <v>2007</v>
      </c>
      <c r="E208" t="str">
        <f>[13]Quantity_shares!BC434</f>
        <v>325</v>
      </c>
      <c r="F208" s="26">
        <f>[13]Quantity_shares!BD434</f>
        <v>0.55150184679980385</v>
      </c>
      <c r="G208" s="26">
        <f>[13]Quantity_shares!BE434</f>
        <v>1.0318561675995593E-2</v>
      </c>
      <c r="H208" s="26">
        <f>[13]Quantity_shares!BF434</f>
        <v>6.4831476063455129E-2</v>
      </c>
      <c r="I208" s="26">
        <f>[13]Quantity_shares!BG434</f>
        <v>0.37334811546074553</v>
      </c>
      <c r="O208" t="s">
        <v>30</v>
      </c>
      <c r="Q208" s="26">
        <f t="shared" ref="Q208:W208" si="97">0.75*Q187+0.25*Q271</f>
        <v>8.3492663928712643E-3</v>
      </c>
      <c r="R208" s="26">
        <f t="shared" si="97"/>
        <v>3.5162089604874034E-3</v>
      </c>
      <c r="S208" s="26">
        <f t="shared" si="97"/>
        <v>0.65002084677706973</v>
      </c>
      <c r="T208" s="26">
        <f t="shared" si="97"/>
        <v>3.0766828404264787E-3</v>
      </c>
      <c r="U208" s="26">
        <f t="shared" si="97"/>
        <v>7.6817011118497536E-2</v>
      </c>
      <c r="V208" s="26">
        <f t="shared" si="97"/>
        <v>3.3600645132386548E-5</v>
      </c>
      <c r="W208" s="26">
        <f t="shared" si="97"/>
        <v>0.25818638326551524</v>
      </c>
      <c r="X208" s="26">
        <f t="shared" si="87"/>
        <v>1</v>
      </c>
      <c r="Z208" s="4">
        <f>'[25]Predicted Residual Prices'!AS481</f>
        <v>8.5593026596017161</v>
      </c>
      <c r="AA208" s="4">
        <f>'[26]Predicted Distillate Prices'!AS481</f>
        <v>15.270524520623788</v>
      </c>
      <c r="AB208" s="4">
        <f>'[27]Predicted Gas Prices'!AR481</f>
        <v>7.1550866357588569</v>
      </c>
      <c r="AC208" s="4">
        <f>'[28]Predicted LPG Prices'!AS481</f>
        <v>14.222736363261749</v>
      </c>
      <c r="AD208" s="4">
        <f>'[29]Predicted Coal Prices'!AS481</f>
        <v>2.752603910590127</v>
      </c>
      <c r="AE208" s="4">
        <f>'[30]Predicted Coke Prices'!AS439</f>
        <v>8.9403371497768553</v>
      </c>
      <c r="AF208" s="4">
        <f>'[31]Predicted Other Prices'!AT439</f>
        <v>8.0032803697254202</v>
      </c>
      <c r="AH208" s="115">
        <f t="shared" si="90"/>
        <v>7.0979577950648682</v>
      </c>
      <c r="AI208" s="4">
        <f>'[32]Quantity Shares_1998 forward'!AH208</f>
        <v>7.0982987140956375</v>
      </c>
    </row>
    <row r="209" spans="4:35" x14ac:dyDescent="0.2">
      <c r="D209">
        <f>[13]Quantity_shares!BB435</f>
        <v>2007</v>
      </c>
      <c r="E209" t="str">
        <f>[13]Quantity_shares!BC435</f>
        <v>326</v>
      </c>
      <c r="F209" s="26">
        <f>[13]Quantity_shares!BD435</f>
        <v>0.8433134826911397</v>
      </c>
      <c r="G209" s="26">
        <f>[13]Quantity_shares!BE435</f>
        <v>6.3665311424522572E-2</v>
      </c>
      <c r="H209" s="26">
        <f>[13]Quantity_shares!BF435</f>
        <v>4.98502766718402E-2</v>
      </c>
      <c r="I209" s="26">
        <f>[13]Quantity_shares!BG435</f>
        <v>4.3170929212497468E-2</v>
      </c>
      <c r="O209" t="s">
        <v>32</v>
      </c>
      <c r="Q209" s="26">
        <f t="shared" ref="Q209:W209" si="98">0.75*Q188+0.25*Q272</f>
        <v>4.4048938866012036E-2</v>
      </c>
      <c r="R209" s="26">
        <f t="shared" si="98"/>
        <v>1.8965790307253722E-2</v>
      </c>
      <c r="S209" s="26">
        <f t="shared" si="98"/>
        <v>0.84280962939499515</v>
      </c>
      <c r="T209" s="26">
        <f t="shared" si="98"/>
        <v>2.8706050047513459E-2</v>
      </c>
      <c r="U209" s="26">
        <f t="shared" si="98"/>
        <v>3.7931580614507444E-2</v>
      </c>
      <c r="V209" s="26">
        <f t="shared" si="98"/>
        <v>0</v>
      </c>
      <c r="W209" s="26">
        <f t="shared" si="98"/>
        <v>2.7538010769718086E-2</v>
      </c>
      <c r="X209" s="26">
        <f t="shared" si="87"/>
        <v>0.99999999999999989</v>
      </c>
      <c r="Z209" s="4">
        <f>'[25]Predicted Residual Prices'!AS482</f>
        <v>9.9145537414082732</v>
      </c>
      <c r="AA209" s="4">
        <f>'[26]Predicted Distillate Prices'!AS482</f>
        <v>17.185294669963827</v>
      </c>
      <c r="AB209" s="4">
        <f>'[27]Predicted Gas Prices'!AR482</f>
        <v>8.7638079230362713</v>
      </c>
      <c r="AC209" s="4">
        <f>'[28]Predicted LPG Prices'!AS482</f>
        <v>20.982650152178806</v>
      </c>
      <c r="AD209" s="4">
        <f>'[29]Predicted Coal Prices'!AS482</f>
        <v>3.2703573368799912</v>
      </c>
      <c r="AE209" s="4">
        <f>'[30]Predicted Coke Prices'!AS440</f>
        <v>0</v>
      </c>
      <c r="AF209" s="4">
        <f>'[31]Predicted Other Prices'!AT440</f>
        <v>8.288803689075273</v>
      </c>
      <c r="AH209" s="115">
        <f t="shared" si="90"/>
        <v>9.1035159680389572</v>
      </c>
      <c r="AI209" s="4">
        <f>'[32]Quantity Shares_1998 forward'!AH209</f>
        <v>9.0958069490325766</v>
      </c>
    </row>
    <row r="210" spans="4:35" x14ac:dyDescent="0.2">
      <c r="D210">
        <f>[13]Quantity_shares!BB436</f>
        <v>2007</v>
      </c>
      <c r="E210" t="str">
        <f>[13]Quantity_shares!BC436</f>
        <v>327</v>
      </c>
      <c r="F210" s="26">
        <f>[13]Quantity_shares!BD436</f>
        <v>0.47309237995824638</v>
      </c>
      <c r="G210" s="26">
        <f>[13]Quantity_shares!BE436</f>
        <v>3.5835073068893532E-2</v>
      </c>
      <c r="H210" s="26">
        <f>[13]Quantity_shares!BF436</f>
        <v>0.352883611691023</v>
      </c>
      <c r="I210" s="26">
        <f>[13]Quantity_shares!BG436</f>
        <v>0.13818893528183718</v>
      </c>
      <c r="O210" t="s">
        <v>34</v>
      </c>
      <c r="Q210" s="26">
        <f t="shared" ref="Q210:W210" si="99">0.75*Q189+0.25*Q273</f>
        <v>2.7765507667066327E-3</v>
      </c>
      <c r="R210" s="26">
        <f t="shared" si="99"/>
        <v>3.3200290275761976E-2</v>
      </c>
      <c r="S210" s="26">
        <f t="shared" si="99"/>
        <v>0.47497949138638229</v>
      </c>
      <c r="T210" s="26">
        <f t="shared" si="99"/>
        <v>4.766938011400686E-3</v>
      </c>
      <c r="U210" s="26">
        <f t="shared" si="99"/>
        <v>0.34229139058917568</v>
      </c>
      <c r="V210" s="26">
        <f t="shared" si="99"/>
        <v>1.1992280347489535E-2</v>
      </c>
      <c r="W210" s="26">
        <f t="shared" si="99"/>
        <v>0.12999305862308325</v>
      </c>
      <c r="X210" s="26">
        <f t="shared" si="87"/>
        <v>1</v>
      </c>
      <c r="Z210" s="4">
        <f>'[25]Predicted Residual Prices'!AS483</f>
        <v>9.3986857192894515</v>
      </c>
      <c r="AA210" s="4">
        <f>'[26]Predicted Distillate Prices'!AS483</f>
        <v>18.871648672823508</v>
      </c>
      <c r="AB210" s="4">
        <f>'[27]Predicted Gas Prices'!AR483</f>
        <v>8.0377120193733962</v>
      </c>
      <c r="AC210" s="4">
        <f>'[28]Predicted LPG Prices'!AS483</f>
        <v>18.875006363961592</v>
      </c>
      <c r="AD210" s="4">
        <f>'[29]Predicted Coal Prices'!AS483</f>
        <v>2.6722675374693403</v>
      </c>
      <c r="AE210" s="4">
        <f>'[30]Predicted Coke Prices'!AS441</f>
        <v>3.1627937658537895</v>
      </c>
      <c r="AF210" s="4">
        <f>'[31]Predicted Other Prices'!AT441</f>
        <v>1.56892228212973</v>
      </c>
      <c r="AH210" s="115">
        <f t="shared" si="90"/>
        <v>5.7169367812779077</v>
      </c>
      <c r="AI210" s="4">
        <f>'[32]Quantity Shares_1998 forward'!AH210</f>
        <v>5.7760342192726313</v>
      </c>
    </row>
    <row r="211" spans="4:35" x14ac:dyDescent="0.2">
      <c r="D211">
        <f>[13]Quantity_shares!BB437</f>
        <v>2007</v>
      </c>
      <c r="E211" t="str">
        <f>[13]Quantity_shares!BC437</f>
        <v>331</v>
      </c>
      <c r="F211" s="26">
        <f>[13]Quantity_shares!BD437</f>
        <v>0.44806112618993377</v>
      </c>
      <c r="G211" s="26">
        <f>[13]Quantity_shares!BE437</f>
        <v>1.6570539172469811E-2</v>
      </c>
      <c r="H211" s="26">
        <f>[13]Quantity_shares!BF437</f>
        <v>0.29924480688650934</v>
      </c>
      <c r="I211" s="26">
        <f>[13]Quantity_shares!BG437</f>
        <v>0.23612352775108716</v>
      </c>
      <c r="O211" t="s">
        <v>36</v>
      </c>
      <c r="Q211" s="26">
        <f t="shared" ref="Q211:W211" si="100">0.75*Q190+0.25*Q274</f>
        <v>1.6319925432520851E-2</v>
      </c>
      <c r="R211" s="26">
        <f t="shared" si="100"/>
        <v>7.5212207845795631E-3</v>
      </c>
      <c r="S211" s="26">
        <f t="shared" si="100"/>
        <v>0.6404891464528869</v>
      </c>
      <c r="T211" s="26">
        <f t="shared" si="100"/>
        <v>4.1962627840490437E-3</v>
      </c>
      <c r="U211" s="26">
        <f t="shared" si="100"/>
        <v>2.4006933596628251E-2</v>
      </c>
      <c r="V211" s="26">
        <f t="shared" si="100"/>
        <v>0.24909830086356805</v>
      </c>
      <c r="W211" s="26">
        <f t="shared" si="100"/>
        <v>5.8368210085767334E-2</v>
      </c>
      <c r="X211" s="26">
        <f t="shared" si="87"/>
        <v>0.99999999999999989</v>
      </c>
      <c r="Z211" s="4">
        <f>'[25]Predicted Residual Prices'!AS484</f>
        <v>7.5162006289877024</v>
      </c>
      <c r="AA211" s="4">
        <f>'[26]Predicted Distillate Prices'!AS484</f>
        <v>16.758165614227124</v>
      </c>
      <c r="AB211" s="4">
        <f>'[27]Predicted Gas Prices'!AR484</f>
        <v>7.9427331162932004</v>
      </c>
      <c r="AC211" s="4">
        <f>'[28]Predicted LPG Prices'!AS484</f>
        <v>17.305248224247208</v>
      </c>
      <c r="AD211" s="4">
        <f>'[29]Predicted Coal Prices'!AS484</f>
        <v>3.6304884982050116</v>
      </c>
      <c r="AE211" s="4">
        <f>'[30]Predicted Coke Prices'!AS442</f>
        <v>8.1151363585385674</v>
      </c>
      <c r="AF211" s="4">
        <f>'[31]Predicted Other Prices'!AT442</f>
        <v>3.0543583314479679</v>
      </c>
      <c r="AH211" s="115">
        <f t="shared" si="90"/>
        <v>7.6954584238349666</v>
      </c>
      <c r="AI211" s="4">
        <f>'[32]Quantity Shares_1998 forward'!AH211</f>
        <v>7.6679424198990889</v>
      </c>
    </row>
    <row r="212" spans="4:35" x14ac:dyDescent="0.2">
      <c r="D212">
        <f>[13]Quantity_shares!BB438</f>
        <v>2007</v>
      </c>
      <c r="E212" t="str">
        <f>[13]Quantity_shares!BC438</f>
        <v>332</v>
      </c>
      <c r="F212" s="26">
        <f>[13]Quantity_shares!BD438</f>
        <v>0.94537675354341799</v>
      </c>
      <c r="G212" s="26">
        <f>[13]Quantity_shares!BE438</f>
        <v>1.2005840224889531E-2</v>
      </c>
      <c r="H212" s="26">
        <f>[13]Quantity_shares!BF438</f>
        <v>7.2736004577719044E-4</v>
      </c>
      <c r="I212" s="26">
        <f>[13]Quantity_shares!BG438</f>
        <v>4.1890046185915339E-2</v>
      </c>
      <c r="O212" t="s">
        <v>38</v>
      </c>
      <c r="Q212" s="26">
        <f t="shared" ref="Q212:W212" si="101">0.75*Q191+0.25*Q275</f>
        <v>1.630328538080289E-3</v>
      </c>
      <c r="R212" s="26">
        <f t="shared" si="101"/>
        <v>1.0295994756270053E-2</v>
      </c>
      <c r="S212" s="26">
        <f t="shared" si="101"/>
        <v>0.94806292475937481</v>
      </c>
      <c r="T212" s="26">
        <f t="shared" si="101"/>
        <v>1.9140189280252067E-2</v>
      </c>
      <c r="U212" s="26">
        <f t="shared" si="101"/>
        <v>1.4518002322880374E-4</v>
      </c>
      <c r="V212" s="26">
        <f t="shared" si="101"/>
        <v>8.9108910891089119E-3</v>
      </c>
      <c r="W212" s="26">
        <f t="shared" si="101"/>
        <v>1.1814491553684987E-2</v>
      </c>
      <c r="X212" s="26">
        <f t="shared" si="87"/>
        <v>1</v>
      </c>
      <c r="Z212" s="4">
        <f>'[25]Predicted Residual Prices'!AS485</f>
        <v>7.957540862081939</v>
      </c>
      <c r="AA212" s="4">
        <f>'[26]Predicted Distillate Prices'!AS485</f>
        <v>21.825440540671892</v>
      </c>
      <c r="AB212" s="4">
        <f>'[27]Predicted Gas Prices'!AR485</f>
        <v>8.7719982574925357</v>
      </c>
      <c r="AC212" s="4">
        <f>'[28]Predicted LPG Prices'!AS485</f>
        <v>21.201129139941713</v>
      </c>
      <c r="AD212" s="4">
        <f>'[29]Predicted Coal Prices'!AS485</f>
        <v>4.0816356848535555</v>
      </c>
      <c r="AE212" s="4">
        <f>'[30]Predicted Coke Prices'!AS443</f>
        <v>7.9041320788047393</v>
      </c>
      <c r="AF212" s="4">
        <f>'[31]Predicted Other Prices'!AT443</f>
        <v>10.334803780974935</v>
      </c>
      <c r="AH212" s="115">
        <f t="shared" si="90"/>
        <v>9.1530138600475173</v>
      </c>
      <c r="AI212" s="4">
        <f>'[32]Quantity Shares_1998 forward'!AH212</f>
        <v>9.1818069642397599</v>
      </c>
    </row>
    <row r="213" spans="4:35" x14ac:dyDescent="0.2">
      <c r="D213">
        <f>[13]Quantity_shares!BB439</f>
        <v>2007</v>
      </c>
      <c r="E213" t="str">
        <f>[13]Quantity_shares!BC439</f>
        <v>333</v>
      </c>
      <c r="F213" s="26">
        <f>[13]Quantity_shares!BD439</f>
        <v>0.90704419313107709</v>
      </c>
      <c r="G213" s="26">
        <f>[13]Quantity_shares!BE439</f>
        <v>3.4542836873513331E-2</v>
      </c>
      <c r="H213" s="26">
        <f>[13]Quantity_shares!BF439</f>
        <v>8.3879313942327761E-3</v>
      </c>
      <c r="I213" s="26">
        <f>[13]Quantity_shares!BG439</f>
        <v>5.0025038601176811E-2</v>
      </c>
      <c r="O213" t="s">
        <v>40</v>
      </c>
      <c r="Q213" s="26">
        <f t="shared" ref="Q213:W213" si="102">0.75*Q192+0.25*Q276</f>
        <v>8.3887703443370574E-3</v>
      </c>
      <c r="R213" s="26">
        <f t="shared" si="102"/>
        <v>2.5856658717208485E-2</v>
      </c>
      <c r="S213" s="26">
        <f t="shared" si="102"/>
        <v>0.90763984770511685</v>
      </c>
      <c r="T213" s="26">
        <f t="shared" si="102"/>
        <v>3.0678632693192754E-2</v>
      </c>
      <c r="U213" s="26">
        <f t="shared" si="102"/>
        <v>8.0645161290322578E-3</v>
      </c>
      <c r="V213" s="26">
        <f t="shared" si="102"/>
        <v>0</v>
      </c>
      <c r="W213" s="26">
        <f t="shared" si="102"/>
        <v>1.9371574411112504E-2</v>
      </c>
      <c r="X213" s="26">
        <f t="shared" si="87"/>
        <v>0.99999999999999978</v>
      </c>
      <c r="Z213" s="4">
        <f>'[25]Predicted Residual Prices'!AS486</f>
        <v>8.2642094397402772</v>
      </c>
      <c r="AA213" s="4">
        <f>'[26]Predicted Distillate Prices'!AS486</f>
        <v>20.379345542687417</v>
      </c>
      <c r="AB213" s="4">
        <f>'[27]Predicted Gas Prices'!AR486</f>
        <v>9.7434318442179091</v>
      </c>
      <c r="AC213" s="4">
        <f>'[28]Predicted LPG Prices'!AS486</f>
        <v>20.754964263088386</v>
      </c>
      <c r="AD213" s="4">
        <f>'[29]Predicted Coal Prices'!AS486</f>
        <v>2.7241250155925991</v>
      </c>
      <c r="AE213" s="4">
        <f>'[30]Predicted Coke Prices'!AS444</f>
        <v>0</v>
      </c>
      <c r="AF213" s="4">
        <f>'[31]Predicted Other Prices'!AT444</f>
        <v>10.08848172980772</v>
      </c>
      <c r="AH213" s="115">
        <f t="shared" si="90"/>
        <v>10.293927782693441</v>
      </c>
      <c r="AI213" s="4">
        <f>'[32]Quantity Shares_1998 forward'!AH213</f>
        <v>11.715726651963051</v>
      </c>
    </row>
    <row r="214" spans="4:35" x14ac:dyDescent="0.2">
      <c r="D214">
        <f>[13]Quantity_shares!BB440</f>
        <v>2007</v>
      </c>
      <c r="E214" t="str">
        <f>[13]Quantity_shares!BC440</f>
        <v>334</v>
      </c>
      <c r="F214" s="26">
        <f>[13]Quantity_shares!BD440</f>
        <v>0.94450431034482762</v>
      </c>
      <c r="G214" s="26">
        <f>[13]Quantity_shares!BE440</f>
        <v>2.8035201149425287E-2</v>
      </c>
      <c r="H214" s="26">
        <f>[13]Quantity_shares!BF440</f>
        <v>1.5625000000000001E-3</v>
      </c>
      <c r="I214" s="26">
        <f>[13]Quantity_shares!BG440</f>
        <v>2.5897988505747125E-2</v>
      </c>
      <c r="O214" t="s">
        <v>42</v>
      </c>
      <c r="Q214" s="26">
        <f t="shared" ref="Q214:W214" si="103">0.75*Q193+0.25*Q277</f>
        <v>2.177218344965105E-3</v>
      </c>
      <c r="R214" s="26">
        <f t="shared" si="103"/>
        <v>1.6478065802592222E-2</v>
      </c>
      <c r="S214" s="26">
        <f t="shared" si="103"/>
        <v>0.96210119641076752</v>
      </c>
      <c r="T214" s="26">
        <f t="shared" si="103"/>
        <v>2.177218344965105E-3</v>
      </c>
      <c r="U214" s="26">
        <f t="shared" si="103"/>
        <v>0</v>
      </c>
      <c r="V214" s="26">
        <f t="shared" si="103"/>
        <v>0</v>
      </c>
      <c r="W214" s="26">
        <f t="shared" si="103"/>
        <v>1.7066301096709868E-2</v>
      </c>
      <c r="X214" s="26">
        <f t="shared" si="87"/>
        <v>0.99999999999999978</v>
      </c>
      <c r="Z214" s="4">
        <f>'[25]Predicted Residual Prices'!AS487</f>
        <v>11.045874323823556</v>
      </c>
      <c r="AA214" s="4">
        <f>'[26]Predicted Distillate Prices'!AS487</f>
        <v>16.772025342129275</v>
      </c>
      <c r="AB214" s="4">
        <f>'[27]Predicted Gas Prices'!AR487</f>
        <v>9.3683166022729054</v>
      </c>
      <c r="AC214" s="4">
        <f>'[28]Predicted LPG Prices'!AS487</f>
        <v>21.273914099673007</v>
      </c>
      <c r="AD214" s="4">
        <f>'[29]Predicted Coal Prices'!AS487</f>
        <v>4.0726676851806838</v>
      </c>
      <c r="AE214" s="4">
        <f>'[30]Predicted Coke Prices'!AS445</f>
        <v>0</v>
      </c>
      <c r="AF214" s="4">
        <f>'[31]Predicted Other Prices'!AT445</f>
        <v>7.1882257127877285</v>
      </c>
      <c r="AH214" s="115">
        <f t="shared" si="90"/>
        <v>9.4826828092585451</v>
      </c>
      <c r="AI214" s="4">
        <f>'[32]Quantity Shares_1998 forward'!AH214</f>
        <v>9.426626267638806</v>
      </c>
    </row>
    <row r="215" spans="4:35" x14ac:dyDescent="0.2">
      <c r="D215">
        <f>[13]Quantity_shares!BB441</f>
        <v>2007</v>
      </c>
      <c r="E215" t="str">
        <f>[13]Quantity_shares!BC441</f>
        <v>335</v>
      </c>
      <c r="F215" s="26">
        <f>[13]Quantity_shares!BD441</f>
        <v>0.94392789658378562</v>
      </c>
      <c r="G215" s="26">
        <f>[13]Quantity_shares!BE441</f>
        <v>1.861821780990372E-2</v>
      </c>
      <c r="H215" s="26">
        <f>[13]Quantity_shares!BF441</f>
        <v>5.4122551813082986E-3</v>
      </c>
      <c r="I215" s="26">
        <f>[13]Quantity_shares!BG441</f>
        <v>3.204163042500225E-2</v>
      </c>
      <c r="O215" t="s">
        <v>44</v>
      </c>
      <c r="Q215" s="26">
        <f t="shared" ref="Q215:W215" si="104">0.75*Q194+0.25*Q278</f>
        <v>3.2637075718015672E-4</v>
      </c>
      <c r="R215" s="26">
        <f t="shared" si="104"/>
        <v>2.3848431309884888E-2</v>
      </c>
      <c r="S215" s="26">
        <f t="shared" si="104"/>
        <v>0.94514860798726485</v>
      </c>
      <c r="T215" s="26">
        <f t="shared" si="104"/>
        <v>2.3848431309884888E-2</v>
      </c>
      <c r="U215" s="26">
        <f t="shared" si="104"/>
        <v>0</v>
      </c>
      <c r="V215" s="26">
        <f t="shared" si="104"/>
        <v>3.2637075718015672E-4</v>
      </c>
      <c r="W215" s="26">
        <f t="shared" si="104"/>
        <v>6.5017878786051541E-3</v>
      </c>
      <c r="X215" s="26">
        <f t="shared" si="87"/>
        <v>1</v>
      </c>
      <c r="Z215" s="4">
        <f>'[25]Predicted Residual Prices'!AS488</f>
        <v>10.848509336260928</v>
      </c>
      <c r="AA215" s="4">
        <f>'[26]Predicted Distillate Prices'!AS488</f>
        <v>15.760199316681444</v>
      </c>
      <c r="AB215" s="4">
        <f>'[27]Predicted Gas Prices'!AR488</f>
        <v>9.2027965234005009</v>
      </c>
      <c r="AC215" s="4">
        <f>'[28]Predicted LPG Prices'!AS488</f>
        <v>21.554826132862964</v>
      </c>
      <c r="AD215" s="4">
        <f>'[29]Predicted Coal Prices'!AS488</f>
        <v>3.5915427840068488</v>
      </c>
      <c r="AE215" s="4">
        <f>'[30]Predicted Coke Prices'!AS446</f>
        <v>0</v>
      </c>
      <c r="AF215" s="4">
        <f>'[31]Predicted Other Prices'!AT446</f>
        <v>6.0721403115355272</v>
      </c>
      <c r="AH215" s="115">
        <f t="shared" si="90"/>
        <v>9.630935549423171</v>
      </c>
      <c r="AI215" s="4">
        <f>'[32]Quantity Shares_1998 forward'!AH215</f>
        <v>9.6884891658904859</v>
      </c>
    </row>
    <row r="216" spans="4:35" x14ac:dyDescent="0.2">
      <c r="D216">
        <f>[13]Quantity_shares!BB442</f>
        <v>2007</v>
      </c>
      <c r="E216" t="str">
        <f>[13]Quantity_shares!BC442</f>
        <v>336</v>
      </c>
      <c r="F216" s="26">
        <f>[13]Quantity_shares!BD442</f>
        <v>0.88006179866644985</v>
      </c>
      <c r="G216" s="26">
        <f>[13]Quantity_shares!BE442</f>
        <v>3.5168320052040986E-2</v>
      </c>
      <c r="H216" s="26">
        <f>[13]Quantity_shares!BF442</f>
        <v>1.8458285900146365E-2</v>
      </c>
      <c r="I216" s="26">
        <f>[13]Quantity_shares!BG442</f>
        <v>6.6311595381362817E-2</v>
      </c>
      <c r="O216" t="s">
        <v>46</v>
      </c>
      <c r="Q216" s="26">
        <f t="shared" ref="Q216:W216" si="105">0.75*Q195+0.25*Q279</f>
        <v>2.2179777517855808E-2</v>
      </c>
      <c r="R216" s="26">
        <f t="shared" si="105"/>
        <v>1.3251872682477666E-2</v>
      </c>
      <c r="S216" s="26">
        <f t="shared" si="105"/>
        <v>0.88661871935893299</v>
      </c>
      <c r="T216" s="26">
        <f t="shared" si="105"/>
        <v>1.5920911828385138E-2</v>
      </c>
      <c r="U216" s="26">
        <f t="shared" si="105"/>
        <v>1.8589950974292613E-2</v>
      </c>
      <c r="V216" s="26">
        <f t="shared" si="105"/>
        <v>2.6690391459074735E-4</v>
      </c>
      <c r="W216" s="26">
        <f t="shared" si="105"/>
        <v>4.3438767638055896E-2</v>
      </c>
      <c r="X216" s="26">
        <f t="shared" si="87"/>
        <v>1.0002669039145908</v>
      </c>
      <c r="Z216" s="4">
        <f>'[25]Predicted Residual Prices'!AS489</f>
        <v>8.3840794082580565</v>
      </c>
      <c r="AA216" s="4">
        <f>'[26]Predicted Distillate Prices'!AS489</f>
        <v>18.798179752830318</v>
      </c>
      <c r="AB216" s="4">
        <f>'[27]Predicted Gas Prices'!AR489</f>
        <v>7.365670846714691</v>
      </c>
      <c r="AC216" s="4">
        <f>'[28]Predicted LPG Prices'!AS489</f>
        <v>18.2568727994155</v>
      </c>
      <c r="AD216" s="4">
        <f>'[29]Predicted Coal Prices'!AS489</f>
        <v>3.2354084422045726</v>
      </c>
      <c r="AE216" s="4">
        <f>'[30]Predicted Coke Prices'!AS447</f>
        <v>0</v>
      </c>
      <c r="AF216" s="4">
        <f>'[31]Predicted Other Prices'!AT447</f>
        <v>7.5217461630713442</v>
      </c>
      <c r="AH216" s="115">
        <f t="shared" si="90"/>
        <v>7.6431572842816706</v>
      </c>
      <c r="AI216" s="4">
        <f>'[32]Quantity Shares_1998 forward'!AH216</f>
        <v>7.6306208740724042</v>
      </c>
    </row>
    <row r="217" spans="4:35" x14ac:dyDescent="0.2">
      <c r="D217">
        <f>[13]Quantity_shares!BB443</f>
        <v>2007</v>
      </c>
      <c r="E217" t="str">
        <f>[13]Quantity_shares!BC443</f>
        <v>337</v>
      </c>
      <c r="F217" s="26">
        <f>[13]Quantity_shares!BD443</f>
        <v>0.62139849290780147</v>
      </c>
      <c r="G217" s="26">
        <f>[13]Quantity_shares!BE443</f>
        <v>2.1221187943262412E-2</v>
      </c>
      <c r="H217" s="26">
        <f>[13]Quantity_shares!BF443</f>
        <v>7.9510195035460987E-2</v>
      </c>
      <c r="I217" s="26">
        <f>[13]Quantity_shares!BG443</f>
        <v>0.27787012411347523</v>
      </c>
      <c r="O217" t="s">
        <v>48</v>
      </c>
      <c r="Q217" s="26">
        <f t="shared" ref="Q217:W217" si="106">0.75*Q196+0.25*Q280</f>
        <v>6.7264573991031393E-3</v>
      </c>
      <c r="R217" s="26">
        <f t="shared" si="106"/>
        <v>4.8969710308399139E-3</v>
      </c>
      <c r="S217" s="26">
        <f t="shared" si="106"/>
        <v>0.77113538199125153</v>
      </c>
      <c r="T217" s="26">
        <f t="shared" si="106"/>
        <v>4.8969710308399132E-2</v>
      </c>
      <c r="U217" s="26">
        <f t="shared" si="106"/>
        <v>0.10396434564912377</v>
      </c>
      <c r="V217" s="26">
        <f t="shared" si="106"/>
        <v>0</v>
      </c>
      <c r="W217" s="26">
        <f t="shared" si="106"/>
        <v>6.4307133621282569E-2</v>
      </c>
      <c r="X217" s="26">
        <f t="shared" si="87"/>
        <v>1</v>
      </c>
      <c r="Z217" s="4">
        <f>'[25]Predicted Residual Prices'!AS490</f>
        <v>8.8223421839271019</v>
      </c>
      <c r="AA217" s="4">
        <f>'[26]Predicted Distillate Prices'!AS490</f>
        <v>19.409738501352578</v>
      </c>
      <c r="AB217" s="4">
        <f>'[27]Predicted Gas Prices'!AR490</f>
        <v>10.447925952557497</v>
      </c>
      <c r="AC217" s="4">
        <f>'[28]Predicted LPG Prices'!AS490</f>
        <v>21.247819394608491</v>
      </c>
      <c r="AD217" s="4">
        <f>'[29]Predicted Coal Prices'!AS490</f>
        <v>1.9356761805811891</v>
      </c>
      <c r="AE217" s="4">
        <f>'[30]Predicted Coke Prices'!AS448</f>
        <v>0</v>
      </c>
      <c r="AF217" s="4">
        <f>'[31]Predicted Other Prices'!AT448</f>
        <v>3.6694573922180882</v>
      </c>
      <c r="AH217" s="115">
        <f t="shared" si="90"/>
        <v>9.6888705612403871</v>
      </c>
      <c r="AI217" s="4">
        <f>'[32]Quantity Shares_1998 forward'!AH217</f>
        <v>9.680741701678464</v>
      </c>
    </row>
    <row r="218" spans="4:35" x14ac:dyDescent="0.2">
      <c r="D218">
        <f>[13]Quantity_shares!BB444</f>
        <v>2007</v>
      </c>
      <c r="E218" t="str">
        <f>[13]Quantity_shares!BC444</f>
        <v>339</v>
      </c>
      <c r="F218" s="26">
        <f>[13]Quantity_shares!BD444</f>
        <v>0.80456513893901127</v>
      </c>
      <c r="G218" s="26">
        <f>[13]Quantity_shares!BE444</f>
        <v>9.6697942980873336E-2</v>
      </c>
      <c r="H218" s="26">
        <f>[13]Quantity_shares!BF444</f>
        <v>3.7712017322266336E-3</v>
      </c>
      <c r="I218" s="26">
        <f>[13]Quantity_shares!BG444</f>
        <v>9.4965716347888779E-2</v>
      </c>
      <c r="O218" t="s">
        <v>50</v>
      </c>
      <c r="Q218" s="26">
        <f t="shared" ref="Q218:W218" si="107">0.75*Q197+0.25*Q281</f>
        <v>5.9129089301503096E-2</v>
      </c>
      <c r="R218" s="26">
        <f t="shared" si="107"/>
        <v>3.7444739168877098E-2</v>
      </c>
      <c r="S218" s="26">
        <f t="shared" si="107"/>
        <v>0.80680813439434129</v>
      </c>
      <c r="T218" s="26">
        <f t="shared" si="107"/>
        <v>2.4513704686118479E-2</v>
      </c>
      <c r="U218" s="26">
        <f t="shared" si="107"/>
        <v>1.4367816091954018E-3</v>
      </c>
      <c r="V218" s="26">
        <f t="shared" si="107"/>
        <v>0</v>
      </c>
      <c r="W218" s="26">
        <f t="shared" si="107"/>
        <v>7.0667550839964635E-2</v>
      </c>
      <c r="X218" s="26">
        <f t="shared" si="87"/>
        <v>1</v>
      </c>
      <c r="Z218" s="4">
        <f>'[25]Predicted Residual Prices'!AS491</f>
        <v>11.267348732559237</v>
      </c>
      <c r="AA218" s="4">
        <f>'[26]Predicted Distillate Prices'!AS491</f>
        <v>19.333610761570458</v>
      </c>
      <c r="AB218" s="4">
        <f>'[27]Predicted Gas Prices'!AR491</f>
        <v>9.9370121510510376</v>
      </c>
      <c r="AC218" s="4">
        <f>'[28]Predicted LPG Prices'!AS491</f>
        <v>23.542782533966516</v>
      </c>
      <c r="AD218" s="4">
        <f>'[29]Predicted Coal Prices'!AS491</f>
        <v>3.1288196498193566</v>
      </c>
      <c r="AE218" s="4">
        <f>'[30]Predicted Coke Prices'!AS449</f>
        <v>0</v>
      </c>
      <c r="AF218" s="4">
        <f>'[31]Predicted Other Prices'!AT449</f>
        <v>4.1896552573748362</v>
      </c>
      <c r="AH218" s="115">
        <f t="shared" si="90"/>
        <v>10.285121241562637</v>
      </c>
      <c r="AI218" s="4">
        <f>'[32]Quantity Shares_1998 forward'!AH218</f>
        <v>10.255060407479718</v>
      </c>
    </row>
    <row r="219" spans="4:35" x14ac:dyDescent="0.2">
      <c r="D219">
        <f>[13]Quantity_shares!BB445</f>
        <v>2008</v>
      </c>
      <c r="E219" t="str">
        <f>[13]Quantity_shares!BC445</f>
        <v>311</v>
      </c>
      <c r="F219" s="26">
        <f>[13]Quantity_shares!BD445</f>
        <v>0.66052562932046444</v>
      </c>
      <c r="G219" s="26">
        <f>[13]Quantity_shares!BE445</f>
        <v>4.1306899700013042E-2</v>
      </c>
      <c r="H219" s="26">
        <f>[13]Quantity_shares!BF445</f>
        <v>0.18113995043693754</v>
      </c>
      <c r="I219" s="26">
        <f>[13]Quantity_shares!BG445</f>
        <v>0.11702752054258511</v>
      </c>
      <c r="P219">
        <v>2008</v>
      </c>
      <c r="Q219" s="26">
        <f t="shared" ref="Q219:W219" si="108">0.5*Q177+0.5*Q261</f>
        <v>2.1900525634025971E-2</v>
      </c>
      <c r="R219" s="26">
        <f t="shared" si="108"/>
        <v>2.2014270267955594E-2</v>
      </c>
      <c r="S219" s="26">
        <f t="shared" si="108"/>
        <v>0.70188936527817924</v>
      </c>
      <c r="T219" s="26">
        <f t="shared" si="108"/>
        <v>4.6387738060827948E-3</v>
      </c>
      <c r="U219" s="26">
        <f t="shared" si="108"/>
        <v>0.19050085107749623</v>
      </c>
      <c r="V219" s="26">
        <f t="shared" si="108"/>
        <v>1.7409619852051684E-3</v>
      </c>
      <c r="W219" s="26">
        <f t="shared" si="108"/>
        <v>5.731525195105501E-2</v>
      </c>
      <c r="X219" s="26">
        <f t="shared" si="87"/>
        <v>1</v>
      </c>
      <c r="Z219" s="4">
        <f>'[25]Predicted Residual Prices'!AS492</f>
        <v>12.137383701043955</v>
      </c>
      <c r="AA219" s="4">
        <f>'[26]Predicted Distillate Prices'!AS492</f>
        <v>25.569030603291658</v>
      </c>
      <c r="AB219" s="4">
        <f>'[27]Predicted Gas Prices'!AR492</f>
        <v>9.4095640528079976</v>
      </c>
      <c r="AC219" s="4">
        <f>'[28]Predicted LPG Prices'!AS492</f>
        <v>23.948471522104384</v>
      </c>
      <c r="AD219" s="4">
        <f>'[29]Predicted Coal Prices'!AS492</f>
        <v>2.4677362369448592</v>
      </c>
      <c r="AE219" s="4">
        <f>'[30]Predicted Coke Prices'!AS450</f>
        <v>12.689778203031141</v>
      </c>
      <c r="AF219" s="4">
        <f>'[31]Predicted Other Prices'!AT450</f>
        <v>3.6032315633989631</v>
      </c>
      <c r="AH219" s="115">
        <f t="shared" si="90"/>
        <v>8.2429815157465871</v>
      </c>
      <c r="AI219" s="4">
        <f>'[32]Quantity Shares_1998 forward'!AH219</f>
        <v>8.2895421610832809</v>
      </c>
    </row>
    <row r="220" spans="4:35" x14ac:dyDescent="0.2">
      <c r="D220">
        <f>[13]Quantity_shares!BB446</f>
        <v>2008</v>
      </c>
      <c r="E220" t="str">
        <f>[13]Quantity_shares!BC446</f>
        <v>312</v>
      </c>
      <c r="F220" s="26">
        <f>[13]Quantity_shares!BD446</f>
        <v>0.5904067197170646</v>
      </c>
      <c r="G220" s="26">
        <f>[13]Quantity_shares!BE446</f>
        <v>4.2882404951370467E-2</v>
      </c>
      <c r="H220" s="26">
        <f>[13]Quantity_shares!BF446</f>
        <v>0.21441202475685234</v>
      </c>
      <c r="I220" s="26">
        <f>[13]Quantity_shares!BG446</f>
        <v>0.15229885057471265</v>
      </c>
      <c r="Q220" s="26">
        <f t="shared" ref="Q220:W220" si="109">0.5*Q178+0.5*Q262</f>
        <v>3.0055331991951709E-2</v>
      </c>
      <c r="R220" s="26">
        <f t="shared" si="109"/>
        <v>1.597082494969819E-2</v>
      </c>
      <c r="S220" s="26">
        <f t="shared" si="109"/>
        <v>0.62801810865191143</v>
      </c>
      <c r="T220" s="26">
        <f t="shared" si="109"/>
        <v>1.597082494969819E-2</v>
      </c>
      <c r="U220" s="26">
        <f t="shared" si="109"/>
        <v>0.23013078470824949</v>
      </c>
      <c r="V220" s="26">
        <f t="shared" si="109"/>
        <v>0</v>
      </c>
      <c r="W220" s="26">
        <f t="shared" si="109"/>
        <v>7.9854124748490948E-2</v>
      </c>
      <c r="X220" s="26">
        <f t="shared" si="87"/>
        <v>1</v>
      </c>
      <c r="Z220" s="4">
        <f>'[25]Predicted Residual Prices'!AS493</f>
        <v>12.450629841012555</v>
      </c>
      <c r="AA220" s="4">
        <f>'[26]Predicted Distillate Prices'!AS493</f>
        <v>21.226339720665919</v>
      </c>
      <c r="AB220" s="4">
        <f>'[27]Predicted Gas Prices'!AR493</f>
        <v>10.429617001709738</v>
      </c>
      <c r="AC220" s="4">
        <f>'[28]Predicted LPG Prices'!AS493</f>
        <v>25.828088757016154</v>
      </c>
      <c r="AD220" s="4">
        <f>'[29]Predicted Coal Prices'!AS493</f>
        <v>3.857681032939718</v>
      </c>
      <c r="AE220" s="4">
        <f>'[30]Predicted Coke Prices'!AS451</f>
        <v>0</v>
      </c>
      <c r="AF220" s="4">
        <f>'[31]Predicted Other Prices'!AT451</f>
        <v>5.2604274792884249</v>
      </c>
      <c r="AH220" s="115">
        <f t="shared" si="90"/>
        <v>8.9835321925092924</v>
      </c>
      <c r="AI220" s="4">
        <f>'[32]Quantity Shares_1998 forward'!AH220</f>
        <v>9.0545319498355603</v>
      </c>
    </row>
    <row r="221" spans="4:35" x14ac:dyDescent="0.2">
      <c r="D221">
        <f>[13]Quantity_shares!BB447</f>
        <v>2008</v>
      </c>
      <c r="E221" t="str">
        <f>[13]Quantity_shares!BC447</f>
        <v>313</v>
      </c>
      <c r="F221" s="26">
        <f>[13]Quantity_shares!BD447</f>
        <v>0.6014798206278027</v>
      </c>
      <c r="G221" s="26">
        <f>[13]Quantity_shares!BE447</f>
        <v>5.1210762331838564E-2</v>
      </c>
      <c r="H221" s="26">
        <f>[13]Quantity_shares!BF447</f>
        <v>0.22349775784753362</v>
      </c>
      <c r="I221" s="26">
        <f>[13]Quantity_shares!BG447</f>
        <v>0.12381165919282512</v>
      </c>
      <c r="Q221" s="26">
        <f t="shared" ref="Q221:W221" si="110">0.5*Q179+0.5*Q263</f>
        <v>2.9368736742008631E-2</v>
      </c>
      <c r="R221" s="26">
        <f t="shared" si="110"/>
        <v>1.2444225001828688E-2</v>
      </c>
      <c r="S221" s="26">
        <f t="shared" si="110"/>
        <v>0.60754516860507646</v>
      </c>
      <c r="T221" s="26">
        <f t="shared" si="110"/>
        <v>1.0652110306488187E-2</v>
      </c>
      <c r="U221" s="26">
        <f t="shared" si="110"/>
        <v>0.22500182868846463</v>
      </c>
      <c r="V221" s="26">
        <f t="shared" si="110"/>
        <v>0</v>
      </c>
      <c r="W221" s="26">
        <f t="shared" si="110"/>
        <v>0.11498793065613341</v>
      </c>
      <c r="X221" s="26">
        <f t="shared" si="87"/>
        <v>1</v>
      </c>
      <c r="Z221" s="4">
        <f>'[25]Predicted Residual Prices'!AS494</f>
        <v>14.731910457778451</v>
      </c>
      <c r="AA221" s="4">
        <f>'[26]Predicted Distillate Prices'!AS494</f>
        <v>24.781964469750395</v>
      </c>
      <c r="AB221" s="4">
        <f>'[27]Predicted Gas Prices'!AR494</f>
        <v>11.294025637683228</v>
      </c>
      <c r="AC221" s="4">
        <f>'[28]Predicted LPG Prices'!AS494</f>
        <v>25.127433024016856</v>
      </c>
      <c r="AD221" s="4">
        <f>'[29]Predicted Coal Prices'!AS494</f>
        <v>4.5399569531304627</v>
      </c>
      <c r="AE221" s="4">
        <f>'[30]Predicted Coke Prices'!AS452</f>
        <v>0</v>
      </c>
      <c r="AF221" s="4">
        <f>'[31]Predicted Other Prices'!AT452</f>
        <v>5.8105665244963109</v>
      </c>
      <c r="AH221" s="115">
        <f t="shared" si="90"/>
        <v>9.5599844775701683</v>
      </c>
      <c r="AI221" s="4">
        <f>'[32]Quantity Shares_1998 forward'!AH221</f>
        <v>9.5610589552471072</v>
      </c>
    </row>
    <row r="222" spans="4:35" x14ac:dyDescent="0.2">
      <c r="D222">
        <f>[13]Quantity_shares!BB448</f>
        <v>2008</v>
      </c>
      <c r="E222" t="str">
        <f>[13]Quantity_shares!BC448</f>
        <v>314</v>
      </c>
      <c r="F222" s="26">
        <f>[13]Quantity_shares!BD448</f>
        <v>0.81730769230769229</v>
      </c>
      <c r="G222" s="26">
        <f>[13]Quantity_shares!BE448</f>
        <v>5.2564102564102565E-2</v>
      </c>
      <c r="H222" s="26">
        <f>[13]Quantity_shares!BF448</f>
        <v>9.9679487179487186E-2</v>
      </c>
      <c r="I222" s="26">
        <f>[13]Quantity_shares!BG448</f>
        <v>3.0448717948717948E-2</v>
      </c>
      <c r="Q222" s="26">
        <f t="shared" ref="Q222:W222" si="111">0.5*Q180+0.5*Q264</f>
        <v>1.8733421750663129E-2</v>
      </c>
      <c r="R222" s="26">
        <f t="shared" si="111"/>
        <v>5.2718832891246684E-3</v>
      </c>
      <c r="S222" s="26">
        <f t="shared" si="111"/>
        <v>0.83023872679045096</v>
      </c>
      <c r="T222" s="26">
        <f t="shared" si="111"/>
        <v>1.3925729442970823E-2</v>
      </c>
      <c r="U222" s="26">
        <f t="shared" si="111"/>
        <v>0.115053050397878</v>
      </c>
      <c r="V222" s="26">
        <f t="shared" si="111"/>
        <v>0</v>
      </c>
      <c r="W222" s="26">
        <f t="shared" si="111"/>
        <v>1.6777188328912465E-2</v>
      </c>
      <c r="X222" s="26">
        <f t="shared" si="87"/>
        <v>1</v>
      </c>
      <c r="Z222" s="4">
        <f>'[25]Predicted Residual Prices'!AS495</f>
        <v>16.730501148314666</v>
      </c>
      <c r="AA222" s="4">
        <f>'[26]Predicted Distillate Prices'!AS495</f>
        <v>19.597029762828129</v>
      </c>
      <c r="AB222" s="4">
        <f>'[27]Predicted Gas Prices'!AR495</f>
        <v>11.280566395054189</v>
      </c>
      <c r="AC222" s="4">
        <f>'[28]Predicted LPG Prices'!AS495</f>
        <v>24.818245629590482</v>
      </c>
      <c r="AD222" s="4">
        <f>'[29]Predicted Coal Prices'!AS495</f>
        <v>4.1238754524690924</v>
      </c>
      <c r="AE222" s="4">
        <f>'[30]Predicted Coke Prices'!AS453</f>
        <v>0</v>
      </c>
      <c r="AF222" s="4">
        <f>'[31]Predicted Other Prices'!AT453</f>
        <v>5.8354410435830859</v>
      </c>
      <c r="AH222" s="115">
        <f t="shared" si="90"/>
        <v>10.700274786664229</v>
      </c>
      <c r="AI222" s="4">
        <f>'[32]Quantity Shares_1998 forward'!AH222</f>
        <v>10.685531110635733</v>
      </c>
    </row>
    <row r="223" spans="4:35" x14ac:dyDescent="0.2">
      <c r="D223">
        <f>[13]Quantity_shares!BB449</f>
        <v>2008</v>
      </c>
      <c r="E223" t="str">
        <f>[13]Quantity_shares!BC449</f>
        <v>315</v>
      </c>
      <c r="F223" s="26">
        <f>[13]Quantity_shares!BD449</f>
        <v>0.86575342465753358</v>
      </c>
      <c r="G223" s="26">
        <f>[13]Quantity_shares!BE449</f>
        <v>6.0547945205479424E-2</v>
      </c>
      <c r="H223" s="26">
        <f>[13]Quantity_shares!BF449</f>
        <v>6.8493150684931419E-16</v>
      </c>
      <c r="I223" s="26">
        <f>[13]Quantity_shares!BG449</f>
        <v>7.3698630136986285E-2</v>
      </c>
      <c r="Q223" s="26">
        <f t="shared" ref="Q223:W223" si="112">0.5*Q181+0.5*Q265</f>
        <v>3.4246575342465756E-3</v>
      </c>
      <c r="R223" s="26">
        <f t="shared" si="112"/>
        <v>2.9566261910837541E-2</v>
      </c>
      <c r="S223" s="26">
        <f t="shared" si="112"/>
        <v>0.93379099164140833</v>
      </c>
      <c r="T223" s="26">
        <f t="shared" si="112"/>
        <v>2.6141604376590966E-2</v>
      </c>
      <c r="U223" s="26">
        <f t="shared" si="112"/>
        <v>0</v>
      </c>
      <c r="V223" s="26">
        <f t="shared" si="112"/>
        <v>0</v>
      </c>
      <c r="W223" s="26">
        <f t="shared" si="112"/>
        <v>7.0764845369165955E-3</v>
      </c>
      <c r="X223" s="26">
        <f t="shared" si="87"/>
        <v>1</v>
      </c>
      <c r="Z223" s="4">
        <f>'[25]Predicted Residual Prices'!AS496</f>
        <v>18.011692217175437</v>
      </c>
      <c r="AA223" s="4">
        <f>'[26]Predicted Distillate Prices'!AS496</f>
        <v>21.66</v>
      </c>
      <c r="AB223" s="4">
        <f>'[27]Predicted Gas Prices'!AR496</f>
        <v>12.701021588692658</v>
      </c>
      <c r="AC223" s="4">
        <f>'[28]Predicted LPG Prices'!AS496</f>
        <v>27.032431065819729</v>
      </c>
      <c r="AD223" s="4">
        <f>'[29]Predicted Coal Prices'!AS496</f>
        <v>4.1149488495121247</v>
      </c>
      <c r="AE223" s="4">
        <f>'[30]Predicted Coke Prices'!AS454</f>
        <v>0</v>
      </c>
      <c r="AF223" s="4">
        <f>'[31]Predicted Other Prices'!AT454</f>
        <v>6.0425287005684183</v>
      </c>
      <c r="AH223" s="115">
        <f t="shared" si="90"/>
        <v>13.31161963378265</v>
      </c>
      <c r="AI223" s="4">
        <f>'[32]Quantity Shares_1998 forward'!AH223</f>
        <v>13.224199862553998</v>
      </c>
    </row>
    <row r="224" spans="4:35" x14ac:dyDescent="0.2">
      <c r="D224">
        <f>[13]Quantity_shares!BB450</f>
        <v>2008</v>
      </c>
      <c r="E224" t="str">
        <f>[13]Quantity_shares!BC450</f>
        <v>316</v>
      </c>
      <c r="F224" s="26">
        <f>[13]Quantity_shares!BD450</f>
        <v>0.59243697478991342</v>
      </c>
      <c r="G224" s="26">
        <f>[13]Quantity_shares!BE450</f>
        <v>0.10084033613445328</v>
      </c>
      <c r="H224" s="26">
        <f>[13]Quantity_shares!BF450</f>
        <v>3.5714285714285458E-15</v>
      </c>
      <c r="I224" s="26">
        <f>[13]Quantity_shares!BG450</f>
        <v>0.30672268907562972</v>
      </c>
      <c r="Q224" s="26">
        <f t="shared" ref="Q224:W224" si="113">0.5*Q182+0.5*Q266</f>
        <v>6.7003403974964321E-2</v>
      </c>
      <c r="R224" s="26">
        <f t="shared" si="113"/>
        <v>0.18128911826067859</v>
      </c>
      <c r="S224" s="26">
        <f t="shared" si="113"/>
        <v>0.67003403974964315</v>
      </c>
      <c r="T224" s="26">
        <f t="shared" si="113"/>
        <v>5.271768968925003E-2</v>
      </c>
      <c r="U224" s="26">
        <f t="shared" si="113"/>
        <v>0</v>
      </c>
      <c r="V224" s="26">
        <f t="shared" si="113"/>
        <v>0</v>
      </c>
      <c r="W224" s="26">
        <f t="shared" si="113"/>
        <v>2.8955748325463927E-2</v>
      </c>
      <c r="X224" s="26">
        <f t="shared" si="87"/>
        <v>1</v>
      </c>
      <c r="Z224" s="4">
        <f>'[25]Predicted Residual Prices'!AS497</f>
        <v>17.074597658682109</v>
      </c>
      <c r="AA224" s="4">
        <f>'[26]Predicted Distillate Prices'!AS497</f>
        <v>22.173188138520395</v>
      </c>
      <c r="AB224" s="4">
        <f>'[27]Predicted Gas Prices'!AR497</f>
        <v>12.453723856122323</v>
      </c>
      <c r="AC224" s="4">
        <f>'[28]Predicted LPG Prices'!AS497</f>
        <v>20.830125566919719</v>
      </c>
      <c r="AD224" s="4">
        <f>'[29]Predicted Coal Prices'!AS497</f>
        <v>3.235980377198787</v>
      </c>
      <c r="AE224" s="4">
        <f>'[30]Predicted Coke Prices'!AS455</f>
        <v>0</v>
      </c>
      <c r="AF224" s="4">
        <f>'[31]Predicted Other Prices'!AT455</f>
        <v>5.5212643502842091</v>
      </c>
      <c r="AH224" s="115">
        <f t="shared" si="90"/>
        <v>14.766221233329473</v>
      </c>
      <c r="AI224" s="4">
        <f>'[32]Quantity Shares_1998 forward'!AH224</f>
        <v>14.763305401051426</v>
      </c>
    </row>
    <row r="225" spans="4:35" x14ac:dyDescent="0.2">
      <c r="D225">
        <f>[13]Quantity_shares!BB451</f>
        <v>2008</v>
      </c>
      <c r="E225" t="str">
        <f>[13]Quantity_shares!BC451</f>
        <v>321</v>
      </c>
      <c r="F225" s="26">
        <f>[13]Quantity_shares!BD451</f>
        <v>0.16219724471371066</v>
      </c>
      <c r="G225" s="26">
        <f>[13]Quantity_shares!BE451</f>
        <v>5.3668932509292118E-2</v>
      </c>
      <c r="H225" s="26">
        <f>[13]Quantity_shares!BF451</f>
        <v>2.3796761767086536E-2</v>
      </c>
      <c r="I225" s="26">
        <f>[13]Quantity_shares!BG451</f>
        <v>0.76033706100991072</v>
      </c>
      <c r="Q225" s="26">
        <f t="shared" ref="Q225:W225" si="114">0.5*Q183+0.5*Q267</f>
        <v>1.1113206768712094E-2</v>
      </c>
      <c r="R225" s="26">
        <f t="shared" si="114"/>
        <v>8.9477375738964887E-2</v>
      </c>
      <c r="S225" s="26">
        <f t="shared" si="114"/>
        <v>0.29415959873396086</v>
      </c>
      <c r="T225" s="26">
        <f t="shared" si="114"/>
        <v>1.7051449048997129E-2</v>
      </c>
      <c r="U225" s="26">
        <f t="shared" si="114"/>
        <v>3.9596140584570588E-2</v>
      </c>
      <c r="V225" s="26">
        <f t="shared" si="114"/>
        <v>1.2406947890818859E-3</v>
      </c>
      <c r="W225" s="26">
        <f t="shared" si="114"/>
        <v>0.54736153433571255</v>
      </c>
      <c r="X225" s="26">
        <f t="shared" si="87"/>
        <v>1</v>
      </c>
      <c r="Z225" s="4">
        <f>'[25]Predicted Residual Prices'!AS498</f>
        <v>12.425579670654468</v>
      </c>
      <c r="AA225" s="4">
        <f>'[26]Predicted Distillate Prices'!AS498</f>
        <v>22.211649139799082</v>
      </c>
      <c r="AB225" s="4">
        <f>'[27]Predicted Gas Prices'!AR498</f>
        <v>10.732979903751222</v>
      </c>
      <c r="AC225" s="4">
        <f>'[28]Predicted LPG Prices'!AS498</f>
        <v>21.673208154268988</v>
      </c>
      <c r="AD225" s="4">
        <f>'[29]Predicted Coal Prices'!AS498</f>
        <v>3.1771118127131164</v>
      </c>
      <c r="AE225" s="4">
        <f>'[30]Predicted Coke Prices'!AS456</f>
        <v>0</v>
      </c>
      <c r="AF225" s="4">
        <f>'[31]Predicted Other Prices'!AT456</f>
        <v>2.805817373500151</v>
      </c>
      <c r="AH225" s="115">
        <f t="shared" si="90"/>
        <v>7.3138946468568298</v>
      </c>
      <c r="AI225" s="4">
        <f>'[32]Quantity Shares_1998 forward'!AH225</f>
        <v>7.4636703960678865</v>
      </c>
    </row>
    <row r="226" spans="4:35" x14ac:dyDescent="0.2">
      <c r="D226">
        <f>[13]Quantity_shares!BB452</f>
        <v>2008</v>
      </c>
      <c r="E226" t="str">
        <f>[13]Quantity_shares!BC452</f>
        <v>322</v>
      </c>
      <c r="F226" s="26">
        <f>[13]Quantity_shares!BD452</f>
        <v>0.21729851754007612</v>
      </c>
      <c r="G226" s="26">
        <f>[13]Quantity_shares!BE452</f>
        <v>3.5456468563997139E-2</v>
      </c>
      <c r="H226" s="26">
        <f>[13]Quantity_shares!BF452</f>
        <v>0.10689858494388593</v>
      </c>
      <c r="I226" s="26">
        <f>[13]Quantity_shares!BG452</f>
        <v>0.64034642895204086</v>
      </c>
      <c r="Q226" s="26">
        <f t="shared" ref="Q226:W226" si="115">0.5*Q184+0.5*Q268</f>
        <v>6.0162707089281911E-2</v>
      </c>
      <c r="R226" s="26">
        <f t="shared" si="115"/>
        <v>9.1187539884147149E-3</v>
      </c>
      <c r="S226" s="26">
        <f t="shared" si="115"/>
        <v>0.42641533809425453</v>
      </c>
      <c r="T226" s="26">
        <f t="shared" si="115"/>
        <v>4.3941203060019664E-3</v>
      </c>
      <c r="U226" s="26">
        <f t="shared" si="115"/>
        <v>0.21004738024736649</v>
      </c>
      <c r="V226" s="26">
        <f t="shared" si="115"/>
        <v>2.6204077354436352E-5</v>
      </c>
      <c r="W226" s="26">
        <f t="shared" si="115"/>
        <v>0.28983549619732596</v>
      </c>
      <c r="X226" s="26">
        <f t="shared" si="87"/>
        <v>1</v>
      </c>
      <c r="Z226" s="4">
        <f>'[25]Predicted Residual Prices'!AS499</f>
        <v>12.716961952527459</v>
      </c>
      <c r="AA226" s="4">
        <f>'[26]Predicted Distillate Prices'!AS499</f>
        <v>18.889390077892983</v>
      </c>
      <c r="AB226" s="4">
        <f>'[27]Predicted Gas Prices'!AR499</f>
        <v>9.4758588418525278</v>
      </c>
      <c r="AC226" s="4">
        <f>'[28]Predicted LPG Prices'!AS499</f>
        <v>25.199134113465501</v>
      </c>
      <c r="AD226" s="4">
        <f>'[29]Predicted Coal Prices'!AS499</f>
        <v>3.4028055874827441</v>
      </c>
      <c r="AE226" s="4">
        <f>'[30]Predicted Coke Prices'!AS457</f>
        <v>4.9850000000000012</v>
      </c>
      <c r="AF226" s="4">
        <f>'[31]Predicted Other Prices'!AT457</f>
        <v>5.8150938856739529</v>
      </c>
      <c r="AH226" s="115">
        <f t="shared" si="90"/>
        <v>7.4890157850663917</v>
      </c>
      <c r="AI226" s="4">
        <f>'[32]Quantity Shares_1998 forward'!AH226</f>
        <v>7.39588520357976</v>
      </c>
    </row>
    <row r="227" spans="4:35" x14ac:dyDescent="0.2">
      <c r="D227">
        <f>[13]Quantity_shares!BB453</f>
        <v>2008</v>
      </c>
      <c r="E227" t="str">
        <f>[13]Quantity_shares!BC453</f>
        <v>323</v>
      </c>
      <c r="F227" s="26">
        <f>[13]Quantity_shares!BD453</f>
        <v>0.9501633986928103</v>
      </c>
      <c r="G227" s="26">
        <f>[13]Quantity_shares!BE453</f>
        <v>1.8464052287581696E-2</v>
      </c>
      <c r="H227" s="26">
        <f>[13]Quantity_shares!BF453</f>
        <v>1.2254901960784311E-16</v>
      </c>
      <c r="I227" s="26">
        <f>[13]Quantity_shares!BG453</f>
        <v>3.1372549019607877E-2</v>
      </c>
      <c r="Q227" s="26">
        <f t="shared" ref="Q227:W227" si="116">0.5*Q185+0.5*Q269</f>
        <v>1.3247973042646939E-3</v>
      </c>
      <c r="R227" s="26">
        <f t="shared" si="116"/>
        <v>2.6495946085293878E-3</v>
      </c>
      <c r="S227" s="26">
        <f t="shared" si="116"/>
        <v>0.96282003554931028</v>
      </c>
      <c r="T227" s="26">
        <f t="shared" si="116"/>
        <v>2.6495946085293876E-2</v>
      </c>
      <c r="U227" s="26">
        <f t="shared" si="116"/>
        <v>0</v>
      </c>
      <c r="V227" s="26">
        <f t="shared" si="116"/>
        <v>0</v>
      </c>
      <c r="W227" s="26">
        <f t="shared" si="116"/>
        <v>6.7096264526017944E-3</v>
      </c>
      <c r="X227" s="26">
        <f t="shared" si="87"/>
        <v>0.99999999999999989</v>
      </c>
      <c r="Z227" s="4">
        <f>'[25]Predicted Residual Prices'!AS500</f>
        <v>11.71744242286416</v>
      </c>
      <c r="AA227" s="4">
        <f>'[26]Predicted Distillate Prices'!AS500</f>
        <v>24.585479019773267</v>
      </c>
      <c r="AB227" s="4">
        <f>'[27]Predicted Gas Prices'!AR500</f>
        <v>10.742998142460529</v>
      </c>
      <c r="AC227" s="4">
        <f>'[28]Predicted LPG Prices'!AS500</f>
        <v>24.908130974593604</v>
      </c>
      <c r="AD227" s="4">
        <f>'[29]Predicted Coal Prices'!AS500</f>
        <v>3.8774456059270044</v>
      </c>
      <c r="AE227" s="4">
        <f>'[30]Predicted Coke Prices'!AS458</f>
        <v>0</v>
      </c>
      <c r="AF227" s="4">
        <f>'[31]Predicted Other Prices'!AT458</f>
        <v>5.8176111400755346</v>
      </c>
      <c r="AH227" s="115">
        <f t="shared" si="90"/>
        <v>11.123237135208285</v>
      </c>
      <c r="AI227" s="4">
        <f>'[32]Quantity Shares_1998 forward'!AH227</f>
        <v>11.060670930610922</v>
      </c>
    </row>
    <row r="228" spans="4:35" x14ac:dyDescent="0.2">
      <c r="D228">
        <f>[13]Quantity_shares!BB454</f>
        <v>2008</v>
      </c>
      <c r="E228" t="str">
        <f>[13]Quantity_shares!BC454</f>
        <v>324</v>
      </c>
      <c r="F228" s="26">
        <f>[13]Quantity_shares!BD454</f>
        <v>0.27555987908787499</v>
      </c>
      <c r="G228" s="26">
        <f>[13]Quantity_shares!BE454</f>
        <v>1.922151163468375E-2</v>
      </c>
      <c r="H228" s="26">
        <f>[13]Quantity_shares!BF454</f>
        <v>9.870442968874453E-3</v>
      </c>
      <c r="I228" s="26">
        <f>[13]Quantity_shares!BG454</f>
        <v>0.69534816630856677</v>
      </c>
      <c r="Q228" s="26">
        <f t="shared" ref="Q228:W228" si="117">0.5*Q186+0.5*Q270</f>
        <v>2.0062769910586399E-2</v>
      </c>
      <c r="R228" s="26">
        <f t="shared" si="117"/>
        <v>1.3755694540737214E-2</v>
      </c>
      <c r="S228" s="26">
        <f t="shared" si="117"/>
        <v>0.67388763914576399</v>
      </c>
      <c r="T228" s="26">
        <f t="shared" si="117"/>
        <v>3.8167467623835094E-3</v>
      </c>
      <c r="U228" s="26">
        <f t="shared" si="117"/>
        <v>2.4750709398542688E-2</v>
      </c>
      <c r="V228" s="26">
        <f t="shared" si="117"/>
        <v>3.8937777431664208E-5</v>
      </c>
      <c r="W228" s="26">
        <f t="shared" si="117"/>
        <v>0.26368750246455452</v>
      </c>
      <c r="X228" s="26">
        <f t="shared" si="87"/>
        <v>1</v>
      </c>
      <c r="Z228" s="4">
        <f>'[25]Predicted Residual Prices'!AS501</f>
        <v>9.7800168807904804</v>
      </c>
      <c r="AA228" s="4">
        <f>'[26]Predicted Distillate Prices'!AS501</f>
        <v>20.264855118306158</v>
      </c>
      <c r="AB228" s="4">
        <f>'[27]Predicted Gas Prices'!AR501</f>
        <v>8.2764546071720755</v>
      </c>
      <c r="AC228" s="4">
        <f>'[28]Predicted LPG Prices'!AS501</f>
        <v>25.976651987950177</v>
      </c>
      <c r="AD228" s="4">
        <f>'[29]Predicted Coal Prices'!AS501</f>
        <v>4.6105758963732075</v>
      </c>
      <c r="AE228" s="4">
        <f>'[30]Predicted Coke Prices'!AS459</f>
        <v>0</v>
      </c>
      <c r="AF228" s="4">
        <f>'[31]Predicted Other Prices'!AT459</f>
        <v>6.7053023850154743</v>
      </c>
      <c r="AH228" s="115">
        <f t="shared" si="90"/>
        <v>8.0337376067629194</v>
      </c>
      <c r="AI228" s="4">
        <f>'[32]Quantity Shares_1998 forward'!AH228</f>
        <v>7.9023866393008015</v>
      </c>
    </row>
    <row r="229" spans="4:35" x14ac:dyDescent="0.2">
      <c r="D229">
        <f>[13]Quantity_shares!BB455</f>
        <v>2008</v>
      </c>
      <c r="E229" t="str">
        <f>[13]Quantity_shares!BC455</f>
        <v>325</v>
      </c>
      <c r="F229" s="26">
        <f>[13]Quantity_shares!BD455</f>
        <v>0.58227153073072446</v>
      </c>
      <c r="G229" s="26">
        <f>[13]Quantity_shares!BE455</f>
        <v>8.6834438600225643E-3</v>
      </c>
      <c r="H229" s="26">
        <f>[13]Quantity_shares!BF455</f>
        <v>6.7279687278198996E-2</v>
      </c>
      <c r="I229" s="26">
        <f>[13]Quantity_shares!BG455</f>
        <v>0.34176533813105392</v>
      </c>
      <c r="Q229" s="26">
        <f t="shared" ref="Q229:W229" si="118">0.5*Q187+0.5*Q271</f>
        <v>6.3943349451439906E-3</v>
      </c>
      <c r="R229" s="26">
        <f t="shared" si="118"/>
        <v>3.4483491068535762E-3</v>
      </c>
      <c r="S229" s="26">
        <f t="shared" si="118"/>
        <v>0.67820575430410579</v>
      </c>
      <c r="T229" s="26">
        <f t="shared" si="118"/>
        <v>3.0173054684968794E-3</v>
      </c>
      <c r="U229" s="26">
        <f t="shared" si="118"/>
        <v>7.8816585742214368E-2</v>
      </c>
      <c r="V229" s="26">
        <f t="shared" si="118"/>
        <v>2.2400430088257698E-5</v>
      </c>
      <c r="W229" s="26">
        <f t="shared" si="118"/>
        <v>0.2300952700030971</v>
      </c>
      <c r="X229" s="26">
        <f t="shared" si="87"/>
        <v>1</v>
      </c>
      <c r="Z229" s="4">
        <f>'[25]Predicted Residual Prices'!AS502</f>
        <v>11.927324806611837</v>
      </c>
      <c r="AA229" s="4">
        <f>'[26]Predicted Distillate Prices'!AS502</f>
        <v>21.273658734033653</v>
      </c>
      <c r="AB229" s="4">
        <f>'[27]Predicted Gas Prices'!AR502</f>
        <v>8.6437958837231523</v>
      </c>
      <c r="AC229" s="4">
        <f>'[28]Predicted LPG Prices'!AS502</f>
        <v>17.938224878608274</v>
      </c>
      <c r="AD229" s="4">
        <f>'[29]Predicted Coal Prices'!AS502</f>
        <v>3.3602687408013034</v>
      </c>
      <c r="AE229" s="4">
        <f>'[30]Predicted Coke Prices'!AS460</f>
        <v>10.359452922880127</v>
      </c>
      <c r="AF229" s="4">
        <f>'[31]Predicted Other Prices'!AT460</f>
        <v>9.3068789132100509</v>
      </c>
      <c r="AH229" s="115">
        <f t="shared" si="90"/>
        <v>8.4725693052489497</v>
      </c>
      <c r="AI229" s="4">
        <f>'[32]Quantity Shares_1998 forward'!AH229</f>
        <v>8.1966122465655964</v>
      </c>
    </row>
    <row r="230" spans="4:35" x14ac:dyDescent="0.2">
      <c r="D230">
        <f>[13]Quantity_shares!BB456</f>
        <v>2008</v>
      </c>
      <c r="E230" t="str">
        <f>[13]Quantity_shares!BC456</f>
        <v>326</v>
      </c>
      <c r="F230" s="26">
        <f>[13]Quantity_shares!BD456</f>
        <v>0.85818599995501277</v>
      </c>
      <c r="G230" s="26">
        <f>[13]Quantity_shares!BE456</f>
        <v>4.9052736351980562E-2</v>
      </c>
      <c r="H230" s="26">
        <f>[13]Quantity_shares!BF456</f>
        <v>4.0992138470881977E-2</v>
      </c>
      <c r="I230" s="26">
        <f>[13]Quantity_shares!BG456</f>
        <v>5.1769125222124748E-2</v>
      </c>
      <c r="Q230" s="26">
        <f t="shared" ref="Q230:W230" si="119">0.5*Q188+0.5*Q272</f>
        <v>2.9656319290465631E-2</v>
      </c>
      <c r="R230" s="26">
        <f t="shared" si="119"/>
        <v>1.8451061133987964E-2</v>
      </c>
      <c r="S230" s="26">
        <f t="shared" si="119"/>
        <v>0.86094393411466585</v>
      </c>
      <c r="T230" s="26">
        <f t="shared" si="119"/>
        <v>2.4944567627494453E-2</v>
      </c>
      <c r="U230" s="26">
        <f t="shared" si="119"/>
        <v>3.6902122267975929E-2</v>
      </c>
      <c r="V230" s="26">
        <f t="shared" si="119"/>
        <v>0</v>
      </c>
      <c r="W230" s="26">
        <f t="shared" si="119"/>
        <v>2.91019955654102E-2</v>
      </c>
      <c r="X230" s="26">
        <f t="shared" si="87"/>
        <v>1</v>
      </c>
      <c r="Z230" s="4">
        <f>'[25]Predicted Residual Prices'!AS503</f>
        <v>13.685110292559054</v>
      </c>
      <c r="AA230" s="4">
        <f>'[26]Predicted Distillate Prices'!AS503</f>
        <v>25.547231332339869</v>
      </c>
      <c r="AB230" s="4">
        <f>'[27]Predicted Gas Prices'!AR503</f>
        <v>10.550934659603755</v>
      </c>
      <c r="AC230" s="4">
        <f>'[28]Predicted LPG Prices'!AS503</f>
        <v>23.31489965318389</v>
      </c>
      <c r="AD230" s="4">
        <f>'[29]Predicted Coal Prices'!AS503</f>
        <v>3.3589411468719832</v>
      </c>
      <c r="AE230" s="4">
        <f>'[30]Predicted Coke Prices'!AS461</f>
        <v>0</v>
      </c>
      <c r="AF230" s="4">
        <f>'[31]Predicted Other Prices'!AT461</f>
        <v>8.7036092335421635</v>
      </c>
      <c r="AH230" s="115">
        <f t="shared" si="90"/>
        <v>10.91981126724205</v>
      </c>
      <c r="AI230" s="4">
        <f>'[32]Quantity Shares_1998 forward'!AH230</f>
        <v>11.038536485931155</v>
      </c>
    </row>
    <row r="231" spans="4:35" x14ac:dyDescent="0.2">
      <c r="D231">
        <f>[13]Quantity_shares!BB457</f>
        <v>2008</v>
      </c>
      <c r="E231" t="str">
        <f>[13]Quantity_shares!BC457</f>
        <v>327</v>
      </c>
      <c r="F231" s="26">
        <f>[13]Quantity_shares!BD457</f>
        <v>0.46706158663883091</v>
      </c>
      <c r="G231" s="26">
        <f>[13]Quantity_shares!BE457</f>
        <v>3.7223382045929024E-2</v>
      </c>
      <c r="H231" s="26">
        <f>[13]Quantity_shares!BF457</f>
        <v>0.36025574112734865</v>
      </c>
      <c r="I231" s="26">
        <f>[13]Quantity_shares!BG457</f>
        <v>0.13545929018789143</v>
      </c>
      <c r="Q231" s="26">
        <f t="shared" ref="Q231:W231" si="120">0.5*Q189+0.5*Q273</f>
        <v>2.4084474453629498E-3</v>
      </c>
      <c r="R231" s="26">
        <f t="shared" si="120"/>
        <v>3.4954039671020801E-2</v>
      </c>
      <c r="S231" s="26">
        <f t="shared" si="120"/>
        <v>0.46882690730106646</v>
      </c>
      <c r="T231" s="26">
        <f t="shared" si="120"/>
        <v>4.2927858760508477E-3</v>
      </c>
      <c r="U231" s="26">
        <f t="shared" si="120"/>
        <v>0.34915301178631775</v>
      </c>
      <c r="V231" s="26">
        <f t="shared" si="120"/>
        <v>1.2454162372127917E-2</v>
      </c>
      <c r="W231" s="26">
        <f t="shared" si="120"/>
        <v>0.12791064554805326</v>
      </c>
      <c r="X231" s="26">
        <f t="shared" si="87"/>
        <v>1</v>
      </c>
      <c r="Z231" s="4">
        <f>'[25]Predicted Residual Prices'!AS504</f>
        <v>12.764133193631274</v>
      </c>
      <c r="AA231" s="4">
        <f>'[26]Predicted Distillate Prices'!AS504</f>
        <v>24.048226397709033</v>
      </c>
      <c r="AB231" s="4">
        <f>'[27]Predicted Gas Prices'!AR504</f>
        <v>9.7649827142275498</v>
      </c>
      <c r="AC231" s="4">
        <f>'[28]Predicted LPG Prices'!AS504</f>
        <v>22.375615577330926</v>
      </c>
      <c r="AD231" s="4">
        <f>'[29]Predicted Coal Prices'!AS504</f>
        <v>3.0375493163213574</v>
      </c>
      <c r="AE231" s="4">
        <f>'[30]Predicted Coke Prices'!AS462</f>
        <v>4.0927907756110002</v>
      </c>
      <c r="AF231" s="4">
        <f>'[31]Predicted Other Prices'!AT462</f>
        <v>1.9732634583054434</v>
      </c>
      <c r="AH231" s="115">
        <f t="shared" si="90"/>
        <v>6.9094079516895839</v>
      </c>
      <c r="AI231" s="4">
        <f>'[32]Quantity Shares_1998 forward'!AH231</f>
        <v>7.0765607525702041</v>
      </c>
    </row>
    <row r="232" spans="4:35" x14ac:dyDescent="0.2">
      <c r="D232">
        <f>[13]Quantity_shares!BB458</f>
        <v>2008</v>
      </c>
      <c r="E232" t="str">
        <f>[13]Quantity_shares!BC458</f>
        <v>331</v>
      </c>
      <c r="F232" s="26">
        <f>[13]Quantity_shares!BD458</f>
        <v>0.4412233410268348</v>
      </c>
      <c r="G232" s="26">
        <f>[13]Quantity_shares!BE458</f>
        <v>1.3700953928143356E-2</v>
      </c>
      <c r="H232" s="26">
        <f>[13]Quantity_shares!BF458</f>
        <v>0.30299972263771535</v>
      </c>
      <c r="I232" s="26">
        <f>[13]Quantity_shares!BG458</f>
        <v>0.24207598240730654</v>
      </c>
      <c r="Q232" s="26">
        <f t="shared" ref="Q232:W232" si="121">0.5*Q190+0.5*Q274</f>
        <v>1.1243454468645308E-2</v>
      </c>
      <c r="R232" s="26">
        <f t="shared" si="121"/>
        <v>8.2856848124023691E-3</v>
      </c>
      <c r="S232" s="26">
        <f t="shared" si="121"/>
        <v>0.62219450912199004</v>
      </c>
      <c r="T232" s="26">
        <f t="shared" si="121"/>
        <v>3.8880210635935828E-3</v>
      </c>
      <c r="U232" s="26">
        <f t="shared" si="121"/>
        <v>2.436521854460786E-2</v>
      </c>
      <c r="V232" s="26">
        <f t="shared" si="121"/>
        <v>0.27184525037578472</v>
      </c>
      <c r="W232" s="26">
        <f t="shared" si="121"/>
        <v>5.8177861612976112E-2</v>
      </c>
      <c r="X232" s="26">
        <f t="shared" si="87"/>
        <v>0.99999999999999989</v>
      </c>
      <c r="Z232" s="4">
        <f>'[25]Predicted Residual Prices'!AS505</f>
        <v>10.432332289592701</v>
      </c>
      <c r="AA232" s="4">
        <f>'[26]Predicted Distillate Prices'!AS505</f>
        <v>20.230494343198451</v>
      </c>
      <c r="AB232" s="4">
        <f>'[27]Predicted Gas Prices'!AR505</f>
        <v>9.1067111711509341</v>
      </c>
      <c r="AC232" s="4">
        <f>'[28]Predicted LPG Prices'!AS505</f>
        <v>20.402686940437945</v>
      </c>
      <c r="AD232" s="4">
        <f>'[29]Predicted Coal Prices'!AS505</f>
        <v>4.4638613738126818</v>
      </c>
      <c r="AE232" s="4">
        <f>'[30]Predicted Coke Prices'!AS463</f>
        <v>9.2561067157261849</v>
      </c>
      <c r="AF232" s="4">
        <f>'[31]Predicted Other Prices'!AT463</f>
        <v>3.7859205263578861</v>
      </c>
      <c r="AH232" s="115">
        <f t="shared" si="90"/>
        <v>8.8756390822824933</v>
      </c>
      <c r="AI232" s="4">
        <f>'[32]Quantity Shares_1998 forward'!AH232</f>
        <v>9.2641482706524201</v>
      </c>
    </row>
    <row r="233" spans="4:35" x14ac:dyDescent="0.2">
      <c r="D233">
        <f>[13]Quantity_shares!BB459</f>
        <v>2008</v>
      </c>
      <c r="E233" t="str">
        <f>[13]Quantity_shares!BC459</f>
        <v>332</v>
      </c>
      <c r="F233" s="26">
        <f>[13]Quantity_shares!BD459</f>
        <v>0.9425117054274128</v>
      </c>
      <c r="G233" s="26">
        <f>[13]Quantity_shares!BE459</f>
        <v>1.4134161682493405E-2</v>
      </c>
      <c r="H233" s="26">
        <f>[13]Quantity_shares!BF459</f>
        <v>1.0596193408629545E-3</v>
      </c>
      <c r="I233" s="26">
        <f>[13]Quantity_shares!BG459</f>
        <v>4.2294513549230917E-2</v>
      </c>
      <c r="Q233" s="26">
        <f t="shared" ref="Q233:W233" si="122">0.5*Q191+0.5*Q275</f>
        <v>1.2804590563585975E-3</v>
      </c>
      <c r="R233" s="26">
        <f t="shared" si="122"/>
        <v>1.2671197433332185E-2</v>
      </c>
      <c r="S233" s="26">
        <f t="shared" si="122"/>
        <v>0.94563080001379929</v>
      </c>
      <c r="T233" s="26">
        <f t="shared" si="122"/>
        <v>2.2438794402088291E-2</v>
      </c>
      <c r="U233" s="26">
        <f t="shared" si="122"/>
        <v>2.9036004645760749E-4</v>
      </c>
      <c r="V233" s="26">
        <f t="shared" si="122"/>
        <v>5.9405940594059407E-3</v>
      </c>
      <c r="W233" s="26">
        <f t="shared" si="122"/>
        <v>1.1747794988558088E-2</v>
      </c>
      <c r="X233" s="26">
        <f t="shared" si="87"/>
        <v>1</v>
      </c>
      <c r="Z233" s="4">
        <f>'[25]Predicted Residual Prices'!AS506</f>
        <v>9.6979042919213612</v>
      </c>
      <c r="AA233" s="4">
        <f>'[26]Predicted Distillate Prices'!AS506</f>
        <v>29.003057731731417</v>
      </c>
      <c r="AB233" s="4">
        <f>'[27]Predicted Gas Prices'!AR506</f>
        <v>10.999855963540529</v>
      </c>
      <c r="AC233" s="4">
        <f>'[28]Predicted LPG Prices'!AS506</f>
        <v>25.169591898143082</v>
      </c>
      <c r="AD233" s="4">
        <f>'[29]Predicted Coal Prices'!AS506</f>
        <v>5.0325379767501719</v>
      </c>
      <c r="AE233" s="4">
        <f>'[30]Predicted Coke Prices'!AS464</f>
        <v>8.8671701182653351</v>
      </c>
      <c r="AF233" s="4">
        <f>'[31]Predicted Other Prices'!AT464</f>
        <v>11.530664314047506</v>
      </c>
      <c r="AH233" s="115">
        <f t="shared" si="90"/>
        <v>11.536096519226032</v>
      </c>
      <c r="AI233" s="4">
        <f>'[32]Quantity Shares_1998 forward'!AH233</f>
        <v>11.795998313347196</v>
      </c>
    </row>
    <row r="234" spans="4:35" x14ac:dyDescent="0.2">
      <c r="D234">
        <f>[13]Quantity_shares!BB460</f>
        <v>2008</v>
      </c>
      <c r="E234" t="str">
        <f>[13]Quantity_shares!BC460</f>
        <v>333</v>
      </c>
      <c r="F234" s="26">
        <f>[13]Quantity_shares!BD460</f>
        <v>0.9108625798105412</v>
      </c>
      <c r="G234" s="26">
        <f>[13]Quantity_shares!BE460</f>
        <v>3.6827609230897632E-2</v>
      </c>
      <c r="H234" s="26">
        <f>[13]Quantity_shares!BF460</f>
        <v>6.0231746164225407E-3</v>
      </c>
      <c r="I234" s="26">
        <f>[13]Quantity_shares!BG460</f>
        <v>4.6286636342138573E-2</v>
      </c>
      <c r="Q234" s="26">
        <f t="shared" ref="Q234:W234" si="123">0.5*Q192+0.5*Q276</f>
        <v>6.024852516631104E-3</v>
      </c>
      <c r="R234" s="26">
        <f t="shared" si="123"/>
        <v>3.020794109033095E-2</v>
      </c>
      <c r="S234" s="26">
        <f t="shared" si="123"/>
        <v>0.91205388895862094</v>
      </c>
      <c r="T234" s="26">
        <f t="shared" si="123"/>
        <v>2.9099200870256477E-2</v>
      </c>
      <c r="U234" s="26">
        <f t="shared" si="123"/>
        <v>5.3763440860215058E-3</v>
      </c>
      <c r="V234" s="26">
        <f t="shared" si="123"/>
        <v>0</v>
      </c>
      <c r="W234" s="26">
        <f t="shared" si="123"/>
        <v>1.7237772478138992E-2</v>
      </c>
      <c r="X234" s="26">
        <f t="shared" si="87"/>
        <v>1</v>
      </c>
      <c r="Z234" s="4">
        <f>'[25]Predicted Residual Prices'!AS507</f>
        <v>10.173814771165478</v>
      </c>
      <c r="AA234" s="4">
        <f>'[26]Predicted Distillate Prices'!AS507</f>
        <v>26.559631531617033</v>
      </c>
      <c r="AB234" s="4">
        <f>'[27]Predicted Gas Prices'!AR507</f>
        <v>12.03623060599142</v>
      </c>
      <c r="AC234" s="4">
        <f>'[28]Predicted LPG Prices'!AS507</f>
        <v>24.581498707147002</v>
      </c>
      <c r="AD234" s="4">
        <f>'[29]Predicted Coal Prices'!AS507</f>
        <v>3.3640353702652934</v>
      </c>
      <c r="AE234" s="4">
        <f>'[30]Predicted Coke Prices'!AS465</f>
        <v>0</v>
      </c>
      <c r="AF234" s="4">
        <f>'[31]Predicted Other Prices'!AT465</f>
        <v>10.508754524604967</v>
      </c>
      <c r="AH234" s="115">
        <f t="shared" si="90"/>
        <v>12.755834150576099</v>
      </c>
      <c r="AI234" s="4">
        <f>'[32]Quantity Shares_1998 forward'!AH234</f>
        <v>13.734673031162531</v>
      </c>
    </row>
    <row r="235" spans="4:35" x14ac:dyDescent="0.2">
      <c r="D235">
        <f>[13]Quantity_shares!BB461</f>
        <v>2008</v>
      </c>
      <c r="E235" t="str">
        <f>[13]Quantity_shares!BC461</f>
        <v>334</v>
      </c>
      <c r="F235" s="26">
        <f>[13]Quantity_shares!BD461</f>
        <v>0.95150862068965525</v>
      </c>
      <c r="G235" s="26">
        <f>[13]Quantity_shares!BE461</f>
        <v>2.4820402298850575E-2</v>
      </c>
      <c r="H235" s="26">
        <f>[13]Quantity_shares!BF461</f>
        <v>1.0416666666666667E-3</v>
      </c>
      <c r="I235" s="26">
        <f>[13]Quantity_shares!BG461</f>
        <v>2.2629310344827583E-2</v>
      </c>
      <c r="Q235" s="26">
        <f t="shared" ref="Q235:W235" si="124">0.5*Q193+0.5*Q277</f>
        <v>2.2357926221335993E-3</v>
      </c>
      <c r="R235" s="26">
        <f t="shared" si="124"/>
        <v>1.1769690927218345E-2</v>
      </c>
      <c r="S235" s="26">
        <f t="shared" si="124"/>
        <v>0.97081256231306068</v>
      </c>
      <c r="T235" s="26">
        <f t="shared" si="124"/>
        <v>2.2357926221335993E-3</v>
      </c>
      <c r="U235" s="26">
        <f t="shared" si="124"/>
        <v>0</v>
      </c>
      <c r="V235" s="26">
        <f t="shared" si="124"/>
        <v>0</v>
      </c>
      <c r="W235" s="26">
        <f t="shared" si="124"/>
        <v>1.2946161515453639E-2</v>
      </c>
      <c r="X235" s="26">
        <f t="shared" si="87"/>
        <v>0.99999999999999989</v>
      </c>
      <c r="Z235" s="4">
        <f>'[25]Predicted Residual Prices'!AS508</f>
        <v>14.874073484746575</v>
      </c>
      <c r="AA235" s="4">
        <f>'[26]Predicted Distillate Prices'!AS508</f>
        <v>24.228103370189334</v>
      </c>
      <c r="AB235" s="4">
        <f>'[27]Predicted Gas Prices'!AR508</f>
        <v>11.023122057408338</v>
      </c>
      <c r="AC235" s="4">
        <f>'[28]Predicted LPG Prices'!AS508</f>
        <v>28.583277314240537</v>
      </c>
      <c r="AD235" s="4">
        <f>'[29]Predicted Coal Prices'!AS508</f>
        <v>4.93180469767095</v>
      </c>
      <c r="AE235" s="4">
        <f>'[30]Predicted Coke Prices'!AS466</f>
        <v>0</v>
      </c>
      <c r="AF235" s="4">
        <f>'[31]Predicted Other Prices'!AT466</f>
        <v>7.4137259950317915</v>
      </c>
      <c r="AH235" s="115">
        <f t="shared" si="90"/>
        <v>11.17968357611888</v>
      </c>
      <c r="AI235" s="4">
        <f>'[32]Quantity Shares_1998 forward'!AH235</f>
        <v>10.821452354085695</v>
      </c>
    </row>
    <row r="236" spans="4:35" x14ac:dyDescent="0.2">
      <c r="D236">
        <f>[13]Quantity_shares!BB462</f>
        <v>2008</v>
      </c>
      <c r="E236" t="str">
        <f>[13]Quantity_shares!BC462</f>
        <v>335</v>
      </c>
      <c r="F236" s="26">
        <f>[13]Quantity_shares!BD462</f>
        <v>0.94097357607750209</v>
      </c>
      <c r="G236" s="26">
        <f>[13]Quantity_shares!BE462</f>
        <v>2.1070153864611141E-2</v>
      </c>
      <c r="H236" s="26">
        <f>[13]Quantity_shares!BF462</f>
        <v>6.2055727182747968E-3</v>
      </c>
      <c r="I236" s="26">
        <f>[13]Quantity_shares!BG462</f>
        <v>3.1750697339611889E-2</v>
      </c>
      <c r="Q236" s="26">
        <f t="shared" ref="Q236:W236" si="125">0.5*Q194+0.5*Q278</f>
        <v>6.5274151436031343E-4</v>
      </c>
      <c r="R236" s="26">
        <f t="shared" si="125"/>
        <v>2.4602174398060769E-2</v>
      </c>
      <c r="S236" s="26">
        <f t="shared" si="125"/>
        <v>0.94341499888446023</v>
      </c>
      <c r="T236" s="26">
        <f t="shared" si="125"/>
        <v>2.4602174398060769E-2</v>
      </c>
      <c r="U236" s="26">
        <f t="shared" si="125"/>
        <v>0</v>
      </c>
      <c r="V236" s="26">
        <f t="shared" si="125"/>
        <v>6.5274151436031343E-4</v>
      </c>
      <c r="W236" s="26">
        <f t="shared" si="125"/>
        <v>6.0751692906976049E-3</v>
      </c>
      <c r="X236" s="26">
        <f t="shared" si="87"/>
        <v>1</v>
      </c>
      <c r="Z236" s="4">
        <f>'[25]Predicted Residual Prices'!AS509</f>
        <v>12.610387041482383</v>
      </c>
      <c r="AA236" s="4">
        <f>'[26]Predicted Distillate Prices'!AS509</f>
        <v>20.366798653757328</v>
      </c>
      <c r="AB236" s="4">
        <f>'[27]Predicted Gas Prices'!AR509</f>
        <v>11.129902081243566</v>
      </c>
      <c r="AC236" s="4">
        <f>'[28]Predicted LPG Prices'!AS509</f>
        <v>25.380048740831871</v>
      </c>
      <c r="AD236" s="4">
        <f>'[29]Predicted Coal Prices'!AS509</f>
        <v>4.369511964751517</v>
      </c>
      <c r="AE236" s="4">
        <f>'[30]Predicted Coke Prices'!AS467</f>
        <v>0</v>
      </c>
      <c r="AF236" s="4">
        <f>'[31]Predicted Other Prices'!AT467</f>
        <v>6.9250422799778191</v>
      </c>
      <c r="AH236" s="115">
        <f t="shared" si="90"/>
        <v>11.675890604653938</v>
      </c>
      <c r="AI236" s="4">
        <f>'[32]Quantity Shares_1998 forward'!AH236</f>
        <v>12.217016434540454</v>
      </c>
    </row>
    <row r="237" spans="4:35" x14ac:dyDescent="0.2">
      <c r="D237">
        <f>[13]Quantity_shares!BB463</f>
        <v>2008</v>
      </c>
      <c r="E237" t="str">
        <f>[13]Quantity_shares!BC463</f>
        <v>336</v>
      </c>
      <c r="F237" s="26">
        <f>[13]Quantity_shares!BD463</f>
        <v>0.88274516181492924</v>
      </c>
      <c r="G237" s="26">
        <f>[13]Quantity_shares!BE463</f>
        <v>3.5100558356372311E-2</v>
      </c>
      <c r="H237" s="26">
        <f>[13]Quantity_shares!BF463</f>
        <v>1.9298530926437903E-2</v>
      </c>
      <c r="I237" s="26">
        <f>[13]Quantity_shares!BG463</f>
        <v>6.2855748902260533E-2</v>
      </c>
      <c r="Q237" s="26">
        <f t="shared" ref="Q237:W237" si="126">0.5*Q195+0.5*Q279</f>
        <v>1.9448523007241869E-2</v>
      </c>
      <c r="R237" s="26">
        <f t="shared" si="126"/>
        <v>1.5827588781325438E-2</v>
      </c>
      <c r="S237" s="26">
        <f t="shared" si="126"/>
        <v>0.8871164422765847</v>
      </c>
      <c r="T237" s="26">
        <f t="shared" si="126"/>
        <v>1.7606948211930418E-2</v>
      </c>
      <c r="U237" s="26">
        <f t="shared" si="126"/>
        <v>1.9386307642535402E-2</v>
      </c>
      <c r="V237" s="26">
        <f t="shared" si="126"/>
        <v>1.7793594306049823E-4</v>
      </c>
      <c r="W237" s="26">
        <f t="shared" si="126"/>
        <v>4.0614190080382251E-2</v>
      </c>
      <c r="X237" s="26">
        <f t="shared" si="87"/>
        <v>1.0001779359430605</v>
      </c>
      <c r="Z237" s="4">
        <f>'[25]Predicted Residual Prices'!AS510</f>
        <v>10.614227297154724</v>
      </c>
      <c r="AA237" s="4">
        <f>'[26]Predicted Distillate Prices'!AS510</f>
        <v>25.744222055014802</v>
      </c>
      <c r="AB237" s="4">
        <f>'[27]Predicted Gas Prices'!AR510</f>
        <v>9.9821920834952387</v>
      </c>
      <c r="AC237" s="4">
        <f>'[28]Predicted LPG Prices'!AS510</f>
        <v>22.704136328945836</v>
      </c>
      <c r="AD237" s="4">
        <f>'[29]Predicted Coal Prices'!AS510</f>
        <v>3.7547819761840828</v>
      </c>
      <c r="AE237" s="4">
        <f>'[30]Predicted Coke Prices'!AS468</f>
        <v>0</v>
      </c>
      <c r="AF237" s="4">
        <f>'[31]Predicted Other Prices'!AT468</f>
        <v>8.9468674470811926</v>
      </c>
      <c r="AH237" s="115">
        <f t="shared" si="90"/>
        <v>10.305178417387545</v>
      </c>
      <c r="AI237" s="4">
        <f>'[32]Quantity Shares_1998 forward'!AH237</f>
        <v>10.255455941665833</v>
      </c>
    </row>
    <row r="238" spans="4:35" x14ac:dyDescent="0.2">
      <c r="D238">
        <f>[13]Quantity_shares!BB464</f>
        <v>2008</v>
      </c>
      <c r="E238" t="str">
        <f>[13]Quantity_shares!BC464</f>
        <v>337</v>
      </c>
      <c r="F238" s="26">
        <f>[13]Quantity_shares!BD464</f>
        <v>0.63996010638297873</v>
      </c>
      <c r="G238" s="26">
        <f>[13]Quantity_shares!BE464</f>
        <v>1.7619680851063829E-2</v>
      </c>
      <c r="H238" s="26">
        <f>[13]Quantity_shares!BF464</f>
        <v>7.0367907801418439E-2</v>
      </c>
      <c r="I238" s="26">
        <f>[13]Quantity_shares!BG464</f>
        <v>0.27205230496453903</v>
      </c>
      <c r="Q238" s="26">
        <f t="shared" ref="Q238:W238" si="127">0.5*Q196+0.5*Q280</f>
        <v>4.4843049327354259E-3</v>
      </c>
      <c r="R238" s="26">
        <f t="shared" si="127"/>
        <v>5.309637128944401E-3</v>
      </c>
      <c r="S238" s="26">
        <f t="shared" si="127"/>
        <v>0.77993892541748067</v>
      </c>
      <c r="T238" s="26">
        <f t="shared" si="127"/>
        <v>5.3096371289444007E-2</v>
      </c>
      <c r="U238" s="26">
        <f t="shared" si="127"/>
        <v>7.339954331618477E-2</v>
      </c>
      <c r="V238" s="26">
        <f t="shared" si="127"/>
        <v>0</v>
      </c>
      <c r="W238" s="26">
        <f t="shared" si="127"/>
        <v>8.3771217915210888E-2</v>
      </c>
      <c r="X238" s="26">
        <f t="shared" si="87"/>
        <v>1.0000000000000002</v>
      </c>
      <c r="Z238" s="4">
        <f>'[25]Predicted Residual Prices'!AS511</f>
        <v>10.413113165237512</v>
      </c>
      <c r="AA238" s="4">
        <f>'[26]Predicted Distillate Prices'!AS511</f>
        <v>25.024776989977717</v>
      </c>
      <c r="AB238" s="4">
        <f>'[27]Predicted Gas Prices'!AR511</f>
        <v>13.497430250008616</v>
      </c>
      <c r="AC238" s="4">
        <f>'[28]Predicted LPG Prices'!AS511</f>
        <v>25.546714847153282</v>
      </c>
      <c r="AD238" s="4">
        <f>'[29]Predicted Coal Prices'!AS511</f>
        <v>2.2843007051808963</v>
      </c>
      <c r="AE238" s="4">
        <f>'[30]Predicted Coke Prices'!AS469</f>
        <v>0</v>
      </c>
      <c r="AF238" s="4">
        <f>'[31]Predicted Other Prices'!AT469</f>
        <v>3.7249808768300436</v>
      </c>
      <c r="AH238" s="115">
        <f t="shared" si="90"/>
        <v>12.542889974940707</v>
      </c>
      <c r="AI238" s="4">
        <f>'[32]Quantity Shares_1998 forward'!AH238</f>
        <v>12.571075723513831</v>
      </c>
    </row>
    <row r="239" spans="4:35" x14ac:dyDescent="0.2">
      <c r="D239">
        <f>[13]Quantity_shares!BB465</f>
        <v>2008</v>
      </c>
      <c r="E239" t="str">
        <f>[13]Quantity_shares!BC465</f>
        <v>339</v>
      </c>
      <c r="F239" s="26">
        <f>[13]Quantity_shares!BD465</f>
        <v>0.84225911223385075</v>
      </c>
      <c r="G239" s="26">
        <f>[13]Quantity_shares!BE465</f>
        <v>8.6033922771562618E-2</v>
      </c>
      <c r="H239" s="26">
        <f>[13]Quantity_shares!BF465</f>
        <v>4.4749188018765795E-3</v>
      </c>
      <c r="I239" s="26">
        <f>[13]Quantity_shares!BG465</f>
        <v>6.7232046192710088E-2</v>
      </c>
      <c r="Q239" s="26">
        <f t="shared" ref="Q239:W239" si="128">0.5*Q197+0.5*Q281</f>
        <v>4.1335101679929265E-2</v>
      </c>
      <c r="R239" s="26">
        <f t="shared" si="128"/>
        <v>4.4120247568523424E-2</v>
      </c>
      <c r="S239" s="26">
        <f t="shared" si="128"/>
        <v>0.8443854995579132</v>
      </c>
      <c r="T239" s="26">
        <f t="shared" si="128"/>
        <v>1.825817860300619E-2</v>
      </c>
      <c r="U239" s="26">
        <f t="shared" si="128"/>
        <v>2.8735632183908037E-3</v>
      </c>
      <c r="V239" s="26">
        <f t="shared" si="128"/>
        <v>0</v>
      </c>
      <c r="W239" s="26">
        <f t="shared" si="128"/>
        <v>4.9027409372236957E-2</v>
      </c>
      <c r="X239" s="26">
        <f t="shared" si="87"/>
        <v>0.99999999999999978</v>
      </c>
      <c r="Z239" s="4">
        <f>'[25]Predicted Residual Prices'!AS512</f>
        <v>18.076741707912024</v>
      </c>
      <c r="AA239" s="4">
        <f>'[26]Predicted Distillate Prices'!AS512</f>
        <v>23.716339645407267</v>
      </c>
      <c r="AB239" s="4">
        <f>'[27]Predicted Gas Prices'!AR512</f>
        <v>12.886955556133097</v>
      </c>
      <c r="AC239" s="4">
        <f>'[28]Predicted LPG Prices'!AS512</f>
        <v>27.694392891197822</v>
      </c>
      <c r="AD239" s="4">
        <f>'[29]Predicted Coal Prices'!AS512</f>
        <v>3.5889409817283102</v>
      </c>
      <c r="AE239" s="4">
        <f>'[30]Predicted Coke Prices'!AS470</f>
        <v>0</v>
      </c>
      <c r="AF239" s="4">
        <f>'[31]Predicted Other Prices'!AT470</f>
        <v>4.8670705915992336</v>
      </c>
      <c r="AH239" s="115">
        <f t="shared" si="90"/>
        <v>13.429715221004283</v>
      </c>
      <c r="AI239" s="4">
        <f>'[32]Quantity Shares_1998 forward'!AH239</f>
        <v>13.452956962512124</v>
      </c>
    </row>
    <row r="240" spans="4:35" x14ac:dyDescent="0.2">
      <c r="D240">
        <f>[13]Quantity_shares!BB466</f>
        <v>2009</v>
      </c>
      <c r="E240" t="str">
        <f>[13]Quantity_shares!BC466</f>
        <v>311</v>
      </c>
      <c r="F240" s="26">
        <f>[13]Quantity_shares!BD466</f>
        <v>0.65121625146732753</v>
      </c>
      <c r="G240" s="26">
        <f>[13]Quantity_shares!BE466</f>
        <v>3.9500456501891226E-2</v>
      </c>
      <c r="H240" s="26">
        <f>[13]Quantity_shares!BF466</f>
        <v>0.19256554062866832</v>
      </c>
      <c r="I240" s="26">
        <f>[13]Quantity_shares!BG466</f>
        <v>0.11671775140211296</v>
      </c>
      <c r="P240">
        <v>2009</v>
      </c>
      <c r="Q240" s="26">
        <f t="shared" ref="Q240:W240" si="129">0.25*Q177+0.75*Q261</f>
        <v>1.7959608611405508E-2</v>
      </c>
      <c r="R240" s="26">
        <f t="shared" si="129"/>
        <v>2.3857602423697423E-2</v>
      </c>
      <c r="S240" s="26">
        <f t="shared" si="129"/>
        <v>0.68914561721852885</v>
      </c>
      <c r="T240" s="26">
        <f t="shared" si="129"/>
        <v>5.2399476507049483E-3</v>
      </c>
      <c r="U240" s="26">
        <f t="shared" si="129"/>
        <v>0.2015588367537014</v>
      </c>
      <c r="V240" s="26">
        <f t="shared" si="129"/>
        <v>2.0387052916680044E-3</v>
      </c>
      <c r="W240" s="26">
        <f t="shared" si="129"/>
        <v>6.0199682050293857E-2</v>
      </c>
      <c r="X240" s="26">
        <f t="shared" si="87"/>
        <v>1</v>
      </c>
      <c r="Z240" s="4">
        <f>'[25]Predicted Residual Prices'!AS513</f>
        <v>11.115134580463288</v>
      </c>
      <c r="AA240" s="4">
        <f>'[26]Predicted Distillate Prices'!AS513</f>
        <v>12.74396521959018</v>
      </c>
      <c r="AB240" s="4">
        <f>'[27]Predicted Gas Prices'!AR513</f>
        <v>5.9606706355023391</v>
      </c>
      <c r="AC240" s="4">
        <f>'[28]Predicted LPG Prices'!AS513</f>
        <v>19.146281711589495</v>
      </c>
      <c r="AD240" s="4">
        <f>'[29]Predicted Coal Prices'!AS513</f>
        <v>2.4464946765125011</v>
      </c>
      <c r="AE240" s="4">
        <f>'[30]Predicted Coke Prices'!AS471</f>
        <v>14.825319136029719</v>
      </c>
      <c r="AF240" s="4">
        <f>'[31]Predicted Other Prices'!AT471</f>
        <v>4.2970268854358284</v>
      </c>
      <c r="AH240" s="115">
        <f t="shared" si="90"/>
        <v>5.4937762102127037</v>
      </c>
      <c r="AI240" s="4">
        <f>'[32]Quantity Shares_1998 forward'!AH240</f>
        <v>5.5121705538545998</v>
      </c>
    </row>
    <row r="241" spans="4:35" x14ac:dyDescent="0.2">
      <c r="D241">
        <f>[13]Quantity_shares!BB467</f>
        <v>2009</v>
      </c>
      <c r="E241" t="str">
        <f>[13]Quantity_shares!BC467</f>
        <v>312</v>
      </c>
      <c r="F241" s="26">
        <f>[13]Quantity_shares!BD467</f>
        <v>0.62278956675508401</v>
      </c>
      <c r="G241" s="26">
        <f>[13]Quantity_shares!BE467</f>
        <v>3.8682581786030061E-2</v>
      </c>
      <c r="H241" s="26">
        <f>[13]Quantity_shares!BF467</f>
        <v>0.19341290893015031</v>
      </c>
      <c r="I241" s="26">
        <f>[13]Quantity_shares!BG467</f>
        <v>0.14511494252873564</v>
      </c>
      <c r="Q241" s="26">
        <f t="shared" ref="Q241:W241" si="130">0.25*Q178+0.75*Q262</f>
        <v>2.3956237424547284E-2</v>
      </c>
      <c r="R241" s="26">
        <f t="shared" si="130"/>
        <v>1.6913983903420523E-2</v>
      </c>
      <c r="S241" s="26">
        <f t="shared" si="130"/>
        <v>0.65329476861167002</v>
      </c>
      <c r="T241" s="26">
        <f t="shared" si="130"/>
        <v>1.6913983903420523E-2</v>
      </c>
      <c r="U241" s="26">
        <f t="shared" si="130"/>
        <v>0.20435110663983902</v>
      </c>
      <c r="V241" s="26">
        <f t="shared" si="130"/>
        <v>0</v>
      </c>
      <c r="W241" s="26">
        <f t="shared" si="130"/>
        <v>8.4569919517102618E-2</v>
      </c>
      <c r="X241" s="26">
        <f t="shared" si="87"/>
        <v>0.99999999999999989</v>
      </c>
      <c r="Z241" s="4">
        <f>'[25]Predicted Residual Prices'!AS514</f>
        <v>8.8866921488912105</v>
      </c>
      <c r="AA241" s="4">
        <f>'[26]Predicted Distillate Prices'!AS514</f>
        <v>17.616541518097531</v>
      </c>
      <c r="AB241" s="4">
        <f>'[27]Predicted Gas Prices'!AR514</f>
        <v>7.6509069644834078</v>
      </c>
      <c r="AC241" s="4">
        <f>'[28]Predicted LPG Prices'!AS514</f>
        <v>18.52037021335898</v>
      </c>
      <c r="AD241" s="4">
        <f>'[29]Predicted Coal Prices'!AS514</f>
        <v>4.1399976952779713</v>
      </c>
      <c r="AE241" s="4">
        <f>'[30]Predicted Coke Prices'!AS472</f>
        <v>0</v>
      </c>
      <c r="AF241" s="4">
        <f>'[31]Predicted Other Prices'!AT472</f>
        <v>6.1191176979771429</v>
      </c>
      <c r="AH241" s="115">
        <f t="shared" si="90"/>
        <v>7.1859147471645253</v>
      </c>
      <c r="AI241" s="4">
        <f>'[32]Quantity Shares_1998 forward'!AH241</f>
        <v>6.579029505624244</v>
      </c>
    </row>
    <row r="242" spans="4:35" x14ac:dyDescent="0.2">
      <c r="D242">
        <f>[13]Quantity_shares!BB468</f>
        <v>2009</v>
      </c>
      <c r="E242" t="str">
        <f>[13]Quantity_shares!BC468</f>
        <v>313</v>
      </c>
      <c r="F242" s="26">
        <f>[13]Quantity_shares!BD468</f>
        <v>0.61073991031390129</v>
      </c>
      <c r="G242" s="26">
        <f>[13]Quantity_shares!BE468</f>
        <v>6.5605381165919283E-2</v>
      </c>
      <c r="H242" s="26">
        <f>[13]Quantity_shares!BF468</f>
        <v>0.1917488789237668</v>
      </c>
      <c r="I242" s="26">
        <f>[13]Quantity_shares!BG468</f>
        <v>0.13190582959641256</v>
      </c>
      <c r="Q242" s="26">
        <f t="shared" ref="Q242:W242" si="131">0.25*Q179+0.75*Q263</f>
        <v>3.5092531636310438E-2</v>
      </c>
      <c r="R242" s="26">
        <f t="shared" si="131"/>
        <v>1.6426194133567405E-2</v>
      </c>
      <c r="S242" s="26">
        <f t="shared" si="131"/>
        <v>0.6200991149147832</v>
      </c>
      <c r="T242" s="26">
        <f t="shared" si="131"/>
        <v>1.5530136785897155E-2</v>
      </c>
      <c r="U242" s="26">
        <f t="shared" si="131"/>
        <v>0.19413356740545681</v>
      </c>
      <c r="V242" s="26">
        <f t="shared" si="131"/>
        <v>0</v>
      </c>
      <c r="W242" s="26">
        <f t="shared" si="131"/>
        <v>0.11871845512398507</v>
      </c>
      <c r="X242" s="26">
        <f t="shared" si="87"/>
        <v>1.0000000000000002</v>
      </c>
      <c r="Z242" s="4">
        <f>'[25]Predicted Residual Prices'!AS515</f>
        <v>10.970993565100763</v>
      </c>
      <c r="AA242" s="4">
        <f>'[26]Predicted Distillate Prices'!AS515</f>
        <v>14.119431938777662</v>
      </c>
      <c r="AB242" s="4">
        <f>'[27]Predicted Gas Prices'!AR515</f>
        <v>6.5249864693310924</v>
      </c>
      <c r="AC242" s="4">
        <f>'[28]Predicted LPG Prices'!AS515</f>
        <v>15.418811632254588</v>
      </c>
      <c r="AD242" s="4">
        <f>'[29]Predicted Coal Prices'!AS515</f>
        <v>4.5969677655698824</v>
      </c>
      <c r="AE242" s="4">
        <f>'[30]Predicted Coke Prices'!AS473</f>
        <v>0</v>
      </c>
      <c r="AF242" s="4">
        <f>'[31]Predicted Other Prices'!AT473</f>
        <v>5.6116996224998994</v>
      </c>
      <c r="AH242" s="115">
        <f t="shared" si="90"/>
        <v>6.4611611184161646</v>
      </c>
      <c r="AI242" s="4">
        <f>'[32]Quantity Shares_1998 forward'!AH242</f>
        <v>6.4703762627547938</v>
      </c>
    </row>
    <row r="243" spans="4:35" x14ac:dyDescent="0.2">
      <c r="D243">
        <f>[13]Quantity_shares!BB469</f>
        <v>2009</v>
      </c>
      <c r="E243" t="str">
        <f>[13]Quantity_shares!BC469</f>
        <v>314</v>
      </c>
      <c r="F243" s="26">
        <f>[13]Quantity_shares!BD469</f>
        <v>0.78365384615384615</v>
      </c>
      <c r="G243" s="26">
        <f>[13]Quantity_shares!BE469</f>
        <v>5.9615384615384619E-2</v>
      </c>
      <c r="H243" s="26">
        <f>[13]Quantity_shares!BF469</f>
        <v>0.12067307692307692</v>
      </c>
      <c r="I243" s="26">
        <f>[13]Quantity_shares!BG469</f>
        <v>3.6057692307692304E-2</v>
      </c>
      <c r="Q243" s="26">
        <f t="shared" ref="Q243:W243" si="132">0.25*Q180+0.75*Q264</f>
        <v>1.3677055702917773E-2</v>
      </c>
      <c r="R243" s="26">
        <f t="shared" si="132"/>
        <v>6.9462864721485411E-3</v>
      </c>
      <c r="S243" s="26">
        <f t="shared" si="132"/>
        <v>0.80305039787798405</v>
      </c>
      <c r="T243" s="26">
        <f t="shared" si="132"/>
        <v>1.1273209549071617E-2</v>
      </c>
      <c r="U243" s="26">
        <f t="shared" si="132"/>
        <v>0.14373342175066314</v>
      </c>
      <c r="V243" s="26">
        <f t="shared" si="132"/>
        <v>0</v>
      </c>
      <c r="W243" s="26">
        <f t="shared" si="132"/>
        <v>2.1319628647214855E-2</v>
      </c>
      <c r="X243" s="26">
        <f t="shared" si="87"/>
        <v>1</v>
      </c>
      <c r="Z243" s="4">
        <f>'[25]Predicted Residual Prices'!AS516</f>
        <v>13.345483176873067</v>
      </c>
      <c r="AA243" s="4">
        <f>'[26]Predicted Distillate Prices'!AS516</f>
        <v>19.109546899022533</v>
      </c>
      <c r="AB243" s="4">
        <f>'[27]Predicted Gas Prices'!AR516</f>
        <v>6.415729445986921</v>
      </c>
      <c r="AC243" s="4">
        <f>'[28]Predicted LPG Prices'!AS516</f>
        <v>16.289118483560642</v>
      </c>
      <c r="AD243" s="4">
        <f>'[29]Predicted Coal Prices'!AS516</f>
        <v>3.9790288943457703</v>
      </c>
      <c r="AE243" s="4">
        <f>'[30]Predicted Coke Prices'!AS474</f>
        <v>0</v>
      </c>
      <c r="AF243" s="4">
        <f>'[31]Predicted Other Prices'!AT474</f>
        <v>5.5410411862309008</v>
      </c>
      <c r="AH243" s="115">
        <f t="shared" si="90"/>
        <v>6.3411044128565841</v>
      </c>
      <c r="AI243" s="4">
        <f>'[32]Quantity Shares_1998 forward'!AH243</f>
        <v>6.332424108208901</v>
      </c>
    </row>
    <row r="244" spans="4:35" x14ac:dyDescent="0.2">
      <c r="D244">
        <f>[13]Quantity_shares!BB470</f>
        <v>2009</v>
      </c>
      <c r="E244" t="str">
        <f>[13]Quantity_shares!BC470</f>
        <v>315</v>
      </c>
      <c r="F244" s="26">
        <f>[13]Quantity_shares!BD470</f>
        <v>0.83287671232876692</v>
      </c>
      <c r="G244" s="26">
        <f>[13]Quantity_shares!BE470</f>
        <v>7.0273972602739709E-2</v>
      </c>
      <c r="H244" s="26">
        <f>[13]Quantity_shares!BF470</f>
        <v>3.4246575342465709E-16</v>
      </c>
      <c r="I244" s="26">
        <f>[13]Quantity_shares!BG470</f>
        <v>9.6849315068493133E-2</v>
      </c>
      <c r="Q244" s="26">
        <f t="shared" ref="Q244:W244" si="133">0.25*Q181+0.75*Q265</f>
        <v>1.7123287671232878E-3</v>
      </c>
      <c r="R244" s="26">
        <f t="shared" si="133"/>
        <v>3.7500077797763161E-2</v>
      </c>
      <c r="S244" s="26">
        <f t="shared" si="133"/>
        <v>0.92123443266759186</v>
      </c>
      <c r="T244" s="26">
        <f t="shared" si="133"/>
        <v>3.5787749030639873E-2</v>
      </c>
      <c r="U244" s="26">
        <f t="shared" si="133"/>
        <v>0</v>
      </c>
      <c r="V244" s="26">
        <f t="shared" si="133"/>
        <v>0</v>
      </c>
      <c r="W244" s="26">
        <f t="shared" si="133"/>
        <v>3.7654117368817416E-3</v>
      </c>
      <c r="X244" s="26">
        <f t="shared" si="87"/>
        <v>0.99999999999999989</v>
      </c>
      <c r="Z244" s="4">
        <f>'[25]Predicted Residual Prices'!AS517</f>
        <v>14.035445425800212</v>
      </c>
      <c r="AA244" s="4">
        <f>'[26]Predicted Distillate Prices'!AS517</f>
        <v>12.035</v>
      </c>
      <c r="AB244" s="4">
        <f>'[27]Predicted Gas Prices'!AR517</f>
        <v>7.7438791925115078</v>
      </c>
      <c r="AC244" s="4">
        <f>'[28]Predicted LPG Prices'!AS517</f>
        <v>21.885379358792189</v>
      </c>
      <c r="AD244" s="4">
        <f>'[29]Predicted Coal Prices'!AS517</f>
        <v>3.9732479295404453</v>
      </c>
      <c r="AE244" s="4">
        <f>'[30]Predicted Coke Prices'!AS475</f>
        <v>0</v>
      </c>
      <c r="AF244" s="4">
        <f>'[31]Predicted Other Prices'!AT475</f>
        <v>5.5120865577569038</v>
      </c>
      <c r="AH244" s="115">
        <f t="shared" si="90"/>
        <v>8.4132586271698617</v>
      </c>
      <c r="AI244" s="4">
        <f>'[32]Quantity Shares_1998 forward'!AH244</f>
        <v>8.8479985336753053</v>
      </c>
    </row>
    <row r="245" spans="4:35" x14ac:dyDescent="0.2">
      <c r="D245">
        <f>[13]Quantity_shares!BB471</f>
        <v>2009</v>
      </c>
      <c r="E245" t="str">
        <f>[13]Quantity_shares!BC471</f>
        <v>316</v>
      </c>
      <c r="F245" s="26">
        <f>[13]Quantity_shares!BD471</f>
        <v>0.53151260504201547</v>
      </c>
      <c r="G245" s="26">
        <f>[13]Quantity_shares!BE471</f>
        <v>7.9831932773108988E-2</v>
      </c>
      <c r="H245" s="26">
        <f>[13]Quantity_shares!BF471</f>
        <v>1.7857142857142729E-15</v>
      </c>
      <c r="I245" s="26">
        <f>[13]Quantity_shares!BG471</f>
        <v>0.38865546218487368</v>
      </c>
      <c r="Q245" s="26">
        <f t="shared" ref="Q245:W245" si="134">0.25*Q182+0.75*Q266</f>
        <v>7.1933677391017914E-2</v>
      </c>
      <c r="R245" s="26">
        <f t="shared" si="134"/>
        <v>0.12907653453387505</v>
      </c>
      <c r="S245" s="26">
        <f t="shared" si="134"/>
        <v>0.71933677391017903</v>
      </c>
      <c r="T245" s="26">
        <f t="shared" si="134"/>
        <v>6.4790820248160769E-2</v>
      </c>
      <c r="U245" s="26">
        <f t="shared" si="134"/>
        <v>0</v>
      </c>
      <c r="V245" s="26">
        <f t="shared" si="134"/>
        <v>0</v>
      </c>
      <c r="W245" s="26">
        <f t="shared" si="134"/>
        <v>1.4862193916767321E-2</v>
      </c>
      <c r="X245" s="26">
        <f t="shared" si="87"/>
        <v>1</v>
      </c>
      <c r="Z245" s="4">
        <f>'[25]Predicted Residual Prices'!AS518</f>
        <v>12.314379642350657</v>
      </c>
      <c r="AA245" s="4">
        <f>'[26]Predicted Distillate Prices'!AS518</f>
        <v>15.262634253218319</v>
      </c>
      <c r="AB245" s="4">
        <f>'[27]Predicted Gas Prices'!AR518</f>
        <v>7.2332963732510152</v>
      </c>
      <c r="AC245" s="4">
        <f>'[28]Predicted LPG Prices'!AS518</f>
        <v>29.116015236749931</v>
      </c>
      <c r="AD245" s="4">
        <f>'[29]Predicted Coal Prices'!AS518</f>
        <v>3.7402396725410778</v>
      </c>
      <c r="AE245" s="4">
        <f>'[30]Predicted Coke Prices'!AS476</f>
        <v>0</v>
      </c>
      <c r="AF245" s="4">
        <f>'[31]Predicted Other Prices'!AT476</f>
        <v>5.2560432788784519</v>
      </c>
      <c r="AH245" s="115">
        <f t="shared" si="90"/>
        <v>10.023609471589982</v>
      </c>
      <c r="AI245" s="4">
        <f>'[32]Quantity Shares_1998 forward'!AH245</f>
        <v>9.9828130871641267</v>
      </c>
    </row>
    <row r="246" spans="4:35" x14ac:dyDescent="0.2">
      <c r="D246">
        <f>[13]Quantity_shares!BB472</f>
        <v>2009</v>
      </c>
      <c r="E246" t="str">
        <f>[13]Quantity_shares!BC472</f>
        <v>321</v>
      </c>
      <c r="F246" s="26">
        <f>[13]Quantity_shares!BD472</f>
        <v>0.12182694051689366</v>
      </c>
      <c r="G246" s="26">
        <f>[13]Quantity_shares!BE472</f>
        <v>5.3667240571847782E-2</v>
      </c>
      <c r="H246" s="26">
        <f>[13]Quantity_shares!BF472</f>
        <v>1.3096272594132631E-2</v>
      </c>
      <c r="I246" s="26">
        <f>[13]Quantity_shares!BG472</f>
        <v>0.81140954631712592</v>
      </c>
      <c r="Q246" s="26">
        <f t="shared" ref="Q246:W246" si="135">0.25*Q183+0.75*Q267</f>
        <v>6.744251840413054E-3</v>
      </c>
      <c r="R246" s="26">
        <f t="shared" si="135"/>
        <v>9.6995219935990751E-2</v>
      </c>
      <c r="S246" s="26">
        <f t="shared" si="135"/>
        <v>0.22783989437885693</v>
      </c>
      <c r="T246" s="26">
        <f t="shared" si="135"/>
        <v>1.5651615260840607E-2</v>
      </c>
      <c r="U246" s="26">
        <f t="shared" si="135"/>
        <v>2.2173367204399309E-2</v>
      </c>
      <c r="V246" s="26">
        <f t="shared" si="135"/>
        <v>6.2034739454094293E-4</v>
      </c>
      <c r="W246" s="26">
        <f t="shared" si="135"/>
        <v>0.62997530398495838</v>
      </c>
      <c r="X246" s="26">
        <f t="shared" si="87"/>
        <v>1</v>
      </c>
      <c r="Z246" s="4">
        <f>'[25]Predicted Residual Prices'!AS519</f>
        <v>11.889037142631551</v>
      </c>
      <c r="AA246" s="4">
        <f>'[26]Predicted Distillate Prices'!AS519</f>
        <v>16.764517295939129</v>
      </c>
      <c r="AB246" s="4">
        <f>'[27]Predicted Gas Prices'!AR519</f>
        <v>6.1574999727780657</v>
      </c>
      <c r="AC246" s="4">
        <f>'[28]Predicted LPG Prices'!AS519</f>
        <v>20.743356921327969</v>
      </c>
      <c r="AD246" s="4">
        <f>'[29]Predicted Coal Prices'!AS519</f>
        <v>4.3300114077254168</v>
      </c>
      <c r="AE246" s="4">
        <f>'[30]Predicted Coke Prices'!AS477</f>
        <v>0</v>
      </c>
      <c r="AF246" s="4">
        <f>'[31]Predicted Other Prices'!AT477</f>
        <v>2.6186278042297286</v>
      </c>
      <c r="AH246" s="115">
        <f t="shared" si="90"/>
        <v>5.1795336679925787</v>
      </c>
      <c r="AI246" s="4">
        <f>'[32]Quantity Shares_1998 forward'!AH246</f>
        <v>5.8370215122919662</v>
      </c>
    </row>
    <row r="247" spans="4:35" x14ac:dyDescent="0.2">
      <c r="D247">
        <f>[13]Quantity_shares!BB473</f>
        <v>2009</v>
      </c>
      <c r="E247" t="str">
        <f>[13]Quantity_shares!BC473</f>
        <v>322</v>
      </c>
      <c r="F247" s="26">
        <f>[13]Quantity_shares!BD473</f>
        <v>0.21341216377450162</v>
      </c>
      <c r="G247" s="26">
        <f>[13]Quantity_shares!BE473</f>
        <v>2.8493344821304351E-2</v>
      </c>
      <c r="H247" s="26">
        <f>[13]Quantity_shares!BF473</f>
        <v>0.10787874161335978</v>
      </c>
      <c r="I247" s="26">
        <f>[13]Quantity_shares!BG473</f>
        <v>0.6502157497908343</v>
      </c>
      <c r="Q247" s="26">
        <f t="shared" ref="Q247:W247" si="136">0.25*Q184+0.75*Q268</f>
        <v>4.8424207692746399E-2</v>
      </c>
      <c r="R247" s="26">
        <f t="shared" si="136"/>
        <v>7.7038662767397199E-3</v>
      </c>
      <c r="S247" s="26">
        <f t="shared" si="136"/>
        <v>0.42179212478844064</v>
      </c>
      <c r="T247" s="26">
        <f t="shared" si="136"/>
        <v>4.2933863413558912E-3</v>
      </c>
      <c r="U247" s="26">
        <f t="shared" si="136"/>
        <v>0.21350857037104976</v>
      </c>
      <c r="V247" s="26">
        <f t="shared" si="136"/>
        <v>3.9306116031654526E-5</v>
      </c>
      <c r="W247" s="26">
        <f t="shared" si="136"/>
        <v>0.30423853841363596</v>
      </c>
      <c r="X247" s="26">
        <f t="shared" si="87"/>
        <v>1</v>
      </c>
      <c r="Z247" s="4">
        <f>'[25]Predicted Residual Prices'!AS520</f>
        <v>8.8608305236914813</v>
      </c>
      <c r="AA247" s="4">
        <f>'[26]Predicted Distillate Prices'!AS520</f>
        <v>14.120643151432144</v>
      </c>
      <c r="AB247" s="4">
        <f>'[27]Predicted Gas Prices'!AR520</f>
        <v>6.3244183032520134</v>
      </c>
      <c r="AC247" s="4">
        <f>'[28]Predicted LPG Prices'!AS520</f>
        <v>18.940371950010984</v>
      </c>
      <c r="AD247" s="4">
        <f>'[29]Predicted Coal Prices'!AS520</f>
        <v>3.5850510025307178</v>
      </c>
      <c r="AE247" s="4">
        <f>'[30]Predicted Coke Prices'!AS478</f>
        <v>5.7120000000000015</v>
      </c>
      <c r="AF247" s="4">
        <f>'[31]Predicted Other Prices'!AT478</f>
        <v>4.4541688173023264</v>
      </c>
      <c r="AH247" s="115">
        <f t="shared" si="90"/>
        <v>5.4075638542156641</v>
      </c>
      <c r="AI247" s="4">
        <f>'[32]Quantity Shares_1998 forward'!AH247</f>
        <v>5.4389204258005073</v>
      </c>
    </row>
    <row r="248" spans="4:35" x14ac:dyDescent="0.2">
      <c r="D248">
        <f>[13]Quantity_shares!BB474</f>
        <v>2009</v>
      </c>
      <c r="E248" t="str">
        <f>[13]Quantity_shares!BC474</f>
        <v>323</v>
      </c>
      <c r="F248" s="26">
        <f>[13]Quantity_shares!BD474</f>
        <v>0.94730392156862731</v>
      </c>
      <c r="G248" s="26">
        <f>[13]Quantity_shares!BE474</f>
        <v>2.0343137254901958E-2</v>
      </c>
      <c r="H248" s="26">
        <f>[13]Quantity_shares!BF474</f>
        <v>6.1274509803921556E-17</v>
      </c>
      <c r="I248" s="26">
        <f>[13]Quantity_shares!BG474</f>
        <v>3.235294117647064E-2</v>
      </c>
      <c r="Q248" s="26">
        <f t="shared" ref="Q248:W248" si="137">0.25*Q185+0.75*Q269</f>
        <v>1.3676172699038562E-3</v>
      </c>
      <c r="R248" s="26">
        <f t="shared" si="137"/>
        <v>2.7352345398077124E-3</v>
      </c>
      <c r="S248" s="26">
        <f t="shared" si="137"/>
        <v>0.96095867785928135</v>
      </c>
      <c r="T248" s="26">
        <f t="shared" si="137"/>
        <v>2.7352345398077123E-2</v>
      </c>
      <c r="U248" s="26">
        <f t="shared" si="137"/>
        <v>0</v>
      </c>
      <c r="V248" s="26">
        <f t="shared" si="137"/>
        <v>0</v>
      </c>
      <c r="W248" s="26">
        <f t="shared" si="137"/>
        <v>7.5861249329299526E-3</v>
      </c>
      <c r="X248" s="26">
        <f t="shared" si="87"/>
        <v>1</v>
      </c>
      <c r="Z248" s="4">
        <f>'[25]Predicted Residual Prices'!AS521</f>
        <v>10.73623424692307</v>
      </c>
      <c r="AA248" s="4">
        <f>'[26]Predicted Distillate Prices'!AS521</f>
        <v>16.08401350952694</v>
      </c>
      <c r="AB248" s="4">
        <f>'[27]Predicted Gas Prices'!AR521</f>
        <v>6.2764640829196034</v>
      </c>
      <c r="AC248" s="4">
        <f>'[28]Predicted LPG Prices'!AS521</f>
        <v>25.851634360978935</v>
      </c>
      <c r="AD248" s="4">
        <f>'[29]Predicted Coal Prices'!AS521</f>
        <v>4.1463315902822382</v>
      </c>
      <c r="AE248" s="4">
        <f>'[30]Predicted Coke Prices'!AS479</f>
        <v>0</v>
      </c>
      <c r="AF248" s="4">
        <f>'[31]Predicted Other Prices'!AT479</f>
        <v>4.4554052841169094</v>
      </c>
      <c r="AH248" s="115">
        <f t="shared" si="90"/>
        <v>6.831001328671948</v>
      </c>
      <c r="AI248" s="4">
        <f>'[32]Quantity Shares_1998 forward'!AH248</f>
        <v>6.8456762399994959</v>
      </c>
    </row>
    <row r="249" spans="4:35" x14ac:dyDescent="0.2">
      <c r="D249">
        <f>[13]Quantity_shares!BB475</f>
        <v>2009</v>
      </c>
      <c r="E249" t="str">
        <f>[13]Quantity_shares!BC475</f>
        <v>324</v>
      </c>
      <c r="F249" s="26">
        <f>[13]Quantity_shares!BD475</f>
        <v>0.28312509470543212</v>
      </c>
      <c r="G249" s="26">
        <f>[13]Quantity_shares!BE475</f>
        <v>1.6102206102332376E-2</v>
      </c>
      <c r="H249" s="26">
        <f>[13]Quantity_shares!BF475</f>
        <v>6.6768300974834579E-3</v>
      </c>
      <c r="I249" s="26">
        <f>[13]Quantity_shares!BG475</f>
        <v>0.69409586909475207</v>
      </c>
      <c r="Q249" s="26">
        <f t="shared" ref="Q249:W249" si="138">0.25*Q186+0.75*Q270</f>
        <v>1.4519043893213918E-2</v>
      </c>
      <c r="R249" s="26">
        <f t="shared" si="138"/>
        <v>1.3235364099089625E-2</v>
      </c>
      <c r="S249" s="26">
        <f t="shared" si="138"/>
        <v>0.68024972832381692</v>
      </c>
      <c r="T249" s="26">
        <f t="shared" si="138"/>
        <v>3.7782312719920538E-3</v>
      </c>
      <c r="U249" s="26">
        <f t="shared" si="138"/>
        <v>1.6489042059032E-2</v>
      </c>
      <c r="V249" s="26">
        <f t="shared" si="138"/>
        <v>1.9468888715832104E-5</v>
      </c>
      <c r="W249" s="26">
        <f t="shared" si="138"/>
        <v>0.27170912146413961</v>
      </c>
      <c r="X249" s="26">
        <f t="shared" si="87"/>
        <v>1</v>
      </c>
      <c r="Z249" s="4">
        <f>'[25]Predicted Residual Prices'!AS522</f>
        <v>9.7699016415429565</v>
      </c>
      <c r="AA249" s="4">
        <f>'[26]Predicted Distillate Prices'!AS522</f>
        <v>13.027532096397447</v>
      </c>
      <c r="AB249" s="4">
        <f>'[27]Predicted Gas Prices'!AR522</f>
        <v>4.6824982510137723</v>
      </c>
      <c r="AC249" s="4">
        <f>'[28]Predicted LPG Prices'!AS522</f>
        <v>16.972057074472595</v>
      </c>
      <c r="AD249" s="4">
        <f>'[29]Predicted Coal Prices'!AS522</f>
        <v>4.6937719365394299</v>
      </c>
      <c r="AE249" s="4">
        <f>'[30]Predicted Coke Prices'!AS480</f>
        <v>0</v>
      </c>
      <c r="AF249" s="4">
        <f>'[31]Predicted Other Prices'!AT480</f>
        <v>5.6428251529501932</v>
      </c>
      <c r="AH249" s="115">
        <f t="shared" si="90"/>
        <v>5.1742691490529626</v>
      </c>
      <c r="AI249" s="4">
        <f>'[32]Quantity Shares_1998 forward'!AH249</f>
        <v>5.1840954107619677</v>
      </c>
    </row>
    <row r="250" spans="4:35" x14ac:dyDescent="0.2">
      <c r="D250">
        <f>[13]Quantity_shares!BB476</f>
        <v>2009</v>
      </c>
      <c r="E250" t="str">
        <f>[13]Quantity_shares!BC476</f>
        <v>325</v>
      </c>
      <c r="F250" s="26">
        <f>[13]Quantity_shares!BD476</f>
        <v>0.61304121466164518</v>
      </c>
      <c r="G250" s="26">
        <f>[13]Quantity_shares!BE476</f>
        <v>7.0483260440495354E-3</v>
      </c>
      <c r="H250" s="26">
        <f>[13]Quantity_shares!BF476</f>
        <v>6.9727898492942877E-2</v>
      </c>
      <c r="I250" s="26">
        <f>[13]Quantity_shares!BG476</f>
        <v>0.31018256080136242</v>
      </c>
      <c r="Q250" s="26">
        <f t="shared" ref="Q250:W250" si="139">0.25*Q187+0.75*Q271</f>
        <v>4.4394034974167152E-3</v>
      </c>
      <c r="R250" s="26">
        <f t="shared" si="139"/>
        <v>3.380489253219749E-3</v>
      </c>
      <c r="S250" s="26">
        <f t="shared" si="139"/>
        <v>0.70639066183114196</v>
      </c>
      <c r="T250" s="26">
        <f t="shared" si="139"/>
        <v>2.9579280965672805E-3</v>
      </c>
      <c r="U250" s="26">
        <f t="shared" si="139"/>
        <v>8.08161603659312E-2</v>
      </c>
      <c r="V250" s="26">
        <f t="shared" si="139"/>
        <v>1.1200215044128849E-5</v>
      </c>
      <c r="W250" s="26">
        <f t="shared" si="139"/>
        <v>0.20200415674067898</v>
      </c>
      <c r="X250" s="26">
        <f t="shared" si="87"/>
        <v>0.99999999999999989</v>
      </c>
      <c r="Z250" s="4">
        <f>'[25]Predicted Residual Prices'!AS523</f>
        <v>8.5284050903972268</v>
      </c>
      <c r="AA250" s="4">
        <f>'[26]Predicted Distillate Prices'!AS523</f>
        <v>14.331525923220955</v>
      </c>
      <c r="AB250" s="4">
        <f>'[27]Predicted Gas Prices'!AR523</f>
        <v>4.9573602346229464</v>
      </c>
      <c r="AC250" s="4">
        <f>'[28]Predicted LPG Prices'!AS523</f>
        <v>11.596382172697707</v>
      </c>
      <c r="AD250" s="4">
        <f>'[29]Predicted Coal Prices'!AS523</f>
        <v>3.315557809787312</v>
      </c>
      <c r="AE250" s="4">
        <f>'[30]Predicted Coke Prices'!AS481</f>
        <v>9.8277320581255854</v>
      </c>
      <c r="AF250" s="4">
        <f>'[31]Predicted Other Prices'!AT481</f>
        <v>7.9309681167359907</v>
      </c>
      <c r="AH250" s="115">
        <f t="shared" si="90"/>
        <v>5.492592093398426</v>
      </c>
      <c r="AI250" s="4">
        <f>'[32]Quantity Shares_1998 forward'!AH250</f>
        <v>5.5255730164263133</v>
      </c>
    </row>
    <row r="251" spans="4:35" x14ac:dyDescent="0.2">
      <c r="D251">
        <f>[13]Quantity_shares!BB477</f>
        <v>2009</v>
      </c>
      <c r="E251" t="str">
        <f>[13]Quantity_shares!BC477</f>
        <v>326</v>
      </c>
      <c r="F251" s="26">
        <f>[13]Quantity_shares!BD477</f>
        <v>0.87305851721888561</v>
      </c>
      <c r="G251" s="26">
        <f>[13]Quantity_shares!BE477</f>
        <v>3.4440161279438553E-2</v>
      </c>
      <c r="H251" s="26">
        <f>[13]Quantity_shares!BF477</f>
        <v>3.2134000269923746E-2</v>
      </c>
      <c r="I251" s="26">
        <f>[13]Quantity_shares!BG477</f>
        <v>6.0367321231752029E-2</v>
      </c>
      <c r="Q251" s="26">
        <f t="shared" ref="Q251:W251" si="140">0.25*Q188+0.75*Q272</f>
        <v>1.5263699714919227E-2</v>
      </c>
      <c r="R251" s="26">
        <f t="shared" si="140"/>
        <v>1.7936331960722203E-2</v>
      </c>
      <c r="S251" s="26">
        <f t="shared" si="140"/>
        <v>0.87907823883433656</v>
      </c>
      <c r="T251" s="26">
        <f t="shared" si="140"/>
        <v>2.1183085207475451E-2</v>
      </c>
      <c r="U251" s="26">
        <f t="shared" si="140"/>
        <v>3.5872663921444406E-2</v>
      </c>
      <c r="V251" s="26">
        <f t="shared" si="140"/>
        <v>0</v>
      </c>
      <c r="W251" s="26">
        <f t="shared" si="140"/>
        <v>3.066598036110231E-2</v>
      </c>
      <c r="X251" s="26">
        <f t="shared" si="87"/>
        <v>1.0000000000000002</v>
      </c>
      <c r="Z251" s="4">
        <f>'[25]Predicted Residual Prices'!AS524</f>
        <v>10.147968678255493</v>
      </c>
      <c r="AA251" s="4">
        <f>'[26]Predicted Distillate Prices'!AS524</f>
        <v>17.282740896711164</v>
      </c>
      <c r="AB251" s="4">
        <f>'[27]Predicted Gas Prices'!AR524</f>
        <v>7.1257131894960626</v>
      </c>
      <c r="AC251" s="4">
        <f>'[28]Predicted LPG Prices'!AS524</f>
        <v>26.232593880250342</v>
      </c>
      <c r="AD251" s="4">
        <f>'[29]Predicted Coal Prices'!AS524</f>
        <v>4.9956592176193935</v>
      </c>
      <c r="AE251" s="4">
        <f>'[30]Predicted Coke Prices'!AS482</f>
        <v>0</v>
      </c>
      <c r="AF251" s="4">
        <f>'[31]Predicted Other Prices'!AT482</f>
        <v>7.1055872167553966</v>
      </c>
      <c r="AH251" s="115">
        <f t="shared" si="90"/>
        <v>7.6817385991979501</v>
      </c>
      <c r="AI251" s="4">
        <f>'[32]Quantity Shares_1998 forward'!AH251</f>
        <v>7.6599518711200929</v>
      </c>
    </row>
    <row r="252" spans="4:35" x14ac:dyDescent="0.2">
      <c r="D252">
        <f>[13]Quantity_shares!BB478</f>
        <v>2009</v>
      </c>
      <c r="E252" t="str">
        <f>[13]Quantity_shares!BC478</f>
        <v>327</v>
      </c>
      <c r="F252" s="26">
        <f>[13]Quantity_shares!BD478</f>
        <v>0.46103079331941543</v>
      </c>
      <c r="G252" s="26">
        <f>[13]Quantity_shares!BE478</f>
        <v>3.8611691022964509E-2</v>
      </c>
      <c r="H252" s="26">
        <f>[13]Quantity_shares!BF478</f>
        <v>0.3676278705636743</v>
      </c>
      <c r="I252" s="26">
        <f>[13]Quantity_shares!BG478</f>
        <v>0.13272964509394572</v>
      </c>
      <c r="Q252" s="26">
        <f t="shared" ref="Q252:W252" si="141">0.25*Q189+0.75*Q273</f>
        <v>2.0403441240192674E-3</v>
      </c>
      <c r="R252" s="26">
        <f t="shared" si="141"/>
        <v>3.6707789066279632E-2</v>
      </c>
      <c r="S252" s="26">
        <f t="shared" si="141"/>
        <v>0.46267432321575058</v>
      </c>
      <c r="T252" s="26">
        <f t="shared" si="141"/>
        <v>3.8186337407010093E-3</v>
      </c>
      <c r="U252" s="26">
        <f t="shared" si="141"/>
        <v>0.35601463298345992</v>
      </c>
      <c r="V252" s="26">
        <f t="shared" si="141"/>
        <v>1.29160443967663E-2</v>
      </c>
      <c r="W252" s="26">
        <f t="shared" si="141"/>
        <v>0.12582823247302327</v>
      </c>
      <c r="X252" s="26">
        <f t="shared" si="87"/>
        <v>1</v>
      </c>
      <c r="Z252" s="4">
        <f>'[25]Predicted Residual Prices'!AS525</f>
        <v>9.2825651109212188</v>
      </c>
      <c r="AA252" s="4">
        <f>'[26]Predicted Distillate Prices'!AS525</f>
        <v>14.163693710176824</v>
      </c>
      <c r="AB252" s="4">
        <f>'[27]Predicted Gas Prices'!AR525</f>
        <v>6.3723882480137384</v>
      </c>
      <c r="AC252" s="4">
        <f>'[28]Predicted LPG Prices'!AS525</f>
        <v>24.084725913553537</v>
      </c>
      <c r="AD252" s="4">
        <f>'[29]Predicted Coal Prices'!AS525</f>
        <v>3.1227902852214982</v>
      </c>
      <c r="AE252" s="4">
        <f>'[30]Predicted Coke Prices'!AS483</f>
        <v>6.7943676331718317</v>
      </c>
      <c r="AF252" s="4">
        <f>'[31]Predicted Other Prices'!AT483</f>
        <v>2.1109762053899517</v>
      </c>
      <c r="AH252" s="115">
        <f t="shared" si="90"/>
        <v>5.0443044712115199</v>
      </c>
      <c r="AI252" s="4">
        <f>'[32]Quantity Shares_1998 forward'!AH252</f>
        <v>5.0183551036069218</v>
      </c>
    </row>
    <row r="253" spans="4:35" x14ac:dyDescent="0.2">
      <c r="D253">
        <f>[13]Quantity_shares!BB479</f>
        <v>2009</v>
      </c>
      <c r="E253" t="str">
        <f>[13]Quantity_shares!BC479</f>
        <v>331</v>
      </c>
      <c r="F253" s="26">
        <f>[13]Quantity_shares!BD479</f>
        <v>0.43438555586373584</v>
      </c>
      <c r="G253" s="26">
        <f>[13]Quantity_shares!BE479</f>
        <v>1.0831368683816902E-2</v>
      </c>
      <c r="H253" s="26">
        <f>[13]Quantity_shares!BF479</f>
        <v>0.30675463838892136</v>
      </c>
      <c r="I253" s="26">
        <f>[13]Quantity_shares!BG479</f>
        <v>0.2480284370635259</v>
      </c>
      <c r="Q253" s="26">
        <f t="shared" ref="Q253:W253" si="142">0.25*Q190+0.75*Q274</f>
        <v>6.1669835047697642E-3</v>
      </c>
      <c r="R253" s="26">
        <f t="shared" si="142"/>
        <v>9.0501488402251768E-3</v>
      </c>
      <c r="S253" s="26">
        <f t="shared" si="142"/>
        <v>0.60389987179109317</v>
      </c>
      <c r="T253" s="26">
        <f t="shared" si="142"/>
        <v>3.579779343138122E-3</v>
      </c>
      <c r="U253" s="26">
        <f t="shared" si="142"/>
        <v>2.4723503492587465E-2</v>
      </c>
      <c r="V253" s="26">
        <f t="shared" si="142"/>
        <v>0.29459219988800145</v>
      </c>
      <c r="W253" s="26">
        <f t="shared" si="142"/>
        <v>5.7987513140184896E-2</v>
      </c>
      <c r="X253" s="26">
        <f t="shared" si="87"/>
        <v>1</v>
      </c>
      <c r="Z253" s="4">
        <f>'[25]Predicted Residual Prices'!AS526</f>
        <v>10.239170649396748</v>
      </c>
      <c r="AA253" s="4">
        <f>'[26]Predicted Distillate Prices'!AS526</f>
        <v>18.383893704428957</v>
      </c>
      <c r="AB253" s="4">
        <f>'[27]Predicted Gas Prices'!AR526</f>
        <v>6.6855402488785485</v>
      </c>
      <c r="AC253" s="4">
        <f>'[28]Predicted LPG Prices'!AS526</f>
        <v>19.972636294075457</v>
      </c>
      <c r="AD253" s="4">
        <f>'[29]Predicted Coal Prices'!AS526</f>
        <v>4.6189736377068558</v>
      </c>
      <c r="AE253" s="4">
        <f>'[30]Predicted Coke Prices'!AS484</f>
        <v>10.211595769986062</v>
      </c>
      <c r="AF253" s="4">
        <f>'[31]Predicted Other Prices'!AT484</f>
        <v>3.7487204010067572</v>
      </c>
      <c r="AH253" s="115">
        <f t="shared" si="90"/>
        <v>7.6782489473942812</v>
      </c>
      <c r="AI253" s="4">
        <f>'[32]Quantity Shares_1998 forward'!AH253</f>
        <v>7.2566381784884468</v>
      </c>
    </row>
    <row r="254" spans="4:35" x14ac:dyDescent="0.2">
      <c r="D254">
        <f>[13]Quantity_shares!BB480</f>
        <v>2009</v>
      </c>
      <c r="E254" t="str">
        <f>[13]Quantity_shares!BC480</f>
        <v>332</v>
      </c>
      <c r="F254" s="26">
        <f>[13]Quantity_shares!BD480</f>
        <v>0.93964665731140751</v>
      </c>
      <c r="G254" s="26">
        <f>[13]Quantity_shares!BE480</f>
        <v>1.6262483140097275E-2</v>
      </c>
      <c r="H254" s="26">
        <f>[13]Quantity_shares!BF480</f>
        <v>1.3918786359487186E-3</v>
      </c>
      <c r="I254" s="26">
        <f>[13]Quantity_shares!BG480</f>
        <v>4.2698980912546494E-2</v>
      </c>
      <c r="Q254" s="26">
        <f t="shared" ref="Q254:W254" si="143">0.25*Q191+0.75*Q275</f>
        <v>9.3058957463690631E-4</v>
      </c>
      <c r="R254" s="26">
        <f t="shared" si="143"/>
        <v>1.5046400110394317E-2</v>
      </c>
      <c r="S254" s="26">
        <f t="shared" si="143"/>
        <v>0.94319867526822376</v>
      </c>
      <c r="T254" s="26">
        <f t="shared" si="143"/>
        <v>2.5737399523924519E-2</v>
      </c>
      <c r="U254" s="26">
        <f t="shared" si="143"/>
        <v>4.3554006968641126E-4</v>
      </c>
      <c r="V254" s="26">
        <f t="shared" si="143"/>
        <v>2.9702970297029703E-3</v>
      </c>
      <c r="W254" s="26">
        <f t="shared" si="143"/>
        <v>1.1681098423431194E-2</v>
      </c>
      <c r="X254" s="26">
        <f t="shared" si="87"/>
        <v>1</v>
      </c>
      <c r="Z254" s="4">
        <f>'[25]Predicted Residual Prices'!AS527</f>
        <v>7.124236307409225</v>
      </c>
      <c r="AA254" s="4">
        <f>'[26]Predicted Distillate Prices'!AS527</f>
        <v>17.489090505834881</v>
      </c>
      <c r="AB254" s="4">
        <f>'[27]Predicted Gas Prices'!AR527</f>
        <v>6.8347440465588889</v>
      </c>
      <c r="AC254" s="4">
        <f>'[28]Predicted LPG Prices'!AS527</f>
        <v>28.178885993012312</v>
      </c>
      <c r="AD254" s="4">
        <f>'[29]Predicted Coal Prices'!AS527</f>
        <v>4.9334151944251738</v>
      </c>
      <c r="AE254" s="4">
        <f>'[30]Predicted Coke Prices'!AS485</f>
        <v>8.7585154406147918</v>
      </c>
      <c r="AF254" s="4">
        <f>'[31]Predicted Other Prices'!AT485</f>
        <v>8.6579424055826433</v>
      </c>
      <c r="AH254" s="115">
        <f t="shared" si="90"/>
        <v>7.5708487405850624</v>
      </c>
      <c r="AI254" s="4">
        <f>'[32]Quantity Shares_1998 forward'!AH254</f>
        <v>7.1174055689334139</v>
      </c>
    </row>
    <row r="255" spans="4:35" x14ac:dyDescent="0.2">
      <c r="D255">
        <f>[13]Quantity_shares!BB481</f>
        <v>2009</v>
      </c>
      <c r="E255" t="str">
        <f>[13]Quantity_shares!BC481</f>
        <v>333</v>
      </c>
      <c r="F255" s="26">
        <f>[13]Quantity_shares!BD481</f>
        <v>0.91468096649000552</v>
      </c>
      <c r="G255" s="26">
        <f>[13]Quantity_shares!BE481</f>
        <v>3.9112381588281939E-2</v>
      </c>
      <c r="H255" s="26">
        <f>[13]Quantity_shares!BF481</f>
        <v>3.6584178386123052E-3</v>
      </c>
      <c r="I255" s="26">
        <f>[13]Quantity_shares!BG481</f>
        <v>4.2548234083100336E-2</v>
      </c>
      <c r="Q255" s="26">
        <f t="shared" ref="Q255:W255" si="144">0.25*Q192+0.75*Q276</f>
        <v>3.6609346889251498E-3</v>
      </c>
      <c r="R255" s="26">
        <f t="shared" si="144"/>
        <v>3.4559223463453415E-2</v>
      </c>
      <c r="S255" s="26">
        <f t="shared" si="144"/>
        <v>0.91646793021212503</v>
      </c>
      <c r="T255" s="26">
        <f t="shared" si="144"/>
        <v>2.7519769047320196E-2</v>
      </c>
      <c r="U255" s="26">
        <f t="shared" si="144"/>
        <v>2.6881720430107529E-3</v>
      </c>
      <c r="V255" s="26">
        <f t="shared" si="144"/>
        <v>0</v>
      </c>
      <c r="W255" s="26">
        <f t="shared" si="144"/>
        <v>1.5103970545165475E-2</v>
      </c>
      <c r="X255" s="26">
        <f t="shared" si="87"/>
        <v>1</v>
      </c>
      <c r="Z255" s="4">
        <f>'[25]Predicted Residual Prices'!AS528</f>
        <v>8.1019305156798893</v>
      </c>
      <c r="AA255" s="4">
        <f>'[26]Predicted Distillate Prices'!AS528</f>
        <v>18.821736624601023</v>
      </c>
      <c r="AB255" s="4">
        <f>'[27]Predicted Gas Prices'!AR528</f>
        <v>7.2271749092427173</v>
      </c>
      <c r="AC255" s="4">
        <f>'[28]Predicted LPG Prices'!AS528</f>
        <v>26.258440500716002</v>
      </c>
      <c r="AD255" s="4">
        <f>'[29]Predicted Coal Prices'!AS528</f>
        <v>3.4259078172398647</v>
      </c>
      <c r="AE255" s="4">
        <f>'[30]Predicted Coke Prices'!AS486</f>
        <v>0</v>
      </c>
      <c r="AF255" s="4">
        <f>'[31]Predicted Other Prices'!AT486</f>
        <v>12.064296933063428</v>
      </c>
      <c r="AH255" s="115">
        <f t="shared" si="90"/>
        <v>8.2176537040705018</v>
      </c>
      <c r="AI255" s="4">
        <f>'[32]Quantity Shares_1998 forward'!AH255</f>
        <v>9.0411959350729099</v>
      </c>
    </row>
    <row r="256" spans="4:35" x14ac:dyDescent="0.2">
      <c r="D256">
        <f>[13]Quantity_shares!BB482</f>
        <v>2009</v>
      </c>
      <c r="E256" t="str">
        <f>[13]Quantity_shares!BC482</f>
        <v>334</v>
      </c>
      <c r="F256" s="26">
        <f>[13]Quantity_shares!BD482</f>
        <v>0.95851293103448276</v>
      </c>
      <c r="G256" s="26">
        <f>[13]Quantity_shares!BE482</f>
        <v>2.1605603448275862E-2</v>
      </c>
      <c r="H256" s="26">
        <f>[13]Quantity_shares!BF482</f>
        <v>5.2083333333333333E-4</v>
      </c>
      <c r="I256" s="26">
        <f>[13]Quantity_shares!BG482</f>
        <v>1.9360632183908044E-2</v>
      </c>
      <c r="Q256" s="26">
        <f t="shared" ref="Q256:W256" si="145">0.25*Q193+0.75*Q277</f>
        <v>2.2943668993020937E-3</v>
      </c>
      <c r="R256" s="26">
        <f t="shared" si="145"/>
        <v>7.061316051844466E-3</v>
      </c>
      <c r="S256" s="26">
        <f t="shared" si="145"/>
        <v>0.97952392821535372</v>
      </c>
      <c r="T256" s="26">
        <f t="shared" si="145"/>
        <v>2.2943668993020937E-3</v>
      </c>
      <c r="U256" s="26">
        <f t="shared" si="145"/>
        <v>0</v>
      </c>
      <c r="V256" s="26">
        <f t="shared" si="145"/>
        <v>0</v>
      </c>
      <c r="W256" s="26">
        <f t="shared" si="145"/>
        <v>8.8260219341974068E-3</v>
      </c>
      <c r="X256" s="26">
        <f t="shared" si="87"/>
        <v>0.99999999999999978</v>
      </c>
      <c r="Z256" s="4">
        <f>'[25]Predicted Residual Prices'!AS529</f>
        <v>14.575437251260311</v>
      </c>
      <c r="AA256" s="4">
        <f>'[26]Predicted Distillate Prices'!AS529</f>
        <v>15.228642212989911</v>
      </c>
      <c r="AB256" s="4">
        <f>'[27]Predicted Gas Prices'!AR529</f>
        <v>7.8497665734824738</v>
      </c>
      <c r="AC256" s="4">
        <f>'[28]Predicted LPG Prices'!AS529</f>
        <v>19.757392845377439</v>
      </c>
      <c r="AD256" s="4">
        <f>'[29]Predicted Coal Prices'!AS529</f>
        <v>4.9576993035029782</v>
      </c>
      <c r="AE256" s="4">
        <f>'[30]Predicted Coke Prices'!AS487</f>
        <v>0</v>
      </c>
      <c r="AF256" s="4">
        <f>'[31]Predicted Other Prices'!AT487</f>
        <v>11.384476823326143</v>
      </c>
      <c r="AH256" s="115">
        <f t="shared" si="90"/>
        <v>7.9758201964226387</v>
      </c>
      <c r="AI256" s="4">
        <f>'[32]Quantity Shares_1998 forward'!AH256</f>
        <v>8.5891646608032115</v>
      </c>
    </row>
    <row r="257" spans="4:35" x14ac:dyDescent="0.2">
      <c r="D257">
        <f>[13]Quantity_shares!BB483</f>
        <v>2009</v>
      </c>
      <c r="E257" t="str">
        <f>[13]Quantity_shares!BC483</f>
        <v>335</v>
      </c>
      <c r="F257" s="26">
        <f>[13]Quantity_shares!BD483</f>
        <v>0.93801925557121857</v>
      </c>
      <c r="G257" s="26">
        <f>[13]Quantity_shares!BE483</f>
        <v>2.3522089919318555E-2</v>
      </c>
      <c r="H257" s="26">
        <f>[13]Quantity_shares!BF483</f>
        <v>6.9988902552412949E-3</v>
      </c>
      <c r="I257" s="26">
        <f>[13]Quantity_shares!BG483</f>
        <v>3.1459764254221527E-2</v>
      </c>
      <c r="Q257" s="26">
        <f t="shared" ref="Q257:W257" si="146">0.25*Q194+0.75*Q278</f>
        <v>9.791122715404701E-4</v>
      </c>
      <c r="R257" s="26">
        <f t="shared" si="146"/>
        <v>2.5355917486236654E-2</v>
      </c>
      <c r="S257" s="26">
        <f t="shared" si="146"/>
        <v>0.94168138978165572</v>
      </c>
      <c r="T257" s="26">
        <f t="shared" si="146"/>
        <v>2.5355917486236654E-2</v>
      </c>
      <c r="U257" s="26">
        <f t="shared" si="146"/>
        <v>0</v>
      </c>
      <c r="V257" s="26">
        <f t="shared" si="146"/>
        <v>9.791122715404701E-4</v>
      </c>
      <c r="W257" s="26">
        <f t="shared" si="146"/>
        <v>5.6485507027900558E-3</v>
      </c>
      <c r="X257" s="26">
        <f t="shared" si="87"/>
        <v>1</v>
      </c>
      <c r="Z257" s="4">
        <f>'[25]Predicted Residual Prices'!AS530</f>
        <v>18.285126748653248</v>
      </c>
      <c r="AA257" s="4">
        <f>'[26]Predicted Distillate Prices'!AS530</f>
        <v>23.090783478722425</v>
      </c>
      <c r="AB257" s="4">
        <f>'[27]Predicted Gas Prices'!AR530</f>
        <v>7.4568571716223815</v>
      </c>
      <c r="AC257" s="4">
        <f>'[28]Predicted LPG Prices'!AS530</f>
        <v>17.476385887847272</v>
      </c>
      <c r="AD257" s="4">
        <f>'[29]Predicted Coal Prices'!AS530</f>
        <v>4.7034766898255969</v>
      </c>
      <c r="AE257" s="4">
        <f>'[30]Predicted Coke Prices'!AS488</f>
        <v>0</v>
      </c>
      <c r="AF257" s="4">
        <f>'[31]Predicted Other Prices'!AT488</f>
        <v>7.2343776268942648</v>
      </c>
      <c r="AH257" s="115">
        <f t="shared" si="90"/>
        <v>8.1093683647005204</v>
      </c>
      <c r="AI257" s="4">
        <f>'[32]Quantity Shares_1998 forward'!AH257</f>
        <v>7.1179249092397745</v>
      </c>
    </row>
    <row r="258" spans="4:35" x14ac:dyDescent="0.2">
      <c r="D258">
        <f>[13]Quantity_shares!BB484</f>
        <v>2009</v>
      </c>
      <c r="E258" t="str">
        <f>[13]Quantity_shares!BC484</f>
        <v>336</v>
      </c>
      <c r="F258" s="26">
        <f>[13]Quantity_shares!BD484</f>
        <v>0.88542852496340863</v>
      </c>
      <c r="G258" s="26">
        <f>[13]Quantity_shares!BE484</f>
        <v>3.5032796660703636E-2</v>
      </c>
      <c r="H258" s="26">
        <f>[13]Quantity_shares!BF484</f>
        <v>2.0138775952729442E-2</v>
      </c>
      <c r="I258" s="26">
        <f>[13]Quantity_shares!BG484</f>
        <v>5.9399902423158235E-2</v>
      </c>
      <c r="Q258" s="26">
        <f t="shared" ref="Q258:W258" si="147">0.25*Q195+0.75*Q279</f>
        <v>1.6717268496627927E-2</v>
      </c>
      <c r="R258" s="26">
        <f t="shared" si="147"/>
        <v>1.8403304880173207E-2</v>
      </c>
      <c r="S258" s="26">
        <f t="shared" si="147"/>
        <v>0.8876141651942363</v>
      </c>
      <c r="T258" s="26">
        <f t="shared" si="147"/>
        <v>1.9292984595475699E-2</v>
      </c>
      <c r="U258" s="26">
        <f t="shared" si="147"/>
        <v>2.0182664310778191E-2</v>
      </c>
      <c r="V258" s="26">
        <f t="shared" si="147"/>
        <v>8.8967971530249117E-5</v>
      </c>
      <c r="W258" s="26">
        <f t="shared" si="147"/>
        <v>3.7789612522708606E-2</v>
      </c>
      <c r="X258" s="26">
        <f t="shared" si="87"/>
        <v>1.0000889679715301</v>
      </c>
      <c r="Z258" s="4">
        <f>'[25]Predicted Residual Prices'!AS531</f>
        <v>9.8939222841463899</v>
      </c>
      <c r="AA258" s="4">
        <f>'[26]Predicted Distillate Prices'!AS531</f>
        <v>17.3271683808156</v>
      </c>
      <c r="AB258" s="4">
        <f>'[27]Predicted Gas Prices'!AR531</f>
        <v>5.9225207549409991</v>
      </c>
      <c r="AC258" s="4">
        <f>'[28]Predicted LPG Prices'!AS531</f>
        <v>25.281344892732015</v>
      </c>
      <c r="AD258" s="4">
        <f>'[29]Predicted Coal Prices'!AS531</f>
        <v>4.5055204167041545</v>
      </c>
      <c r="AE258" s="4">
        <f>'[30]Predicted Coke Prices'!AS489</f>
        <v>0</v>
      </c>
      <c r="AF258" s="4">
        <f>'[31]Predicted Other Prices'!AT489</f>
        <v>8.2410520838183761</v>
      </c>
      <c r="AH258" s="115">
        <f t="shared" si="90"/>
        <v>6.6313020021846265</v>
      </c>
      <c r="AI258" s="4">
        <f>'[32]Quantity Shares_1998 forward'!AH258</f>
        <v>6.6784025454850466</v>
      </c>
    </row>
    <row r="259" spans="4:35" x14ac:dyDescent="0.2">
      <c r="D259">
        <f>[13]Quantity_shares!BB485</f>
        <v>2009</v>
      </c>
      <c r="E259" t="str">
        <f>[13]Quantity_shares!BC485</f>
        <v>337</v>
      </c>
      <c r="F259" s="26">
        <f>[13]Quantity_shares!BD485</f>
        <v>0.658521719858156</v>
      </c>
      <c r="G259" s="26">
        <f>[13]Quantity_shares!BE485</f>
        <v>1.4018173758865247E-2</v>
      </c>
      <c r="H259" s="26">
        <f>[13]Quantity_shares!BF485</f>
        <v>6.1225620567375891E-2</v>
      </c>
      <c r="I259" s="26">
        <f>[13]Quantity_shares!BG485</f>
        <v>0.26623448581560283</v>
      </c>
      <c r="Q259" s="26">
        <f t="shared" ref="Q259:W259" si="148">0.25*Q196+0.75*Q280</f>
        <v>2.242152466367713E-3</v>
      </c>
      <c r="R259" s="26">
        <f t="shared" si="148"/>
        <v>5.7223032270488881E-3</v>
      </c>
      <c r="S259" s="26">
        <f t="shared" si="148"/>
        <v>0.78874246884370969</v>
      </c>
      <c r="T259" s="26">
        <f t="shared" si="148"/>
        <v>5.7223032270488881E-2</v>
      </c>
      <c r="U259" s="26">
        <f t="shared" si="148"/>
        <v>4.2834740983245759E-2</v>
      </c>
      <c r="V259" s="26">
        <f t="shared" si="148"/>
        <v>0</v>
      </c>
      <c r="W259" s="26">
        <f t="shared" si="148"/>
        <v>0.10323530220913921</v>
      </c>
      <c r="X259" s="26">
        <f t="shared" si="87"/>
        <v>1.0000000000000002</v>
      </c>
      <c r="Z259" s="4">
        <f>'[25]Predicted Residual Prices'!AS532</f>
        <v>11.524601834567338</v>
      </c>
      <c r="AA259" s="4">
        <f>'[26]Predicted Distillate Prices'!AS532</f>
        <v>22.200270058649846</v>
      </c>
      <c r="AB259" s="4">
        <f>'[27]Predicted Gas Prices'!AR532</f>
        <v>8.0034776566268988</v>
      </c>
      <c r="AC259" s="4">
        <f>'[28]Predicted LPG Prices'!AS532</f>
        <v>24.042018632854493</v>
      </c>
      <c r="AD259" s="4">
        <f>'[29]Predicted Coal Prices'!AS532</f>
        <v>2.4955844881170637</v>
      </c>
      <c r="AE259" s="4">
        <f>'[30]Predicted Coke Prices'!AS490</f>
        <v>0</v>
      </c>
      <c r="AF259" s="4">
        <f>'[31]Predicted Other Prices'!AT490</f>
        <v>3.0293349339332281</v>
      </c>
      <c r="AH259" s="115">
        <f t="shared" si="90"/>
        <v>8.2609485482717471</v>
      </c>
      <c r="AI259" s="4">
        <f>'[32]Quantity Shares_1998 forward'!AH259</f>
        <v>8.1975159262722013</v>
      </c>
    </row>
    <row r="260" spans="4:35" x14ac:dyDescent="0.2">
      <c r="D260">
        <f>[13]Quantity_shares!BB486</f>
        <v>2009</v>
      </c>
      <c r="E260" t="str">
        <f>[13]Quantity_shares!BC486</f>
        <v>339</v>
      </c>
      <c r="F260" s="26">
        <f>[13]Quantity_shares!BD486</f>
        <v>0.87995308552869012</v>
      </c>
      <c r="G260" s="26">
        <f>[13]Quantity_shares!BE486</f>
        <v>7.53699025622519E-2</v>
      </c>
      <c r="H260" s="26">
        <f>[13]Quantity_shares!BF486</f>
        <v>5.1786358715265263E-3</v>
      </c>
      <c r="I260" s="26">
        <f>[13]Quantity_shares!BG486</f>
        <v>3.9498376037531389E-2</v>
      </c>
      <c r="Q260" s="26">
        <f t="shared" ref="Q260:W260" si="149">0.25*Q197+0.75*Q281</f>
        <v>2.3541114058355437E-2</v>
      </c>
      <c r="R260" s="26">
        <f t="shared" si="149"/>
        <v>5.0795755968169744E-2</v>
      </c>
      <c r="S260" s="26">
        <f t="shared" si="149"/>
        <v>0.88196286472148511</v>
      </c>
      <c r="T260" s="26">
        <f t="shared" si="149"/>
        <v>1.2002652519893898E-2</v>
      </c>
      <c r="U260" s="26">
        <f t="shared" si="149"/>
        <v>4.3103448275862051E-3</v>
      </c>
      <c r="V260" s="26">
        <f t="shared" si="149"/>
        <v>0</v>
      </c>
      <c r="W260" s="26">
        <f t="shared" si="149"/>
        <v>2.7387267904509283E-2</v>
      </c>
      <c r="X260" s="26">
        <f>0.25*X197+0.75*X281</f>
        <v>0.99999999999999978</v>
      </c>
      <c r="Z260" s="4">
        <f>'[25]Predicted Residual Prices'!AS533</f>
        <v>14.639039899684946</v>
      </c>
      <c r="AA260" s="4">
        <f>'[26]Predicted Distillate Prices'!AS533</f>
        <v>22.621910303937934</v>
      </c>
      <c r="AB260" s="4">
        <f>'[27]Predicted Gas Prices'!AR533</f>
        <v>7.6974993066104593</v>
      </c>
      <c r="AC260" s="4">
        <f>'[28]Predicted LPG Prices'!AS533</f>
        <v>30.718827213209348</v>
      </c>
      <c r="AD260" s="4">
        <f>'[29]Predicted Coal Prices'!AS533</f>
        <v>3.6964049050482952</v>
      </c>
      <c r="AE260" s="4">
        <f>'[30]Predicted Coke Prices'!AS491</f>
        <v>0</v>
      </c>
      <c r="AF260" s="4">
        <f>'[31]Predicted Other Prices'!AT491</f>
        <v>5.0615248607655143</v>
      </c>
      <c r="AH260" s="115">
        <f t="shared" si="90"/>
        <v>8.8058864089548319</v>
      </c>
      <c r="AI260" s="4">
        <f>'[32]Quantity Shares_1998 forward'!AH260</f>
        <v>8.5231460816951845</v>
      </c>
    </row>
    <row r="261" spans="4:35" x14ac:dyDescent="0.2">
      <c r="D261">
        <f>[13]Quantity_shares!BB487</f>
        <v>2010</v>
      </c>
      <c r="E261" t="str">
        <f>[13]Quantity_shares!BC487</f>
        <v>311</v>
      </c>
      <c r="F261" s="28">
        <f>[13]Quantity_shares!BD487</f>
        <v>0.64190687361419074</v>
      </c>
      <c r="G261" s="28">
        <f>[13]Quantity_shares!BE487</f>
        <v>3.7694013303769404E-2</v>
      </c>
      <c r="H261" s="28">
        <f>[13]Quantity_shares!BF487</f>
        <v>0.2039911308203991</v>
      </c>
      <c r="I261" s="28">
        <f>[13]Quantity_shares!BG487</f>
        <v>0.1164079822616408</v>
      </c>
      <c r="P261">
        <v>2010</v>
      </c>
      <c r="Q261" s="31">
        <f>MECS_data!AR90</f>
        <v>1.4018691588785047E-2</v>
      </c>
      <c r="R261" s="31">
        <f>MECS_data!AS90</f>
        <v>2.5700934579439252E-2</v>
      </c>
      <c r="S261" s="31">
        <f>MECS_data!AT90</f>
        <v>0.67640186915887845</v>
      </c>
      <c r="T261" s="31">
        <f>MECS_data!AU90</f>
        <v>5.8411214953271026E-3</v>
      </c>
      <c r="U261" s="31">
        <f>MECS_data!AV90</f>
        <v>0.21261682242990654</v>
      </c>
      <c r="V261" s="31">
        <f>MECS_data!AW90</f>
        <v>2.3364485981308409E-3</v>
      </c>
      <c r="W261" s="31">
        <f>MECS_data!AX90</f>
        <v>6.3084112149532703E-2</v>
      </c>
      <c r="X261" s="31">
        <f>MECS_data!AY90</f>
        <v>1</v>
      </c>
      <c r="Z261" s="4">
        <f>'[25]Predicted Residual Prices'!AS534</f>
        <v>11.16</v>
      </c>
      <c r="AA261" s="4">
        <f>'[26]Predicted Distillate Prices'!AS534</f>
        <v>18.62</v>
      </c>
      <c r="AB261" s="4">
        <f>'[27]Predicted Gas Prices'!AR534</f>
        <v>5.85</v>
      </c>
      <c r="AC261" s="4">
        <f>'[28]Predicted LPG Prices'!AS534</f>
        <v>19.04</v>
      </c>
      <c r="AD261" s="4">
        <f>'[29]Predicted Coal Prices'!AS534</f>
        <v>2.41</v>
      </c>
      <c r="AE261" s="4">
        <f>'[30]Predicted Coke Prices'!AS492</f>
        <v>15.96</v>
      </c>
      <c r="AF261" s="4">
        <f>'[31]Predicted Other Prices'!AT492</f>
        <v>5</v>
      </c>
      <c r="AG261">
        <v>2010</v>
      </c>
      <c r="AH261" s="115">
        <f t="shared" si="90"/>
        <v>5.5682827102803731</v>
      </c>
      <c r="AI261" s="4">
        <f>'[32]Quantity Shares_1998 forward'!AH261</f>
        <v>5.5682827102803731</v>
      </c>
    </row>
    <row r="262" spans="4:35" x14ac:dyDescent="0.2">
      <c r="D262">
        <f>[13]Quantity_shares!BB488</f>
        <v>2010</v>
      </c>
      <c r="E262" t="str">
        <f>[13]Quantity_shares!BC488</f>
        <v>312</v>
      </c>
      <c r="F262" s="28">
        <f>[13]Quantity_shares!BD488</f>
        <v>0.65517241379310343</v>
      </c>
      <c r="G262" s="28">
        <f>[13]Quantity_shares!BE488</f>
        <v>3.4482758620689655E-2</v>
      </c>
      <c r="H262" s="28">
        <f>[13]Quantity_shares!BF488</f>
        <v>0.17241379310344829</v>
      </c>
      <c r="I262" s="28">
        <f>[13]Quantity_shares!BG488</f>
        <v>0.13793103448275862</v>
      </c>
      <c r="Q262" s="31">
        <f>MECS_data!AR91</f>
        <v>1.7857142857142856E-2</v>
      </c>
      <c r="R262" s="31">
        <f>MECS_data!AS91</f>
        <v>1.7857142857142856E-2</v>
      </c>
      <c r="S262" s="31">
        <f>MECS_data!AT91</f>
        <v>0.6785714285714286</v>
      </c>
      <c r="T262" s="31">
        <f>MECS_data!AU91</f>
        <v>1.7857142857142856E-2</v>
      </c>
      <c r="U262" s="31">
        <f>MECS_data!AV91</f>
        <v>0.17857142857142858</v>
      </c>
      <c r="V262" s="31">
        <f>MECS_data!AW91</f>
        <v>0</v>
      </c>
      <c r="W262" s="31">
        <f>MECS_data!AX91</f>
        <v>8.9285714285714288E-2</v>
      </c>
      <c r="X262" s="31">
        <f>MECS_data!AY91</f>
        <v>1</v>
      </c>
      <c r="Z262" s="4">
        <f>'[25]Predicted Residual Prices'!AS535</f>
        <v>11.02</v>
      </c>
      <c r="AA262" s="4">
        <f>'[26]Predicted Distillate Prices'!AS535</f>
        <v>13</v>
      </c>
      <c r="AB262" s="4">
        <f>'[27]Predicted Gas Prices'!AR535</f>
        <v>6.48</v>
      </c>
      <c r="AC262" s="4">
        <f>'[28]Predicted LPG Prices'!AS535</f>
        <v>20.32</v>
      </c>
      <c r="AD262" s="4">
        <f>'[29]Predicted Coal Prices'!AS535</f>
        <v>4.29</v>
      </c>
      <c r="AE262" s="4">
        <f>'[30]Predicted Coke Prices'!AS493</f>
        <v>0</v>
      </c>
      <c r="AF262" s="4">
        <f>'[31]Predicted Other Prices'!AT493</f>
        <v>7</v>
      </c>
      <c r="AH262" s="115">
        <f t="shared" si="90"/>
        <v>6.58</v>
      </c>
      <c r="AI262" s="4">
        <f>'[32]Quantity Shares_1998 forward'!AH262</f>
        <v>6.58</v>
      </c>
    </row>
    <row r="263" spans="4:35" x14ac:dyDescent="0.2">
      <c r="D263">
        <f>[13]Quantity_shares!BB489</f>
        <v>2010</v>
      </c>
      <c r="E263" t="str">
        <f>[13]Quantity_shares!BC489</f>
        <v>313</v>
      </c>
      <c r="F263" s="28">
        <f>[13]Quantity_shares!BD489</f>
        <v>0.62</v>
      </c>
      <c r="G263" s="28">
        <f>[13]Quantity_shares!BE489</f>
        <v>0.08</v>
      </c>
      <c r="H263" s="28">
        <f>[13]Quantity_shares!BF489</f>
        <v>0.16</v>
      </c>
      <c r="I263" s="28">
        <f>[13]Quantity_shares!BG489</f>
        <v>0.14000000000000001</v>
      </c>
      <c r="Q263" s="31">
        <f>MECS_data!AR92</f>
        <v>4.0816326530612242E-2</v>
      </c>
      <c r="R263" s="31">
        <f>MECS_data!AS92</f>
        <v>2.0408163265306121E-2</v>
      </c>
      <c r="S263" s="31">
        <f>MECS_data!AT92</f>
        <v>0.63265306122448983</v>
      </c>
      <c r="T263" s="31">
        <f>MECS_data!AU92</f>
        <v>2.0408163265306121E-2</v>
      </c>
      <c r="U263" s="31">
        <f>MECS_data!AV92</f>
        <v>0.16326530612244897</v>
      </c>
      <c r="V263" s="31">
        <f>MECS_data!AW92</f>
        <v>0</v>
      </c>
      <c r="W263" s="31">
        <f>MECS_data!AX92</f>
        <v>0.12244897959183673</v>
      </c>
      <c r="X263" s="31">
        <f>MECS_data!AY92</f>
        <v>1</v>
      </c>
      <c r="Z263" s="4">
        <f>'[25]Predicted Residual Prices'!AS536</f>
        <v>13.84</v>
      </c>
      <c r="AA263" s="4">
        <f>'[26]Predicted Distillate Prices'!AS536</f>
        <v>16.940000000000001</v>
      </c>
      <c r="AB263" s="4">
        <f>'[27]Predicted Gas Prices'!AR536</f>
        <v>6.95</v>
      </c>
      <c r="AC263" s="4">
        <f>'[28]Predicted LPG Prices'!AS536</f>
        <v>17.899999999999999</v>
      </c>
      <c r="AD263" s="4">
        <f>'[29]Predicted Coal Prices'!AS536</f>
        <v>4.67</v>
      </c>
      <c r="AE263" s="4">
        <f>'[30]Predicted Coke Prices'!AS494</f>
        <v>0</v>
      </c>
      <c r="AF263" s="4">
        <f>'[31]Predicted Other Prices'!AT494</f>
        <v>5.4285714285714288</v>
      </c>
      <c r="AH263" s="115">
        <f t="shared" si="90"/>
        <v>7.1000291545189507</v>
      </c>
      <c r="AI263" s="4">
        <f>'[32]Quantity Shares_1998 forward'!AH263</f>
        <v>7.1000291545189507</v>
      </c>
    </row>
    <row r="264" spans="4:35" x14ac:dyDescent="0.2">
      <c r="D264">
        <f>[13]Quantity_shares!BB490</f>
        <v>2010</v>
      </c>
      <c r="E264" t="str">
        <f>[13]Quantity_shares!BC490</f>
        <v>314</v>
      </c>
      <c r="F264" s="28">
        <f>[13]Quantity_shares!BD490</f>
        <v>0.75</v>
      </c>
      <c r="G264" s="28">
        <f>[13]Quantity_shares!BE490</f>
        <v>6.6666666666666666E-2</v>
      </c>
      <c r="H264" s="28">
        <f>[13]Quantity_shares!BF490</f>
        <v>0.14166666666666666</v>
      </c>
      <c r="I264" s="28">
        <f>[13]Quantity_shares!BG490</f>
        <v>4.1666666666666664E-2</v>
      </c>
      <c r="Q264" s="31">
        <f>MECS_data!AR93</f>
        <v>8.6206896551724137E-3</v>
      </c>
      <c r="R264" s="31">
        <f>MECS_data!AS93</f>
        <v>8.6206896551724137E-3</v>
      </c>
      <c r="S264" s="31">
        <f>MECS_data!AT93</f>
        <v>0.77586206896551724</v>
      </c>
      <c r="T264" s="31">
        <f>MECS_data!AU93</f>
        <v>8.6206896551724137E-3</v>
      </c>
      <c r="U264" s="31">
        <f>MECS_data!AV93</f>
        <v>0.17241379310344829</v>
      </c>
      <c r="V264" s="31">
        <f>MECS_data!AW93</f>
        <v>0</v>
      </c>
      <c r="W264" s="31">
        <f>MECS_data!AX93</f>
        <v>2.5862068965517241E-2</v>
      </c>
      <c r="X264" s="31">
        <f>MECS_data!AY93</f>
        <v>1</v>
      </c>
      <c r="Z264" s="4">
        <f>'[25]Predicted Residual Prices'!AS537</f>
        <v>17.64</v>
      </c>
      <c r="AA264" s="4">
        <f>'[26]Predicted Distillate Prices'!AS537</f>
        <v>14.42</v>
      </c>
      <c r="AB264" s="4">
        <f>'[27]Predicted Gas Prices'!AR537</f>
        <v>6.77</v>
      </c>
      <c r="AC264" s="4">
        <f>'[28]Predicted LPG Prices'!AS537</f>
        <v>18.53</v>
      </c>
      <c r="AD264" s="4">
        <f>'[29]Predicted Coal Prices'!AS537</f>
        <v>3.65</v>
      </c>
      <c r="AE264" s="4">
        <f>'[30]Predicted Coke Prices'!AS495</f>
        <v>0</v>
      </c>
      <c r="AF264" s="4">
        <f>'[31]Predicted Other Prices'!AT495</f>
        <v>5</v>
      </c>
      <c r="AH264" s="115">
        <f t="shared" si="90"/>
        <v>6.4473275862068959</v>
      </c>
      <c r="AI264" s="4">
        <f>'[32]Quantity Shares_1998 forward'!AH264</f>
        <v>6.4473275862068959</v>
      </c>
    </row>
    <row r="265" spans="4:35" x14ac:dyDescent="0.2">
      <c r="D265">
        <f>[13]Quantity_shares!BB491</f>
        <v>2010</v>
      </c>
      <c r="E265" t="str">
        <f>[13]Quantity_shares!BC491</f>
        <v>315</v>
      </c>
      <c r="F265" s="28">
        <f>[13]Quantity_shares!BD491</f>
        <v>0.8</v>
      </c>
      <c r="G265" s="28">
        <f>[13]Quantity_shares!BE491</f>
        <v>0.08</v>
      </c>
      <c r="H265" s="28">
        <f>[13]Quantity_shares!BF491</f>
        <v>0</v>
      </c>
      <c r="I265" s="28">
        <f>[13]Quantity_shares!BG491</f>
        <v>0.12</v>
      </c>
      <c r="Q265" s="31">
        <f>MECS_data!AR94</f>
        <v>0</v>
      </c>
      <c r="R265" s="31">
        <f>MECS_data!AS94</f>
        <v>4.5433893684688781E-2</v>
      </c>
      <c r="S265" s="31">
        <f>MECS_data!AT94</f>
        <v>0.90867787369377551</v>
      </c>
      <c r="T265" s="31">
        <f>MECS_data!AU94</f>
        <v>4.5433893684688781E-2</v>
      </c>
      <c r="U265" s="31">
        <f>MECS_data!AV94</f>
        <v>0</v>
      </c>
      <c r="V265" s="31">
        <f>MECS_data!AW94</f>
        <v>0</v>
      </c>
      <c r="W265" s="31">
        <f>MECS_data!AX94</f>
        <v>4.5433893684688776E-4</v>
      </c>
      <c r="X265" s="31">
        <f>MECS_data!AY94</f>
        <v>0.99999999999999989</v>
      </c>
      <c r="Z265" s="4">
        <f>'[25]Predicted Residual Prices'!AS538</f>
        <v>19</v>
      </c>
      <c r="AA265" s="4">
        <f>'[26]Predicted Distillate Prices'!AS538</f>
        <v>15.3</v>
      </c>
      <c r="AB265" s="4">
        <f>'[27]Predicted Gas Prices'!AR538</f>
        <v>8.6199999999999992</v>
      </c>
      <c r="AC265" s="4">
        <f>'[28]Predicted LPG Prices'!AS538</f>
        <v>23.11</v>
      </c>
      <c r="AD265" s="4">
        <f>'[29]Predicted Coal Prices'!AS538</f>
        <v>3.65</v>
      </c>
      <c r="AE265" s="4">
        <f>'[30]Predicted Coke Prices'!AS496</f>
        <v>0</v>
      </c>
      <c r="AF265" s="4">
        <f>'[31]Predicted Other Prices'!AT496</f>
        <v>5</v>
      </c>
      <c r="AH265" s="115">
        <f t="shared" ref="AH265:AH328" si="150">SUMPRODUCT(Q265:W265,Z265:AF265)</f>
        <v>9.5801908223534742</v>
      </c>
      <c r="AI265" s="4">
        <f>'[32]Quantity Shares_1998 forward'!AH265</f>
        <v>9.5801908223534742</v>
      </c>
    </row>
    <row r="266" spans="4:35" x14ac:dyDescent="0.2">
      <c r="D266">
        <f>[13]Quantity_shares!BB492</f>
        <v>2010</v>
      </c>
      <c r="E266" t="str">
        <f>[13]Quantity_shares!BC492</f>
        <v>316</v>
      </c>
      <c r="F266" s="28">
        <f>[13]Quantity_shares!BD492</f>
        <v>0.47058823529411764</v>
      </c>
      <c r="G266" s="28">
        <f>[13]Quantity_shares!BE492</f>
        <v>5.8823529411764705E-2</v>
      </c>
      <c r="H266" s="28">
        <f>[13]Quantity_shares!BF492</f>
        <v>0</v>
      </c>
      <c r="I266" s="28">
        <f>[13]Quantity_shares!BG492</f>
        <v>0.47058823529411764</v>
      </c>
      <c r="Q266" s="31">
        <f>MECS_data!AR95</f>
        <v>7.6863950807071493E-2</v>
      </c>
      <c r="R266" s="31">
        <f>MECS_data!AS95</f>
        <v>7.6863950807071493E-2</v>
      </c>
      <c r="S266" s="31">
        <f>MECS_data!AT95</f>
        <v>0.76863950807071491</v>
      </c>
      <c r="T266" s="31">
        <f>MECS_data!AU95</f>
        <v>7.6863950807071493E-2</v>
      </c>
      <c r="U266" s="31">
        <f>MECS_data!AV95</f>
        <v>0</v>
      </c>
      <c r="V266" s="31">
        <f>MECS_data!AW95</f>
        <v>0</v>
      </c>
      <c r="W266" s="31">
        <f>MECS_data!AX95</f>
        <v>7.6863950807071484E-4</v>
      </c>
      <c r="X266" s="31">
        <f>MECS_data!AY95</f>
        <v>1.0000000000000002</v>
      </c>
      <c r="Z266" s="4">
        <f>'[25]Predicted Residual Prices'!AS539</f>
        <v>16.05</v>
      </c>
      <c r="AA266" s="4">
        <f>'[26]Predicted Distillate Prices'!AS539</f>
        <v>21.02</v>
      </c>
      <c r="AB266" s="4">
        <f>'[27]Predicted Gas Prices'!AR539</f>
        <v>7.57</v>
      </c>
      <c r="AC266" s="4">
        <f>'[28]Predicted LPG Prices'!AS539</f>
        <v>22.2</v>
      </c>
      <c r="AD266" s="4">
        <f>'[29]Predicted Coal Prices'!AS539</f>
        <v>3.85</v>
      </c>
      <c r="AE266" s="4">
        <f>'[30]Predicted Coke Prices'!AS497</f>
        <v>0</v>
      </c>
      <c r="AF266" s="4">
        <f>'[31]Predicted Other Prices'!AT497</f>
        <v>5</v>
      </c>
      <c r="AH266" s="115">
        <f t="shared" si="150"/>
        <v>10.378170637970793</v>
      </c>
      <c r="AI266" s="4">
        <f>'[32]Quantity Shares_1998 forward'!AH266</f>
        <v>10.378170637970793</v>
      </c>
    </row>
    <row r="267" spans="4:35" x14ac:dyDescent="0.2">
      <c r="D267">
        <f>[13]Quantity_shares!BB493</f>
        <v>2010</v>
      </c>
      <c r="E267" t="str">
        <f>[13]Quantity_shares!BC493</f>
        <v>321</v>
      </c>
      <c r="F267" s="28">
        <f>[13]Quantity_shares!BD493</f>
        <v>8.1456636320076672E-2</v>
      </c>
      <c r="G267" s="28">
        <f>[13]Quantity_shares!BE493</f>
        <v>5.3665548634403447E-2</v>
      </c>
      <c r="H267" s="28">
        <f>[13]Quantity_shares!BF493</f>
        <v>2.3957834211787254E-3</v>
      </c>
      <c r="I267" s="28">
        <f>[13]Quantity_shares!BG493</f>
        <v>0.86248203162434123</v>
      </c>
      <c r="Q267" s="31">
        <f>MECS_data!AR96</f>
        <v>2.3752969121140144E-3</v>
      </c>
      <c r="R267" s="31">
        <f>MECS_data!AS96</f>
        <v>0.10451306413301663</v>
      </c>
      <c r="S267" s="31">
        <f>MECS_data!AT96</f>
        <v>0.16152019002375298</v>
      </c>
      <c r="T267" s="31">
        <f>MECS_data!AU96</f>
        <v>1.4251781472684086E-2</v>
      </c>
      <c r="U267" s="31">
        <f>MECS_data!AV96</f>
        <v>4.7505938242280287E-3</v>
      </c>
      <c r="V267" s="31">
        <f>MECS_data!AW96</f>
        <v>0</v>
      </c>
      <c r="W267" s="31">
        <f>MECS_data!AX96</f>
        <v>0.71258907363420432</v>
      </c>
      <c r="X267" s="31">
        <f>MECS_data!AY96</f>
        <v>1</v>
      </c>
      <c r="Z267" s="4">
        <f>'[25]Predicted Residual Prices'!AS540</f>
        <v>11.44</v>
      </c>
      <c r="AA267" s="4">
        <f>'[26]Predicted Distillate Prices'!AS540</f>
        <v>16.05</v>
      </c>
      <c r="AB267" s="4">
        <f>'[27]Predicted Gas Prices'!AR540</f>
        <v>6.57</v>
      </c>
      <c r="AC267" s="4">
        <f>'[28]Predicted LPG Prices'!AS540</f>
        <v>19.46</v>
      </c>
      <c r="AD267" s="4">
        <f>'[29]Predicted Coal Prices'!AS540</f>
        <v>5.81</v>
      </c>
      <c r="AE267" s="4">
        <f>'[30]Predicted Coke Prices'!AS498</f>
        <v>0</v>
      </c>
      <c r="AF267" s="4">
        <f>'[31]Predicted Other Prices'!AT498</f>
        <v>2.0877192982456139</v>
      </c>
      <c r="AH267" s="115">
        <f t="shared" si="150"/>
        <v>4.5584223027878483</v>
      </c>
      <c r="AI267" s="4">
        <f>'[32]Quantity Shares_1998 forward'!AH267</f>
        <v>4.5535007579058657</v>
      </c>
    </row>
    <row r="268" spans="4:35" x14ac:dyDescent="0.2">
      <c r="D268">
        <f>[13]Quantity_shares!BB494</f>
        <v>2010</v>
      </c>
      <c r="E268" t="str">
        <f>[13]Quantity_shares!BC494</f>
        <v>322</v>
      </c>
      <c r="F268" s="28">
        <f>[13]Quantity_shares!BD494</f>
        <v>0.20952581000892717</v>
      </c>
      <c r="G268" s="28">
        <f>[13]Quantity_shares!BE494</f>
        <v>2.1530221078611564E-2</v>
      </c>
      <c r="H268" s="28">
        <f>[13]Quantity_shares!BF494</f>
        <v>0.1088588982828336</v>
      </c>
      <c r="I268" s="28">
        <f>[13]Quantity_shares!BG494</f>
        <v>0.66008507062962773</v>
      </c>
      <c r="Q268" s="31">
        <f>MECS_data!AR97</f>
        <v>3.6685708296210894E-2</v>
      </c>
      <c r="R268" s="31">
        <f>MECS_data!AS97</f>
        <v>6.2889785650647248E-3</v>
      </c>
      <c r="S268" s="31">
        <f>MECS_data!AT97</f>
        <v>0.41716891148262669</v>
      </c>
      <c r="T268" s="31">
        <f>MECS_data!AU97</f>
        <v>4.192652376709816E-3</v>
      </c>
      <c r="U268" s="31">
        <f>MECS_data!AV97</f>
        <v>0.21696976049473299</v>
      </c>
      <c r="V268" s="31">
        <f>MECS_data!AW97</f>
        <v>5.2408154708872704E-5</v>
      </c>
      <c r="W268" s="31">
        <f>MECS_data!AX97</f>
        <v>0.31864158062994602</v>
      </c>
      <c r="X268" s="31">
        <f>MECS_data!AY97</f>
        <v>1</v>
      </c>
      <c r="Z268" s="4">
        <f>'[25]Predicted Residual Prices'!AS541</f>
        <v>11.46</v>
      </c>
      <c r="AA268" s="4">
        <f>'[26]Predicted Distillate Prices'!AS541</f>
        <v>16.11</v>
      </c>
      <c r="AB268" s="4">
        <f>'[27]Predicted Gas Prices'!AR541</f>
        <v>5.55</v>
      </c>
      <c r="AC268" s="4">
        <f>'[28]Predicted LPG Prices'!AS541</f>
        <v>20.43</v>
      </c>
      <c r="AD268" s="4">
        <f>'[29]Predicted Coal Prices'!AS541</f>
        <v>3.61</v>
      </c>
      <c r="AE268" s="4">
        <f>'[30]Predicted Coke Prices'!AS499</f>
        <v>5.49</v>
      </c>
      <c r="AF268" s="4">
        <f>'[31]Predicted Other Prices'!AT499</f>
        <v>3.1075949367088609</v>
      </c>
      <c r="AH268" s="115">
        <f t="shared" si="150"/>
        <v>4.6964345272883952</v>
      </c>
      <c r="AI268" s="4">
        <f>'[32]Quantity Shares_1998 forward'!AH268</f>
        <v>4.6964345272883952</v>
      </c>
    </row>
    <row r="269" spans="4:35" x14ac:dyDescent="0.2">
      <c r="D269">
        <f>[13]Quantity_shares!BB495</f>
        <v>2010</v>
      </c>
      <c r="E269" t="str">
        <f>[13]Quantity_shares!BC495</f>
        <v>323</v>
      </c>
      <c r="F269" s="28">
        <f>[13]Quantity_shares!BD495</f>
        <v>0.94444444444444442</v>
      </c>
      <c r="G269" s="28">
        <f>[13]Quantity_shares!BE495</f>
        <v>2.2222222222222223E-2</v>
      </c>
      <c r="H269" s="28">
        <f>[13]Quantity_shares!BF495</f>
        <v>0</v>
      </c>
      <c r="I269" s="28">
        <f>[13]Quantity_shares!BG495</f>
        <v>3.3333333333333409E-2</v>
      </c>
      <c r="Q269" s="31">
        <f>MECS_data!AR98</f>
        <v>1.4104372355430185E-3</v>
      </c>
      <c r="R269" s="31">
        <f>MECS_data!AS98</f>
        <v>2.8208744710860371E-3</v>
      </c>
      <c r="S269" s="31">
        <f>MECS_data!AT98</f>
        <v>0.95909732016925253</v>
      </c>
      <c r="T269" s="31">
        <f>MECS_data!AU98</f>
        <v>2.8208744710860371E-2</v>
      </c>
      <c r="U269" s="31">
        <f>MECS_data!AV98</f>
        <v>0</v>
      </c>
      <c r="V269" s="31">
        <f>MECS_data!AW98</f>
        <v>0</v>
      </c>
      <c r="W269" s="31">
        <f>MECS_data!AX98</f>
        <v>8.4626234132581107E-3</v>
      </c>
      <c r="X269" s="31">
        <f>MECS_data!AY98</f>
        <v>1</v>
      </c>
      <c r="Z269" s="4">
        <f>'[25]Predicted Residual Prices'!AS542</f>
        <v>9.82</v>
      </c>
      <c r="AA269" s="4">
        <f>'[26]Predicted Distillate Prices'!AS542</f>
        <v>20.54</v>
      </c>
      <c r="AB269" s="4">
        <f>'[27]Predicted Gas Prices'!AR542</f>
        <v>7.01</v>
      </c>
      <c r="AC269" s="4">
        <f>'[28]Predicted LPG Prices'!AS542</f>
        <v>19.21</v>
      </c>
      <c r="AD269" s="4">
        <f>'[29]Predicted Coal Prices'!AS542</f>
        <v>4.2350000000000003</v>
      </c>
      <c r="AE269" s="4">
        <f>'[30]Predicted Coke Prices'!AS500</f>
        <v>0</v>
      </c>
      <c r="AF269" s="4">
        <f>'[31]Predicted Other Prices'!AT500</f>
        <v>3.1075949367088609</v>
      </c>
      <c r="AH269" s="115">
        <f t="shared" si="150"/>
        <v>7.3632518612415421</v>
      </c>
      <c r="AI269" s="4">
        <f>'[32]Quantity Shares_1998 forward'!AH269</f>
        <v>7.3792665726375182</v>
      </c>
    </row>
    <row r="270" spans="4:35" x14ac:dyDescent="0.2">
      <c r="D270">
        <f>[13]Quantity_shares!BB496</f>
        <v>2010</v>
      </c>
      <c r="E270" t="str">
        <f>[13]Quantity_shares!BC496</f>
        <v>324</v>
      </c>
      <c r="F270" s="28">
        <f>[13]Quantity_shares!BD496</f>
        <v>0.29069031032298925</v>
      </c>
      <c r="G270" s="28">
        <f>[13]Quantity_shares!BE496</f>
        <v>1.2982900569981E-2</v>
      </c>
      <c r="H270" s="28">
        <f>[13]Quantity_shares!BF496</f>
        <v>3.4832172260924636E-3</v>
      </c>
      <c r="I270" s="28">
        <f>[13]Quantity_shares!BG496</f>
        <v>0.69284357188093726</v>
      </c>
      <c r="Q270" s="31">
        <f>MECS_data!AR99</f>
        <v>8.9753178758414359E-3</v>
      </c>
      <c r="R270" s="31">
        <f>MECS_data!AS99</f>
        <v>1.2715033657442034E-2</v>
      </c>
      <c r="S270" s="31">
        <f>MECS_data!AT99</f>
        <v>0.68661181750186984</v>
      </c>
      <c r="T270" s="31">
        <f>MECS_data!AU99</f>
        <v>3.7397157816005983E-3</v>
      </c>
      <c r="U270" s="31">
        <f>MECS_data!AV99</f>
        <v>8.2273747195213166E-3</v>
      </c>
      <c r="V270" s="31">
        <f>MECS_data!AW99</f>
        <v>0</v>
      </c>
      <c r="W270" s="31">
        <f>MECS_data!AX99</f>
        <v>0.27973074046372476</v>
      </c>
      <c r="X270" s="31">
        <f>MECS_data!AY99</f>
        <v>1</v>
      </c>
      <c r="Z270" s="4">
        <f>'[25]Predicted Residual Prices'!AS543</f>
        <v>9.82</v>
      </c>
      <c r="AA270" s="4">
        <f>'[26]Predicted Distillate Prices'!AS543</f>
        <v>16.37</v>
      </c>
      <c r="AB270" s="4">
        <f>'[27]Predicted Gas Prices'!AR543</f>
        <v>4.87</v>
      </c>
      <c r="AC270" s="4">
        <f>'[28]Predicted LPG Prices'!AS543</f>
        <v>19.82</v>
      </c>
      <c r="AD270" s="4">
        <f>'[29]Predicted Coal Prices'!AS543</f>
        <v>4.79</v>
      </c>
      <c r="AE270" s="4">
        <f>'[30]Predicted Coke Prices'!AS501</f>
        <v>0</v>
      </c>
      <c r="AF270" s="4">
        <f>'[31]Predicted Other Prices'!AT501</f>
        <v>4.2644230769230766</v>
      </c>
      <c r="AH270" s="115">
        <f t="shared" si="150"/>
        <v>4.9465027904033132</v>
      </c>
      <c r="AI270" s="4">
        <f>'[32]Quantity Shares_1998 forward'!AH270</f>
        <v>4.9334885794833436</v>
      </c>
    </row>
    <row r="271" spans="4:35" x14ac:dyDescent="0.2">
      <c r="D271">
        <f>[13]Quantity_shares!BB497</f>
        <v>2010</v>
      </c>
      <c r="E271" t="str">
        <f>[13]Quantity_shares!BC497</f>
        <v>325</v>
      </c>
      <c r="F271" s="28">
        <f>[13]Quantity_shares!BD497</f>
        <v>0.64381089859256591</v>
      </c>
      <c r="G271" s="28">
        <f>[13]Quantity_shares!BE497</f>
        <v>5.4132082280765065E-3</v>
      </c>
      <c r="H271" s="28">
        <f>[13]Quantity_shares!BF497</f>
        <v>7.2176109707686759E-2</v>
      </c>
      <c r="I271" s="28">
        <f>[13]Quantity_shares!BG497</f>
        <v>0.27859978347167086</v>
      </c>
      <c r="Q271" s="31">
        <f>MECS_data!AR100</f>
        <v>2.4844720496894411E-3</v>
      </c>
      <c r="R271" s="31">
        <f>MECS_data!AS100</f>
        <v>3.3126293995859213E-3</v>
      </c>
      <c r="S271" s="31">
        <f>MECS_data!AT100</f>
        <v>0.73457556935817803</v>
      </c>
      <c r="T271" s="31">
        <f>MECS_data!AU100</f>
        <v>2.8985507246376812E-3</v>
      </c>
      <c r="U271" s="31">
        <f>MECS_data!AV100</f>
        <v>8.2815734989648032E-2</v>
      </c>
      <c r="V271" s="31">
        <f>MECS_data!AW100</f>
        <v>0</v>
      </c>
      <c r="W271" s="31">
        <f>MECS_data!AX100</f>
        <v>0.17391304347826086</v>
      </c>
      <c r="X271" s="31">
        <f>MECS_data!AY100</f>
        <v>0.99999999999999989</v>
      </c>
      <c r="Z271" s="4">
        <f>'[25]Predicted Residual Prices'!AS544</f>
        <v>10.61</v>
      </c>
      <c r="AA271" s="4">
        <f>'[26]Predicted Distillate Prices'!AS544</f>
        <v>17.05</v>
      </c>
      <c r="AB271" s="4">
        <f>'[27]Predicted Gas Prices'!AR544</f>
        <v>4.8600000000000003</v>
      </c>
      <c r="AC271" s="4">
        <f>'[28]Predicted LPG Prices'!AS544</f>
        <v>13.98</v>
      </c>
      <c r="AD271" s="4">
        <f>'[29]Predicted Coal Prices'!AS544</f>
        <v>3.28</v>
      </c>
      <c r="AE271" s="4">
        <f>'[30]Predicted Coke Prices'!AS502</f>
        <v>8.08</v>
      </c>
      <c r="AF271" s="4">
        <f>'[31]Predicted Other Prices'!AT502</f>
        <v>6.5774999999999997</v>
      </c>
      <c r="AH271" s="115">
        <f t="shared" si="150"/>
        <v>5.1089482401656312</v>
      </c>
      <c r="AI271" s="4">
        <f>'[32]Quantity Shares_1998 forward'!AH271</f>
        <v>5.1089482401656312</v>
      </c>
    </row>
    <row r="272" spans="4:35" x14ac:dyDescent="0.2">
      <c r="D272">
        <f>[13]Quantity_shares!BB498</f>
        <v>2010</v>
      </c>
      <c r="E272" t="str">
        <f>[13]Quantity_shares!BC498</f>
        <v>326</v>
      </c>
      <c r="F272" s="28">
        <f>[13]Quantity_shares!BD498</f>
        <v>0.88793103448275867</v>
      </c>
      <c r="G272" s="28">
        <f>[13]Quantity_shares!BE498</f>
        <v>1.982758620689655E-2</v>
      </c>
      <c r="H272" s="28">
        <f>[13]Quantity_shares!BF498</f>
        <v>2.3275862068965519E-2</v>
      </c>
      <c r="I272" s="28">
        <f>[13]Quantity_shares!BG498</f>
        <v>6.8965517241379309E-2</v>
      </c>
      <c r="Q272" s="31">
        <f>MECS_data!AR101</f>
        <v>8.7108013937282241E-4</v>
      </c>
      <c r="R272" s="31">
        <f>MECS_data!AS101</f>
        <v>1.7421602787456445E-2</v>
      </c>
      <c r="S272" s="31">
        <f>MECS_data!AT101</f>
        <v>0.89721254355400704</v>
      </c>
      <c r="T272" s="31">
        <f>MECS_data!AU101</f>
        <v>1.7421602787456445E-2</v>
      </c>
      <c r="U272" s="31">
        <f>MECS_data!AV101</f>
        <v>3.484320557491289E-2</v>
      </c>
      <c r="V272" s="31">
        <f>MECS_data!AW101</f>
        <v>0</v>
      </c>
      <c r="W272" s="31">
        <f>MECS_data!AX101</f>
        <v>3.2229965156794424E-2</v>
      </c>
      <c r="X272" s="31">
        <f>MECS_data!AY101</f>
        <v>1</v>
      </c>
      <c r="Z272" s="4">
        <f>'[25]Predicted Residual Prices'!AS545</f>
        <v>12.8</v>
      </c>
      <c r="AA272" s="4">
        <f>'[26]Predicted Distillate Prices'!AS545</f>
        <v>22.73</v>
      </c>
      <c r="AB272" s="4">
        <f>'[27]Predicted Gas Prices'!AR545</f>
        <v>6.45</v>
      </c>
      <c r="AC272" s="4">
        <f>'[28]Predicted LPG Prices'!AS545</f>
        <v>18.12</v>
      </c>
      <c r="AD272" s="4">
        <f>'[29]Predicted Coal Prices'!AS545</f>
        <v>6.1</v>
      </c>
      <c r="AE272" s="4">
        <f>'[30]Predicted Coke Prices'!AS503</f>
        <v>0</v>
      </c>
      <c r="AF272" s="4">
        <f>'[31]Predicted Other Prices'!AT503</f>
        <v>5</v>
      </c>
      <c r="AH272" s="115">
        <f t="shared" si="150"/>
        <v>6.8835365853658539</v>
      </c>
      <c r="AI272" s="4">
        <f>'[32]Quantity Shares_1998 forward'!AH272</f>
        <v>6.8835365853658539</v>
      </c>
    </row>
    <row r="273" spans="4:35" x14ac:dyDescent="0.2">
      <c r="D273">
        <f>[13]Quantity_shares!BB499</f>
        <v>2010</v>
      </c>
      <c r="E273" t="str">
        <f>[13]Quantity_shares!BC499</f>
        <v>327</v>
      </c>
      <c r="F273" s="28">
        <f>[13]Quantity_shares!BD499</f>
        <v>0.45500000000000002</v>
      </c>
      <c r="G273" s="28">
        <f>[13]Quantity_shares!BE499</f>
        <v>0.04</v>
      </c>
      <c r="H273" s="28">
        <f>[13]Quantity_shares!BF499</f>
        <v>0.375</v>
      </c>
      <c r="I273" s="28">
        <f>[13]Quantity_shares!BG499</f>
        <v>0.13</v>
      </c>
      <c r="Q273" s="31">
        <f>MECS_data!AR102</f>
        <v>1.6722408026755853E-3</v>
      </c>
      <c r="R273" s="31">
        <f>MECS_data!AS102</f>
        <v>3.8461538461538464E-2</v>
      </c>
      <c r="S273" s="31">
        <f>MECS_data!AT102</f>
        <v>0.45652173913043476</v>
      </c>
      <c r="T273" s="31">
        <f>MECS_data!AU102</f>
        <v>3.3444816053511705E-3</v>
      </c>
      <c r="U273" s="31">
        <f>MECS_data!AV102</f>
        <v>0.36287625418060199</v>
      </c>
      <c r="V273" s="31">
        <f>MECS_data!AW102</f>
        <v>1.3377926421404682E-2</v>
      </c>
      <c r="W273" s="31">
        <f>MECS_data!AX102</f>
        <v>0.12374581939799331</v>
      </c>
      <c r="X273" s="31">
        <f>MECS_data!AY102</f>
        <v>1</v>
      </c>
      <c r="Z273" s="4">
        <f>'[25]Predicted Residual Prices'!AS546</f>
        <v>11.6</v>
      </c>
      <c r="AA273" s="4">
        <f>'[26]Predicted Distillate Prices'!AS546</f>
        <v>16.7</v>
      </c>
      <c r="AB273" s="4">
        <f>'[27]Predicted Gas Prices'!AR546</f>
        <v>5.9</v>
      </c>
      <c r="AC273" s="4">
        <f>'[28]Predicted LPG Prices'!AS546</f>
        <v>18.91</v>
      </c>
      <c r="AD273" s="4">
        <f>'[29]Predicted Coal Prices'!AS546</f>
        <v>3.07</v>
      </c>
      <c r="AE273" s="4">
        <f>'[30]Predicted Coke Prices'!AS504</f>
        <v>8.6999999999999993</v>
      </c>
      <c r="AF273" s="4">
        <f>'[31]Predicted Other Prices'!AT504</f>
        <v>2.2564102564102564</v>
      </c>
      <c r="AH273" s="115">
        <f t="shared" si="150"/>
        <v>4.9280674899236772</v>
      </c>
      <c r="AI273" s="4">
        <f>'[32]Quantity Shares_1998 forward'!AH273</f>
        <v>4.9280674899236772</v>
      </c>
    </row>
    <row r="274" spans="4:35" x14ac:dyDescent="0.2">
      <c r="D274">
        <f>[13]Quantity_shares!BB500</f>
        <v>2010</v>
      </c>
      <c r="E274" t="str">
        <f>[13]Quantity_shares!BC500</f>
        <v>331</v>
      </c>
      <c r="F274" s="28">
        <f>[13]Quantity_shares!BD500</f>
        <v>0.42754777070063693</v>
      </c>
      <c r="G274" s="28">
        <f>[13]Quantity_shares!BE500</f>
        <v>7.9617834394904458E-3</v>
      </c>
      <c r="H274" s="28">
        <f>[13]Quantity_shares!BF500</f>
        <v>0.31050955414012738</v>
      </c>
      <c r="I274" s="28">
        <f>[13]Quantity_shares!BG500</f>
        <v>0.25398089171974525</v>
      </c>
      <c r="Q274" s="31">
        <f>MECS_data!AR103</f>
        <v>1.0905125408942203E-3</v>
      </c>
      <c r="R274" s="31">
        <f>MECS_data!AS103</f>
        <v>9.8146128680479828E-3</v>
      </c>
      <c r="S274" s="31">
        <f>MECS_data!AT103</f>
        <v>0.5856052344601963</v>
      </c>
      <c r="T274" s="31">
        <f>MECS_data!AU103</f>
        <v>3.2715376226826608E-3</v>
      </c>
      <c r="U274" s="31">
        <f>MECS_data!AV103</f>
        <v>2.5081788440567066E-2</v>
      </c>
      <c r="V274" s="31">
        <f>MECS_data!AW103</f>
        <v>0.31733914940021812</v>
      </c>
      <c r="W274" s="31">
        <f>MECS_data!AX103</f>
        <v>5.7797164667393673E-2</v>
      </c>
      <c r="X274" s="31">
        <f>MECS_data!AY103</f>
        <v>1</v>
      </c>
      <c r="Z274" s="4">
        <f>'[25]Predicted Residual Prices'!AS547</f>
        <v>10.37</v>
      </c>
      <c r="AA274" s="4">
        <f>'[26]Predicted Distillate Prices'!AS547</f>
        <v>15.01</v>
      </c>
      <c r="AB274" s="4">
        <f>'[27]Predicted Gas Prices'!AR547</f>
        <v>5.37</v>
      </c>
      <c r="AC274" s="4">
        <f>'[28]Predicted LPG Prices'!AS547</f>
        <v>16.53</v>
      </c>
      <c r="AD274" s="4">
        <f>'[29]Predicted Coal Prices'!AS547</f>
        <v>4.79</v>
      </c>
      <c r="AE274" s="4">
        <f>'[30]Predicted Coke Prices'!AS505</f>
        <v>10.4</v>
      </c>
      <c r="AF274" s="4">
        <f>'[31]Predicted Other Prices'!AT505</f>
        <v>3.7254901960784315</v>
      </c>
      <c r="AH274" s="115">
        <f t="shared" si="150"/>
        <v>6.9931962708747619</v>
      </c>
      <c r="AI274" s="4">
        <f>'[32]Quantity Shares_1998 forward'!AH274</f>
        <v>6.9931962708747619</v>
      </c>
    </row>
    <row r="275" spans="4:35" x14ac:dyDescent="0.2">
      <c r="D275">
        <f>[13]Quantity_shares!BB501</f>
        <v>2010</v>
      </c>
      <c r="E275" t="str">
        <f>[13]Quantity_shares!BC501</f>
        <v>332</v>
      </c>
      <c r="F275" s="28">
        <f>[13]Quantity_shares!BD501</f>
        <v>0.93678160919540232</v>
      </c>
      <c r="G275" s="28">
        <f>[13]Quantity_shares!BE501</f>
        <v>1.8390804597701149E-2</v>
      </c>
      <c r="H275" s="28">
        <f>[13]Quantity_shares!BF501</f>
        <v>1.7241379310344827E-3</v>
      </c>
      <c r="I275" s="28">
        <f>[13]Quantity_shares!BG501</f>
        <v>4.3103448275862072E-2</v>
      </c>
      <c r="Q275" s="31">
        <f>MECS_data!AR104</f>
        <v>5.8072009291521497E-4</v>
      </c>
      <c r="R275" s="31">
        <f>MECS_data!AS104</f>
        <v>1.7421602787456449E-2</v>
      </c>
      <c r="S275" s="31">
        <f>MECS_data!AT104</f>
        <v>0.94076655052264813</v>
      </c>
      <c r="T275" s="31">
        <f>MECS_data!AU104</f>
        <v>2.9036004645760744E-2</v>
      </c>
      <c r="U275" s="31">
        <f>MECS_data!AV104</f>
        <v>5.8072009291521497E-4</v>
      </c>
      <c r="V275" s="31">
        <f>MECS_data!AW104</f>
        <v>0</v>
      </c>
      <c r="W275" s="31">
        <f>MECS_data!AX104</f>
        <v>1.1614401858304297E-2</v>
      </c>
      <c r="X275" s="31">
        <f>MECS_data!AY104</f>
        <v>1</v>
      </c>
      <c r="Z275" s="4">
        <f>'[25]Predicted Residual Prices'!AS548</f>
        <v>6.36</v>
      </c>
      <c r="AA275" s="4">
        <f>'[26]Predicted Distillate Prices'!AS548</f>
        <v>21.39</v>
      </c>
      <c r="AB275" s="4">
        <f>'[27]Predicted Gas Prices'!AR548</f>
        <v>6.73</v>
      </c>
      <c r="AC275" s="4">
        <f>'[28]Predicted LPG Prices'!AS548</f>
        <v>22.17</v>
      </c>
      <c r="AD275" s="4">
        <f>'[29]Predicted Coal Prices'!AS548</f>
        <v>4.8499999999999996</v>
      </c>
      <c r="AE275" s="4">
        <f>'[30]Predicted Coke Prices'!AS506</f>
        <v>8.06</v>
      </c>
      <c r="AF275" s="4">
        <f>'[31]Predicted Other Prices'!AT506</f>
        <v>5.333333333333333</v>
      </c>
      <c r="AH275" s="115">
        <f t="shared" si="150"/>
        <v>7.416188540456834</v>
      </c>
      <c r="AI275" s="4">
        <f>'[32]Quantity Shares_1998 forward'!AH275</f>
        <v>7.416188540456834</v>
      </c>
    </row>
    <row r="276" spans="4:35" x14ac:dyDescent="0.2">
      <c r="D276">
        <f>[13]Quantity_shares!BB502</f>
        <v>2010</v>
      </c>
      <c r="E276" t="str">
        <f>[13]Quantity_shares!BC502</f>
        <v>333</v>
      </c>
      <c r="F276" s="28">
        <f>[13]Quantity_shares!BD502</f>
        <v>0.91849935316946962</v>
      </c>
      <c r="G276" s="28">
        <f>[13]Quantity_shares!BE502</f>
        <v>4.1397153945666239E-2</v>
      </c>
      <c r="H276" s="28">
        <f>[13]Quantity_shares!BF502</f>
        <v>1.29366106080207E-3</v>
      </c>
      <c r="I276" s="28">
        <f>[13]Quantity_shares!BG502</f>
        <v>3.8809831824062099E-2</v>
      </c>
      <c r="Q276" s="31">
        <f>MECS_data!AR105</f>
        <v>1.297016861219196E-3</v>
      </c>
      <c r="R276" s="31">
        <f>MECS_data!AS105</f>
        <v>3.8910505836575876E-2</v>
      </c>
      <c r="S276" s="31">
        <f>MECS_data!AT105</f>
        <v>0.92088197146562911</v>
      </c>
      <c r="T276" s="31">
        <f>MECS_data!AU105</f>
        <v>2.5940337224383919E-2</v>
      </c>
      <c r="U276" s="31">
        <f>MECS_data!AV105</f>
        <v>0</v>
      </c>
      <c r="V276" s="31">
        <f>MECS_data!AW105</f>
        <v>0</v>
      </c>
      <c r="W276" s="31">
        <f>MECS_data!AX105</f>
        <v>1.2970168612191959E-2</v>
      </c>
      <c r="X276" s="31">
        <f>MECS_data!AY105</f>
        <v>1</v>
      </c>
      <c r="Z276" s="4">
        <f>'[25]Predicted Residual Prices'!AS549</f>
        <v>7.7</v>
      </c>
      <c r="AA276" s="4">
        <f>'[26]Predicted Distillate Prices'!AS549</f>
        <v>19.73</v>
      </c>
      <c r="AB276" s="4">
        <f>'[27]Predicted Gas Prices'!AR549</f>
        <v>7.06</v>
      </c>
      <c r="AC276" s="4">
        <f>'[28]Predicted LPG Prices'!AS549</f>
        <v>20.82</v>
      </c>
      <c r="AD276" s="4">
        <f>'[29]Predicted Coal Prices'!AS549</f>
        <v>3.5</v>
      </c>
      <c r="AE276" s="4">
        <f>'[30]Predicted Coke Prices'!AS507</f>
        <v>0</v>
      </c>
      <c r="AF276" s="4">
        <f>'[31]Predicted Other Prices'!AT507</f>
        <v>13.5</v>
      </c>
      <c r="AH276" s="115">
        <f t="shared" si="150"/>
        <v>7.9942931258106356</v>
      </c>
      <c r="AI276" s="4">
        <f>'[32]Quantity Shares_1998 forward'!AH276</f>
        <v>7.9942931258106356</v>
      </c>
    </row>
    <row r="277" spans="4:35" x14ac:dyDescent="0.2">
      <c r="D277">
        <f>[13]Quantity_shares!BB503</f>
        <v>2010</v>
      </c>
      <c r="E277" t="str">
        <f>[13]Quantity_shares!BC503</f>
        <v>334</v>
      </c>
      <c r="F277" s="28">
        <f>[13]Quantity_shares!BD503</f>
        <v>0.96551724137931039</v>
      </c>
      <c r="G277" s="28">
        <f>[13]Quantity_shares!BE503</f>
        <v>1.8390804597701149E-2</v>
      </c>
      <c r="H277" s="28">
        <f>[13]Quantity_shares!BF503</f>
        <v>0</v>
      </c>
      <c r="I277" s="28">
        <f>[13]Quantity_shares!BG503</f>
        <v>1.6091954022988506E-2</v>
      </c>
      <c r="Q277" s="31">
        <f>MECS_data!AR106</f>
        <v>2.352941176470588E-3</v>
      </c>
      <c r="R277" s="31">
        <f>MECS_data!AS106</f>
        <v>2.352941176470588E-3</v>
      </c>
      <c r="S277" s="31">
        <f>MECS_data!AT106</f>
        <v>0.98823529411764688</v>
      </c>
      <c r="T277" s="31">
        <f>MECS_data!AU106</f>
        <v>2.352941176470588E-3</v>
      </c>
      <c r="U277" s="31">
        <f>MECS_data!AV106</f>
        <v>0</v>
      </c>
      <c r="V277" s="31">
        <f>MECS_data!AW106</f>
        <v>0</v>
      </c>
      <c r="W277" s="31">
        <f>MECS_data!AX106</f>
        <v>4.7058823529411761E-3</v>
      </c>
      <c r="X277" s="31">
        <f>MECS_data!AY106</f>
        <v>0.99999999999999989</v>
      </c>
      <c r="Z277" s="4">
        <f>'[25]Predicted Residual Prices'!AS550</f>
        <v>14.32</v>
      </c>
      <c r="AA277" s="4">
        <f>'[26]Predicted Distillate Prices'!AS550</f>
        <v>19.8</v>
      </c>
      <c r="AB277" s="4">
        <f>'[27]Predicted Gas Prices'!AR550</f>
        <v>6.56</v>
      </c>
      <c r="AC277" s="4">
        <f>'[28]Predicted LPG Prices'!AS550</f>
        <v>24.93</v>
      </c>
      <c r="AD277" s="4">
        <f>'[29]Predicted Coal Prices'!AS550</f>
        <v>5</v>
      </c>
      <c r="AE277" s="4">
        <f>'[30]Predicted Coke Prices'!AS508</f>
        <v>0</v>
      </c>
      <c r="AF277" s="4">
        <f>'[31]Predicted Other Prices'!AT508</f>
        <v>14</v>
      </c>
      <c r="AH277" s="115">
        <f t="shared" si="150"/>
        <v>6.6876470588235275</v>
      </c>
      <c r="AI277" s="4">
        <f>'[32]Quantity Shares_1998 forward'!AH277</f>
        <v>6.6876470588235275</v>
      </c>
    </row>
    <row r="278" spans="4:35" x14ac:dyDescent="0.2">
      <c r="D278">
        <f>[13]Quantity_shares!BB504</f>
        <v>2010</v>
      </c>
      <c r="E278" t="str">
        <f>[13]Quantity_shares!BC504</f>
        <v>335</v>
      </c>
      <c r="F278" s="28">
        <f>[13]Quantity_shares!BD504</f>
        <v>0.93506493506493504</v>
      </c>
      <c r="G278" s="28">
        <f>[13]Quantity_shares!BE504</f>
        <v>2.5974025974025976E-2</v>
      </c>
      <c r="H278" s="28">
        <f>[13]Quantity_shares!BF504</f>
        <v>7.7922077922077922E-3</v>
      </c>
      <c r="I278" s="28">
        <f>[13]Quantity_shares!BG504</f>
        <v>3.1168831168831169E-2</v>
      </c>
      <c r="Q278" s="31">
        <f>MECS_data!AR107</f>
        <v>1.3054830287206269E-3</v>
      </c>
      <c r="R278" s="31">
        <f>MECS_data!AS107</f>
        <v>2.6109660574412535E-2</v>
      </c>
      <c r="S278" s="31">
        <f>MECS_data!AT107</f>
        <v>0.93994778067885121</v>
      </c>
      <c r="T278" s="31">
        <f>MECS_data!AU107</f>
        <v>2.6109660574412535E-2</v>
      </c>
      <c r="U278" s="31">
        <f>MECS_data!AV107</f>
        <v>0</v>
      </c>
      <c r="V278" s="31">
        <f>MECS_data!AW107</f>
        <v>1.3054830287206269E-3</v>
      </c>
      <c r="W278" s="31">
        <f>MECS_data!AX107</f>
        <v>5.2219321148825075E-3</v>
      </c>
      <c r="X278" s="31">
        <f>MECS_data!AY107</f>
        <v>1</v>
      </c>
      <c r="Z278" s="4">
        <f>'[25]Predicted Residual Prices'!AS551</f>
        <v>12.64</v>
      </c>
      <c r="AA278" s="4">
        <f>'[26]Predicted Distillate Prices'!AS551</f>
        <v>18.37</v>
      </c>
      <c r="AB278" s="4">
        <f>'[27]Predicted Gas Prices'!AR551</f>
        <v>6.78</v>
      </c>
      <c r="AC278" s="4">
        <f>'[28]Predicted LPG Prices'!AS551</f>
        <v>18.22</v>
      </c>
      <c r="AD278" s="4">
        <f>'[29]Predicted Coal Prices'!AS551</f>
        <v>5</v>
      </c>
      <c r="AE278" s="4">
        <f>'[30]Predicted Coke Prices'!AS509</f>
        <v>0</v>
      </c>
      <c r="AF278" s="4">
        <f>'[31]Predicted Other Prices'!AT509</f>
        <v>7.56</v>
      </c>
      <c r="AH278" s="115">
        <f t="shared" si="150"/>
        <v>7.3841775456919061</v>
      </c>
      <c r="AI278" s="4">
        <f>'[32]Quantity Shares_1998 forward'!AH278</f>
        <v>7.3841775456919061</v>
      </c>
    </row>
    <row r="279" spans="4:35" x14ac:dyDescent="0.2">
      <c r="D279">
        <f>[13]Quantity_shares!BB505</f>
        <v>2010</v>
      </c>
      <c r="E279" t="str">
        <f>[13]Quantity_shares!BC505</f>
        <v>336</v>
      </c>
      <c r="F279" s="28">
        <f>[13]Quantity_shares!BD505</f>
        <v>0.88811188811188813</v>
      </c>
      <c r="G279" s="28">
        <f>[13]Quantity_shares!BE505</f>
        <v>3.4965034965034968E-2</v>
      </c>
      <c r="H279" s="28">
        <f>[13]Quantity_shares!BF505</f>
        <v>2.097902097902098E-2</v>
      </c>
      <c r="I279" s="28">
        <f>[13]Quantity_shares!BG505</f>
        <v>5.5944055944055944E-2</v>
      </c>
      <c r="Q279" s="31">
        <f>MECS_data!AR108</f>
        <v>1.3986013986013986E-2</v>
      </c>
      <c r="R279" s="31">
        <f>MECS_data!AS108</f>
        <v>2.097902097902098E-2</v>
      </c>
      <c r="S279" s="31">
        <f>MECS_data!AT108</f>
        <v>0.88811188811188813</v>
      </c>
      <c r="T279" s="31">
        <f>MECS_data!AU108</f>
        <v>2.097902097902098E-2</v>
      </c>
      <c r="U279" s="31">
        <f>MECS_data!AV108</f>
        <v>2.097902097902098E-2</v>
      </c>
      <c r="V279" s="31">
        <f>MECS_data!AW108</f>
        <v>0</v>
      </c>
      <c r="W279" s="31">
        <f>MECS_data!AX108</f>
        <v>3.4965034965034968E-2</v>
      </c>
      <c r="X279" s="31">
        <f>MECS_data!AY108</f>
        <v>1</v>
      </c>
      <c r="Z279" s="4">
        <f>'[25]Predicted Residual Prices'!AS552</f>
        <v>9.23</v>
      </c>
      <c r="AA279" s="4">
        <f>'[26]Predicted Distillate Prices'!AS552</f>
        <v>21.58</v>
      </c>
      <c r="AB279" s="4">
        <f>'[27]Predicted Gas Prices'!AR552</f>
        <v>6.63</v>
      </c>
      <c r="AC279" s="4">
        <f>'[28]Predicted LPG Prices'!AS552</f>
        <v>20.86</v>
      </c>
      <c r="AD279" s="4">
        <f>'[29]Predicted Coal Prices'!AS552</f>
        <v>5.0599999999999996</v>
      </c>
      <c r="AE279" s="4">
        <f>'[30]Predicted Coke Prices'!AS510</f>
        <v>0</v>
      </c>
      <c r="AF279" s="4">
        <f>'[31]Predicted Other Prices'!AT510</f>
        <v>7.56</v>
      </c>
      <c r="AH279" s="115">
        <f t="shared" si="150"/>
        <v>7.2781118881118889</v>
      </c>
      <c r="AI279" s="4">
        <f>'[32]Quantity Shares_1998 forward'!AH279</f>
        <v>7.421701631701632</v>
      </c>
    </row>
    <row r="280" spans="4:35" x14ac:dyDescent="0.2">
      <c r="D280">
        <f>[13]Quantity_shares!BB506</f>
        <v>2010</v>
      </c>
      <c r="E280" t="str">
        <f>[13]Quantity_shares!BC506</f>
        <v>337</v>
      </c>
      <c r="F280" s="28">
        <f>[13]Quantity_shares!BD506</f>
        <v>0.67708333333333337</v>
      </c>
      <c r="G280" s="28">
        <f>[13]Quantity_shares!BE506</f>
        <v>1.0416666666666668E-2</v>
      </c>
      <c r="H280" s="28">
        <f>[13]Quantity_shares!BF506</f>
        <v>5.2083333333333336E-2</v>
      </c>
      <c r="I280" s="28">
        <f>[13]Quantity_shares!BG506</f>
        <v>0.26041666666666669</v>
      </c>
      <c r="Q280" s="31">
        <f>MECS_data!AR109</f>
        <v>0</v>
      </c>
      <c r="R280" s="31">
        <f>MECS_data!AS109</f>
        <v>6.1349693251533752E-3</v>
      </c>
      <c r="S280" s="31">
        <f>MECS_data!AT109</f>
        <v>0.79754601226993882</v>
      </c>
      <c r="T280" s="31">
        <f>MECS_data!AU109</f>
        <v>6.1349693251533756E-2</v>
      </c>
      <c r="U280" s="31">
        <f>MECS_data!AV109</f>
        <v>1.226993865030675E-2</v>
      </c>
      <c r="V280" s="31">
        <f>MECS_data!AW109</f>
        <v>0</v>
      </c>
      <c r="W280" s="31">
        <f>MECS_data!AX109</f>
        <v>0.12269938650306751</v>
      </c>
      <c r="X280" s="31">
        <f>MECS_data!AY109</f>
        <v>1.0000000000000002</v>
      </c>
      <c r="Z280" s="4">
        <f>'[25]Predicted Residual Prices'!AS553</f>
        <v>9.23</v>
      </c>
      <c r="AA280" s="4">
        <f>'[26]Predicted Distillate Prices'!AS553</f>
        <v>20.07</v>
      </c>
      <c r="AB280" s="4">
        <f>'[27]Predicted Gas Prices'!AR553</f>
        <v>8.61</v>
      </c>
      <c r="AC280" s="4">
        <f>'[28]Predicted LPG Prices'!AS553</f>
        <v>20.91</v>
      </c>
      <c r="AD280" s="4">
        <f>'[29]Predicted Coal Prices'!AS553</f>
        <v>2.64</v>
      </c>
      <c r="AE280" s="4">
        <f>'[30]Predicted Coke Prices'!AS511</f>
        <v>0</v>
      </c>
      <c r="AF280" s="4">
        <f>'[31]Predicted Other Prices'!AT511</f>
        <v>2</v>
      </c>
      <c r="AH280" s="115">
        <f t="shared" si="150"/>
        <v>8.5506134969325185</v>
      </c>
      <c r="AI280" s="4">
        <f>'[32]Quantity Shares_1998 forward'!AH280</f>
        <v>8.5506134969325185</v>
      </c>
    </row>
    <row r="281" spans="4:35" x14ac:dyDescent="0.2">
      <c r="D281">
        <f>[13]Quantity_shares!BB507</f>
        <v>2010</v>
      </c>
      <c r="E281" t="str">
        <f>[13]Quantity_shares!BC507</f>
        <v>339</v>
      </c>
      <c r="F281" s="28">
        <f>[13]Quantity_shares!BD507</f>
        <v>0.91764705882352959</v>
      </c>
      <c r="G281" s="28">
        <f>[13]Quantity_shares!BE507</f>
        <v>6.4705882352941196E-2</v>
      </c>
      <c r="H281" s="28">
        <f>[13]Quantity_shares!BF507</f>
        <v>5.8823529411764722E-3</v>
      </c>
      <c r="I281" s="28">
        <f>[13]Quantity_shares!BG507</f>
        <v>1.1764705882352693E-2</v>
      </c>
      <c r="Q281" s="31">
        <f>MECS_data!AR110</f>
        <v>5.7471264367816074E-3</v>
      </c>
      <c r="R281" s="31">
        <f>MECS_data!AS110</f>
        <v>5.747126436781607E-2</v>
      </c>
      <c r="S281" s="31">
        <f>MECS_data!AT110</f>
        <v>0.91954022988505713</v>
      </c>
      <c r="T281" s="31">
        <f>MECS_data!AU110</f>
        <v>5.7471264367816074E-3</v>
      </c>
      <c r="U281" s="31">
        <f>MECS_data!AV110</f>
        <v>5.7471264367816074E-3</v>
      </c>
      <c r="V281" s="31">
        <f>MECS_data!AW110</f>
        <v>0</v>
      </c>
      <c r="W281" s="31">
        <f>MECS_data!AX110</f>
        <v>5.7471264367816074E-3</v>
      </c>
      <c r="X281" s="31">
        <f>MECS_data!AY110</f>
        <v>0.99999999999999978</v>
      </c>
      <c r="Z281" s="4">
        <f>'[25]Predicted Residual Prices'!AS554</f>
        <v>19.88</v>
      </c>
      <c r="AA281" s="4">
        <f>'[26]Predicted Distillate Prices'!AS554</f>
        <v>18.23</v>
      </c>
      <c r="AB281" s="4">
        <f>'[27]Predicted Gas Prices'!AR554</f>
        <v>8.32</v>
      </c>
      <c r="AC281" s="4">
        <f>'[28]Predicted LPG Prices'!AS554</f>
        <v>23.65</v>
      </c>
      <c r="AD281" s="4">
        <f>'[29]Predicted Coal Prices'!AS554</f>
        <v>3.63</v>
      </c>
      <c r="AE281" s="4">
        <f>'[30]Predicted Coke Prices'!AS512</f>
        <v>0</v>
      </c>
      <c r="AF281" s="4">
        <f>'[31]Predicted Other Prices'!AT512</f>
        <v>5</v>
      </c>
      <c r="AH281" s="115">
        <f t="shared" si="150"/>
        <v>8.9980459770114916</v>
      </c>
      <c r="AI281" s="4">
        <f>'[32]Quantity Shares_1998 forward'!AH281</f>
        <v>8.9980459770114916</v>
      </c>
    </row>
    <row r="282" spans="4:35" x14ac:dyDescent="0.2">
      <c r="P282">
        <v>2011</v>
      </c>
      <c r="Q282" s="26">
        <f t="shared" ref="Q282:W282" si="151">0.75*Q261+0.25*Q345</f>
        <v>1.1797715739085574E-2</v>
      </c>
      <c r="R282" s="26">
        <f t="shared" si="151"/>
        <v>2.5694186172063392E-2</v>
      </c>
      <c r="S282" s="26">
        <f t="shared" si="151"/>
        <v>0.69022823113745146</v>
      </c>
      <c r="T282" s="26">
        <f t="shared" si="151"/>
        <v>6.3063866927405132E-3</v>
      </c>
      <c r="U282" s="26">
        <f t="shared" si="151"/>
        <v>0.19476428562859166</v>
      </c>
      <c r="V282" s="26">
        <f t="shared" si="151"/>
        <v>2.0732607104723281E-3</v>
      </c>
      <c r="W282" s="26">
        <f t="shared" si="151"/>
        <v>6.9135933919594966E-2</v>
      </c>
      <c r="X282" s="26">
        <f>SUM(Q282:W282)</f>
        <v>0.99999999999999978</v>
      </c>
      <c r="Z282" s="4">
        <f>'[25]Predicted Residual Prices'!AS555</f>
        <v>15.21672876685108</v>
      </c>
      <c r="AA282" s="4">
        <f>'[26]Predicted Distillate Prices'!AS555</f>
        <v>23.863386398434468</v>
      </c>
      <c r="AB282" s="4">
        <f>'[27]Predicted Gas Prices'!AR555</f>
        <v>5.4369000350380485</v>
      </c>
      <c r="AC282" s="4">
        <f>'[28]Predicted LPG Prices'!AS555</f>
        <v>23.439825515212554</v>
      </c>
      <c r="AD282" s="4">
        <f>'[29]Predicted Coal Prices'!AS555</f>
        <v>2.9011315425067177</v>
      </c>
      <c r="AE282" s="4">
        <f>'[30]Predicted Coke Prices'!AS513</f>
        <v>19.56293660170428</v>
      </c>
      <c r="AF282" s="4">
        <f>'[31]Predicted Other Prices'!AT513</f>
        <v>5.8368769139523522</v>
      </c>
      <c r="AG282">
        <v>2011</v>
      </c>
      <c r="AH282" s="115">
        <f t="shared" si="150"/>
        <v>5.7023292479005807</v>
      </c>
      <c r="AI282" s="4">
        <f>'[32]Quantity Shares_1998 forward'!AH282</f>
        <v>5.703560920129771</v>
      </c>
    </row>
    <row r="283" spans="4:35" x14ac:dyDescent="0.2">
      <c r="Q283" s="26">
        <f t="shared" ref="Q283:W283" si="152">0.75*Q262+0.25*Q346</f>
        <v>1.5425377468060395E-2</v>
      </c>
      <c r="R283" s="26">
        <f t="shared" si="152"/>
        <v>1.7457897793263646E-2</v>
      </c>
      <c r="S283" s="26">
        <f t="shared" si="152"/>
        <v>0.70405052264808354</v>
      </c>
      <c r="T283" s="26">
        <f t="shared" si="152"/>
        <v>1.7457897793263646E-2</v>
      </c>
      <c r="U283" s="26">
        <f t="shared" si="152"/>
        <v>0.16238385598141694</v>
      </c>
      <c r="V283" s="26">
        <f t="shared" si="152"/>
        <v>0</v>
      </c>
      <c r="W283" s="26">
        <f t="shared" si="152"/>
        <v>8.3224448315911734E-2</v>
      </c>
      <c r="X283" s="26">
        <f t="shared" ref="X283:X346" si="153">SUM(Q283:W283)</f>
        <v>0.99999999999999989</v>
      </c>
      <c r="Z283" s="4">
        <f>'[25]Predicted Residual Prices'!AS556</f>
        <v>14.077803207410046</v>
      </c>
      <c r="AA283" s="4">
        <f>'[26]Predicted Distillate Prices'!AS556</f>
        <v>17.10434163076534</v>
      </c>
      <c r="AB283" s="4">
        <f>'[27]Predicted Gas Prices'!AR556</f>
        <v>5.9870355840577743</v>
      </c>
      <c r="AC283" s="4">
        <f>'[28]Predicted LPG Prices'!AS556</f>
        <v>25.121208632054991</v>
      </c>
      <c r="AD283" s="4">
        <f>'[29]Predicted Coal Prices'!AS556</f>
        <v>4.917280066536251</v>
      </c>
      <c r="AE283" s="4">
        <f>'[30]Predicted Coke Prices'!AS514</f>
        <v>0</v>
      </c>
      <c r="AF283" s="4">
        <f>'[31]Predicted Other Prices'!AT514</f>
        <v>7.9285653431216367</v>
      </c>
      <c r="AH283" s="115">
        <f t="shared" si="150"/>
        <v>6.6278376759792259</v>
      </c>
      <c r="AI283" s="4">
        <f>'[32]Quantity Shares_1998 forward'!AH283</f>
        <v>6.74733137638332</v>
      </c>
    </row>
    <row r="284" spans="4:35" x14ac:dyDescent="0.2">
      <c r="Q284" s="26">
        <f t="shared" ref="Q284:W284" si="154">0.75*Q263+0.25*Q347</f>
        <v>3.106350843586532E-2</v>
      </c>
      <c r="R284" s="26">
        <f t="shared" si="154"/>
        <v>1.6659913062698001E-2</v>
      </c>
      <c r="S284" s="26">
        <f t="shared" si="154"/>
        <v>0.63694466956457674</v>
      </c>
      <c r="T284" s="26">
        <f t="shared" si="154"/>
        <v>1.9818757828040962E-2</v>
      </c>
      <c r="U284" s="26">
        <f t="shared" si="154"/>
        <v>0.14952479186620496</v>
      </c>
      <c r="V284" s="26">
        <f t="shared" si="154"/>
        <v>0</v>
      </c>
      <c r="W284" s="26">
        <f t="shared" si="154"/>
        <v>0.145988359242614</v>
      </c>
      <c r="X284" s="26">
        <f t="shared" si="153"/>
        <v>1</v>
      </c>
      <c r="Z284" s="4">
        <f>'[25]Predicted Residual Prices'!AS557</f>
        <v>17.915924747993479</v>
      </c>
      <c r="AA284" s="4">
        <f>'[26]Predicted Distillate Prices'!AS557</f>
        <v>22.557025224954856</v>
      </c>
      <c r="AB284" s="4">
        <f>'[27]Predicted Gas Prices'!AR557</f>
        <v>6.3864575394466341</v>
      </c>
      <c r="AC284" s="4">
        <f>'[28]Predicted LPG Prices'!AS557</f>
        <v>22.295283862334244</v>
      </c>
      <c r="AD284" s="4">
        <f>'[29]Predicted Coal Prices'!AS557</f>
        <v>5.3498295056281959</v>
      </c>
      <c r="AE284" s="4">
        <f>'[30]Predicted Coke Prices'!AS515</f>
        <v>0</v>
      </c>
      <c r="AF284" s="4">
        <f>'[31]Predicted Other Prices'!AT515</f>
        <v>5.235287699308758</v>
      </c>
      <c r="AH284" s="115">
        <f t="shared" si="150"/>
        <v>7.0062376822063879</v>
      </c>
      <c r="AI284" s="4">
        <f>'[32]Quantity Shares_1998 forward'!AH284</f>
        <v>7.4156474194084048</v>
      </c>
    </row>
    <row r="285" spans="4:35" x14ac:dyDescent="0.2">
      <c r="Q285" s="26">
        <f t="shared" ref="Q285:W285" si="155">0.75*Q264+0.25*Q348</f>
        <v>7.6732467099783442E-3</v>
      </c>
      <c r="R285" s="26">
        <f t="shared" si="155"/>
        <v>4.2697401299350325E-2</v>
      </c>
      <c r="S285" s="26">
        <f t="shared" si="155"/>
        <v>0.77513326669998328</v>
      </c>
      <c r="T285" s="26">
        <f t="shared" si="155"/>
        <v>1.1296435115775445E-2</v>
      </c>
      <c r="U285" s="26">
        <f t="shared" si="155"/>
        <v>0.14138763951357655</v>
      </c>
      <c r="V285" s="26">
        <f t="shared" si="155"/>
        <v>0</v>
      </c>
      <c r="W285" s="26">
        <f t="shared" si="155"/>
        <v>2.1812010661336E-2</v>
      </c>
      <c r="X285" s="26">
        <f t="shared" si="153"/>
        <v>1</v>
      </c>
      <c r="Z285" s="4">
        <f>'[25]Predicted Residual Prices'!AS558</f>
        <v>21.192277375211745</v>
      </c>
      <c r="AA285" s="4">
        <f>'[26]Predicted Distillate Prices'!AS558</f>
        <v>18.899162652141527</v>
      </c>
      <c r="AB285" s="4">
        <f>'[27]Predicted Gas Prices'!AR558</f>
        <v>6.3017215271850482</v>
      </c>
      <c r="AC285" s="4">
        <f>'[28]Predicted LPG Prices'!AS558</f>
        <v>22.636003117766688</v>
      </c>
      <c r="AD285" s="4">
        <f>'[29]Predicted Coal Prices'!AS558</f>
        <v>4.6942394360402711</v>
      </c>
      <c r="AE285" s="4">
        <f>'[30]Predicted Coke Prices'!AS516</f>
        <v>0</v>
      </c>
      <c r="AF285" s="4">
        <f>'[31]Predicted Other Prices'!AT516</f>
        <v>6.1588570652545487</v>
      </c>
      <c r="AH285" s="115">
        <f t="shared" si="150"/>
        <v>6.9079833274696218</v>
      </c>
      <c r="AI285" s="4">
        <f>'[32]Quantity Shares_1998 forward'!AH285</f>
        <v>6.3403748698436146</v>
      </c>
    </row>
    <row r="286" spans="4:35" x14ac:dyDescent="0.2">
      <c r="Q286" s="26">
        <f t="shared" ref="Q286:W286" si="156">0.75*Q265+0.25*Q349</f>
        <v>0</v>
      </c>
      <c r="R286" s="26">
        <f t="shared" si="156"/>
        <v>4.494498548090789E-2</v>
      </c>
      <c r="S286" s="26">
        <f t="shared" si="156"/>
        <v>0.89889970961815768</v>
      </c>
      <c r="T286" s="26">
        <f t="shared" si="156"/>
        <v>4.494498548090789E-2</v>
      </c>
      <c r="U286" s="26">
        <f t="shared" si="156"/>
        <v>0</v>
      </c>
      <c r="V286" s="26">
        <f t="shared" si="156"/>
        <v>0</v>
      </c>
      <c r="W286" s="26">
        <f t="shared" si="156"/>
        <v>1.121031942002647E-2</v>
      </c>
      <c r="X286" s="26">
        <f t="shared" si="153"/>
        <v>0.99999999999999989</v>
      </c>
      <c r="Z286" s="4">
        <f>'[25]Predicted Residual Prices'!AS559</f>
        <v>24.107521223842149</v>
      </c>
      <c r="AA286" s="4">
        <f>'[26]Predicted Distillate Prices'!AS559</f>
        <v>23.5425</v>
      </c>
      <c r="AB286" s="4">
        <f>'[27]Predicted Gas Prices'!AR559</f>
        <v>7.7644112930363463</v>
      </c>
      <c r="AC286" s="4">
        <f>'[28]Predicted LPG Prices'!AS559</f>
        <v>27.457039208523391</v>
      </c>
      <c r="AD286" s="4">
        <f>'[29]Predicted Coal Prices'!AS559</f>
        <v>4.6863092086241807</v>
      </c>
      <c r="AE286" s="4">
        <f>'[30]Predicted Coke Prices'!AS517</f>
        <v>0</v>
      </c>
      <c r="AF286" s="4">
        <f>'[31]Predicted Other Prices'!AT517</f>
        <v>5.8714282465093559</v>
      </c>
      <c r="AH286" s="115">
        <f t="shared" si="150"/>
        <v>9.3374211920215267</v>
      </c>
      <c r="AI286" s="4">
        <f>'[32]Quantity Shares_1998 forward'!AH286</f>
        <v>9.3036091981216256</v>
      </c>
    </row>
    <row r="287" spans="4:35" x14ac:dyDescent="0.2">
      <c r="Q287" s="26">
        <f t="shared" ref="Q287:W287" si="157">0.75*Q266+0.25*Q350</f>
        <v>7.2353845458244803E-2</v>
      </c>
      <c r="R287" s="26">
        <f t="shared" si="157"/>
        <v>8.7059727811185983E-2</v>
      </c>
      <c r="S287" s="26">
        <f t="shared" si="157"/>
        <v>0.72353845458244803</v>
      </c>
      <c r="T287" s="26">
        <f t="shared" si="157"/>
        <v>8.7059727811185983E-2</v>
      </c>
      <c r="U287" s="26">
        <f t="shared" si="157"/>
        <v>0</v>
      </c>
      <c r="V287" s="26">
        <f t="shared" si="157"/>
        <v>0</v>
      </c>
      <c r="W287" s="26">
        <f t="shared" si="157"/>
        <v>2.9988244336935393E-2</v>
      </c>
      <c r="X287" s="26">
        <f t="shared" si="153"/>
        <v>1.0000000000000002</v>
      </c>
      <c r="Z287" s="4">
        <f>'[25]Predicted Residual Prices'!AS560</f>
        <v>21.660773634658995</v>
      </c>
      <c r="AA287" s="4">
        <f>'[26]Predicted Distillate Prices'!AS560</f>
        <v>25.152459136110476</v>
      </c>
      <c r="AB287" s="4">
        <f>'[27]Predicted Gas Prices'!AR560</f>
        <v>6.879054660697502</v>
      </c>
      <c r="AC287" s="4">
        <f>'[28]Predicted LPG Prices'!AS560</f>
        <v>25.806184389539244</v>
      </c>
      <c r="AD287" s="4">
        <f>'[29]Predicted Coal Prices'!AS560</f>
        <v>4.4268221662622951</v>
      </c>
      <c r="AE287" s="4">
        <f>'[30]Predicted Coke Prices'!AS518</f>
        <v>0</v>
      </c>
      <c r="AF287" s="4">
        <f>'[31]Predicted Other Prices'!AT518</f>
        <v>5.4357141232546784</v>
      </c>
      <c r="AH287" s="115">
        <f t="shared" si="150"/>
        <v>11.143954004501609</v>
      </c>
      <c r="AI287" s="4">
        <f>'[32]Quantity Shares_1998 forward'!AH287</f>
        <v>11.02056495922093</v>
      </c>
    </row>
    <row r="288" spans="4:35" x14ac:dyDescent="0.2">
      <c r="Q288" s="26">
        <f t="shared" ref="Q288:W288" si="158">0.75*Q267+0.25*Q351</f>
        <v>2.0148993881004499E-3</v>
      </c>
      <c r="R288" s="26">
        <f t="shared" si="158"/>
        <v>0.1017274685012564</v>
      </c>
      <c r="S288" s="26">
        <f t="shared" si="158"/>
        <v>0.23551922748513501</v>
      </c>
      <c r="T288" s="26">
        <f t="shared" si="158"/>
        <v>1.7691637224961244E-2</v>
      </c>
      <c r="U288" s="26">
        <f t="shared" si="158"/>
        <v>5.8972124083204146E-3</v>
      </c>
      <c r="V288" s="26">
        <f t="shared" si="158"/>
        <v>0</v>
      </c>
      <c r="W288" s="26">
        <f t="shared" si="158"/>
        <v>0.63714955499222647</v>
      </c>
      <c r="X288" s="26">
        <f t="shared" si="153"/>
        <v>1</v>
      </c>
      <c r="Z288" s="4">
        <f>'[25]Predicted Residual Prices'!AS561</f>
        <v>15.623760536150616</v>
      </c>
      <c r="AA288" s="4">
        <f>'[26]Predicted Distillate Prices'!AS561</f>
        <v>20.429135513856941</v>
      </c>
      <c r="AB288" s="4">
        <f>'[27]Predicted Gas Prices'!AR561</f>
        <v>6.0398484705500941</v>
      </c>
      <c r="AC288" s="4">
        <f>'[28]Predicted LPG Prices'!AS561</f>
        <v>23.99953679982633</v>
      </c>
      <c r="AD288" s="4">
        <f>'[29]Predicted Coal Prices'!AS561</f>
        <v>6.3242476186813024</v>
      </c>
      <c r="AE288" s="4">
        <f>'[30]Predicted Coke Prices'!AS519</f>
        <v>0</v>
      </c>
      <c r="AF288" s="4">
        <f>'[31]Predicted Other Prices'!AT519</f>
        <v>3.0727719605315964</v>
      </c>
      <c r="AH288" s="115">
        <f t="shared" si="150"/>
        <v>5.9518868083542413</v>
      </c>
      <c r="AI288" s="4">
        <f>'[32]Quantity Shares_1998 forward'!AH288</f>
        <v>5.4410452114278423</v>
      </c>
    </row>
    <row r="289" spans="15:35" x14ac:dyDescent="0.2">
      <c r="Q289" s="26">
        <f t="shared" ref="Q289:W289" si="159">0.75*Q268+0.25*Q352</f>
        <v>3.2236503444380393E-2</v>
      </c>
      <c r="R289" s="26">
        <f t="shared" si="159"/>
        <v>6.1056228126874328E-3</v>
      </c>
      <c r="S289" s="26">
        <f t="shared" si="159"/>
        <v>0.43398779472308113</v>
      </c>
      <c r="T289" s="26">
        <f t="shared" si="159"/>
        <v>3.977822615865695E-3</v>
      </c>
      <c r="U289" s="26">
        <f t="shared" si="159"/>
        <v>0.20328287592660532</v>
      </c>
      <c r="V289" s="26">
        <f t="shared" si="159"/>
        <v>3.9306116031654526E-5</v>
      </c>
      <c r="W289" s="26">
        <f t="shared" si="159"/>
        <v>0.3203700743613484</v>
      </c>
      <c r="X289" s="26">
        <f t="shared" si="153"/>
        <v>1</v>
      </c>
      <c r="Z289" s="4">
        <f>'[25]Predicted Residual Prices'!AS562</f>
        <v>15.827153315558551</v>
      </c>
      <c r="AA289" s="4">
        <f>'[26]Predicted Distillate Prices'!AS562</f>
        <v>19.973089111709395</v>
      </c>
      <c r="AB289" s="4">
        <f>'[27]Predicted Gas Prices'!AR562</f>
        <v>5.249436260845302</v>
      </c>
      <c r="AC289" s="4">
        <f>'[28]Predicted LPG Prices'!AS562</f>
        <v>24.770404027723679</v>
      </c>
      <c r="AD289" s="4">
        <f>'[29]Predicted Coal Prices'!AS562</f>
        <v>4.1783346478974428</v>
      </c>
      <c r="AE289" s="4">
        <f>'[30]Predicted Coke Prices'!AS520</f>
        <v>7.6322500000000009</v>
      </c>
      <c r="AF289" s="4">
        <f>'[31]Predicted Other Prices'!AT520</f>
        <v>3.8410541770866389</v>
      </c>
      <c r="AH289" s="115">
        <f t="shared" si="150"/>
        <v>5.0891264608729401</v>
      </c>
      <c r="AI289" s="4">
        <f>'[32]Quantity Shares_1998 forward'!AH289</f>
        <v>5.0487737581037448</v>
      </c>
    </row>
    <row r="290" spans="15:35" x14ac:dyDescent="0.2">
      <c r="Q290" s="26">
        <f t="shared" ref="Q290:W290" si="160">0.75*Q269+0.25*Q353</f>
        <v>1.6735914734552935E-3</v>
      </c>
      <c r="R290" s="26">
        <f t="shared" si="160"/>
        <v>3.9629464937086158E-3</v>
      </c>
      <c r="S290" s="26">
        <f t="shared" si="160"/>
        <v>0.95947077337817088</v>
      </c>
      <c r="T290" s="26">
        <f t="shared" si="160"/>
        <v>2.7314194001125572E-2</v>
      </c>
      <c r="U290" s="26">
        <f t="shared" si="160"/>
        <v>0</v>
      </c>
      <c r="V290" s="26">
        <f t="shared" si="160"/>
        <v>0</v>
      </c>
      <c r="W290" s="26">
        <f t="shared" si="160"/>
        <v>7.5784946535396424E-3</v>
      </c>
      <c r="X290" s="26">
        <f t="shared" si="153"/>
        <v>1</v>
      </c>
      <c r="Z290" s="4">
        <f>'[25]Predicted Residual Prices'!AS563</f>
        <v>14.583761097874389</v>
      </c>
      <c r="AA290" s="4">
        <f>'[26]Predicted Distillate Prices'!AS563</f>
        <v>24.30399540439188</v>
      </c>
      <c r="AB290" s="4">
        <f>'[27]Predicted Gas Prices'!AR563</f>
        <v>6.4859205284022154</v>
      </c>
      <c r="AC290" s="4">
        <f>'[28]Predicted LPG Prices'!AS563</f>
        <v>24.237419694455482</v>
      </c>
      <c r="AD290" s="4">
        <f>'[29]Predicted Coal Prices'!AS563</f>
        <v>4.968558614479587</v>
      </c>
      <c r="AE290" s="4">
        <f>'[30]Predicted Coke Prices'!AS521</f>
        <v>0</v>
      </c>
      <c r="AF290" s="4">
        <f>'[31]Predicted Other Prices'!AT521</f>
        <v>3.8431582981415238</v>
      </c>
      <c r="AH290" s="115">
        <f t="shared" si="150"/>
        <v>7.0349248152869164</v>
      </c>
      <c r="AI290" s="4">
        <f>'[32]Quantity Shares_1998 forward'!AH290</f>
        <v>7.043380317150719</v>
      </c>
    </row>
    <row r="291" spans="15:35" x14ac:dyDescent="0.2">
      <c r="Q291" s="26">
        <f t="shared" ref="Q291:W291" si="161">0.75*Q270+0.25*Q354</f>
        <v>7.3950584135167767E-3</v>
      </c>
      <c r="R291" s="26">
        <f t="shared" si="161"/>
        <v>1.0863415256352926E-2</v>
      </c>
      <c r="S291" s="26">
        <f t="shared" si="161"/>
        <v>0.6926297324031111</v>
      </c>
      <c r="T291" s="26">
        <f t="shared" si="161"/>
        <v>4.1319268494718489E-3</v>
      </c>
      <c r="U291" s="26">
        <f t="shared" si="161"/>
        <v>7.4976710529123872E-3</v>
      </c>
      <c r="V291" s="26">
        <f t="shared" si="161"/>
        <v>0</v>
      </c>
      <c r="W291" s="26">
        <f t="shared" si="161"/>
        <v>0.27748219602463498</v>
      </c>
      <c r="X291" s="26">
        <f t="shared" si="153"/>
        <v>1</v>
      </c>
      <c r="Z291" s="4">
        <f>'[25]Predicted Residual Prices'!AS564</f>
        <v>14.39843760428648</v>
      </c>
      <c r="AA291" s="4">
        <f>'[26]Predicted Distillate Prices'!AS564</f>
        <v>19.341913581040021</v>
      </c>
      <c r="AB291" s="4">
        <f>'[27]Predicted Gas Prices'!AR564</f>
        <v>4.59002433386582</v>
      </c>
      <c r="AC291" s="4">
        <f>'[28]Predicted LPG Prices'!AS564</f>
        <v>23.595877230398749</v>
      </c>
      <c r="AD291" s="4">
        <f>'[29]Predicted Coal Prices'!AS564</f>
        <v>5.448970127418443</v>
      </c>
      <c r="AE291" s="4">
        <f>'[30]Predicted Coke Prices'!AS522</f>
        <v>0</v>
      </c>
      <c r="AF291" s="4">
        <f>'[31]Predicted Other Prices'!AT522</f>
        <v>7.0155300112754411</v>
      </c>
      <c r="AH291" s="115">
        <f t="shared" si="150"/>
        <v>5.5808195503827536</v>
      </c>
      <c r="AI291" s="4">
        <f>'[32]Quantity Shares_1998 forward'!AH291</f>
        <v>5.0205608446528469</v>
      </c>
    </row>
    <row r="292" spans="15:35" x14ac:dyDescent="0.2">
      <c r="Q292" s="26">
        <f t="shared" ref="Q292:W292" si="162">0.75*Q271+0.25*Q355</f>
        <v>1.9575514750967719E-3</v>
      </c>
      <c r="R292" s="26">
        <f t="shared" si="162"/>
        <v>3.4264464279863513E-3</v>
      </c>
      <c r="S292" s="26">
        <f t="shared" si="162"/>
        <v>0.73829038086188903</v>
      </c>
      <c r="T292" s="26">
        <f t="shared" si="162"/>
        <v>2.5507027947970252E-3</v>
      </c>
      <c r="U292" s="26">
        <f t="shared" si="162"/>
        <v>8.4436594007872803E-2</v>
      </c>
      <c r="V292" s="26">
        <f t="shared" si="162"/>
        <v>0</v>
      </c>
      <c r="W292" s="26">
        <f t="shared" si="162"/>
        <v>0.16933832443235805</v>
      </c>
      <c r="X292" s="26">
        <f t="shared" si="153"/>
        <v>1</v>
      </c>
      <c r="Z292" s="4">
        <f>'[25]Predicted Residual Prices'!AS565</f>
        <v>14.632114983638465</v>
      </c>
      <c r="AA292" s="4">
        <f>'[26]Predicted Distillate Prices'!AS565</f>
        <v>21.342749639822735</v>
      </c>
      <c r="AB292" s="4">
        <f>'[27]Predicted Gas Prices'!AR565</f>
        <v>4.5248374278200831</v>
      </c>
      <c r="AC292" s="4">
        <f>'[28]Predicted LPG Prices'!AS565</f>
        <v>16.519456354100448</v>
      </c>
      <c r="AD292" s="4">
        <f>'[29]Predicted Coal Prices'!AS565</f>
        <v>3.7023199182502773</v>
      </c>
      <c r="AE292" s="4">
        <f>'[30]Predicted Coke Prices'!AS523</f>
        <v>9.9281643082208131</v>
      </c>
      <c r="AF292" s="4">
        <f>'[31]Predicted Other Prices'!AT523</f>
        <v>7.5514419444728578</v>
      </c>
      <c r="AH292" s="115">
        <f t="shared" si="150"/>
        <v>5.0759128877009561</v>
      </c>
      <c r="AI292" s="4">
        <f>'[32]Quantity Shares_1998 forward'!AH292</f>
        <v>5.0492059381474901</v>
      </c>
    </row>
    <row r="293" spans="15:35" x14ac:dyDescent="0.2">
      <c r="Q293" s="26">
        <f t="shared" ref="Q293:W293" si="163">0.75*Q272+0.25*Q356</f>
        <v>6.5331010452961678E-4</v>
      </c>
      <c r="R293" s="26">
        <f t="shared" si="163"/>
        <v>1.3331313437357977E-2</v>
      </c>
      <c r="S293" s="26">
        <f t="shared" si="163"/>
        <v>0.91150961975458278</v>
      </c>
      <c r="T293" s="26">
        <f t="shared" si="163"/>
        <v>2.3670655961218E-2</v>
      </c>
      <c r="U293" s="26">
        <f t="shared" si="163"/>
        <v>2.6397515527950312E-2</v>
      </c>
      <c r="V293" s="26">
        <f t="shared" si="163"/>
        <v>0</v>
      </c>
      <c r="W293" s="26">
        <f t="shared" si="163"/>
        <v>2.443758521436146E-2</v>
      </c>
      <c r="X293" s="26">
        <f t="shared" si="153"/>
        <v>1.0000000000000002</v>
      </c>
      <c r="Z293" s="4">
        <f>'[25]Predicted Residual Prices'!AS566</f>
        <v>15.962566470902619</v>
      </c>
      <c r="AA293" s="4">
        <f>'[26]Predicted Distillate Prices'!AS566</f>
        <v>26.568915890323559</v>
      </c>
      <c r="AB293" s="4">
        <f>'[27]Predicted Gas Prices'!AR566</f>
        <v>6.2451780878857592</v>
      </c>
      <c r="AC293" s="4">
        <f>'[28]Predicted LPG Prices'!AS566</f>
        <v>23.833879482672756</v>
      </c>
      <c r="AD293" s="4">
        <f>'[29]Predicted Coal Prices'!AS566</f>
        <v>6.73794094631109</v>
      </c>
      <c r="AE293" s="4">
        <f>'[30]Predicted Coke Prices'!AS524</f>
        <v>0</v>
      </c>
      <c r="AF293" s="4">
        <f>'[31]Predicted Other Prices'!AT524</f>
        <v>6.1753961603198864</v>
      </c>
      <c r="AH293" s="115">
        <f t="shared" si="150"/>
        <v>6.9501071876951679</v>
      </c>
      <c r="AI293" s="4">
        <f>'[32]Quantity Shares_1998 forward'!AH293</f>
        <v>6.8294863546199398</v>
      </c>
    </row>
    <row r="294" spans="15:35" x14ac:dyDescent="0.2">
      <c r="Q294" s="26">
        <f t="shared" ref="Q294:W294" si="164">0.75*Q273+0.25*Q357</f>
        <v>1.3257933204254802E-3</v>
      </c>
      <c r="R294" s="26">
        <f t="shared" si="164"/>
        <v>3.5649362095939011E-2</v>
      </c>
      <c r="S294" s="26">
        <f t="shared" si="164"/>
        <v>0.46162648051511335</v>
      </c>
      <c r="T294" s="26">
        <f t="shared" si="164"/>
        <v>3.5825519802952458E-3</v>
      </c>
      <c r="U294" s="26">
        <f t="shared" si="164"/>
        <v>0.35630213477753114</v>
      </c>
      <c r="V294" s="26">
        <f t="shared" si="164"/>
        <v>1.5046335105368895E-2</v>
      </c>
      <c r="W294" s="26">
        <f t="shared" si="164"/>
        <v>0.12646734220532682</v>
      </c>
      <c r="X294" s="26">
        <f t="shared" si="153"/>
        <v>1</v>
      </c>
      <c r="Z294" s="4">
        <f>'[25]Predicted Residual Prices'!AS567</f>
        <v>14.60308783444702</v>
      </c>
      <c r="AA294" s="4">
        <f>'[26]Predicted Distillate Prices'!AS567</f>
        <v>20.747877850100856</v>
      </c>
      <c r="AB294" s="4">
        <f>'[27]Predicted Gas Prices'!AR567</f>
        <v>5.4707641275456895</v>
      </c>
      <c r="AC294" s="4">
        <f>'[28]Predicted LPG Prices'!AS567</f>
        <v>24.314108121375142</v>
      </c>
      <c r="AD294" s="4">
        <f>'[29]Predicted Coal Prices'!AS567</f>
        <v>3.5878621784288289</v>
      </c>
      <c r="AE294" s="4">
        <f>'[30]Predicted Coke Prices'!AS525</f>
        <v>8.6945128714651911</v>
      </c>
      <c r="AF294" s="4">
        <f>'[31]Predicted Other Prices'!AT525</f>
        <v>2.5430857962582105</v>
      </c>
      <c r="AH294" s="115">
        <f t="shared" si="150"/>
        <v>5.102366241992307</v>
      </c>
      <c r="AI294" s="4">
        <f>'[32]Quantity Shares_1998 forward'!AH294</f>
        <v>5.2106198163087081</v>
      </c>
    </row>
    <row r="295" spans="15:35" x14ac:dyDescent="0.2">
      <c r="Q295" s="26">
        <f t="shared" ref="Q295:W295" si="165">0.75*Q274+0.25*Q358</f>
        <v>1.2248296037173283E-3</v>
      </c>
      <c r="R295" s="26">
        <f t="shared" si="165"/>
        <v>8.9887404432226394E-3</v>
      </c>
      <c r="S295" s="26">
        <f t="shared" si="165"/>
        <v>0.61364776740781679</v>
      </c>
      <c r="T295" s="26">
        <f t="shared" si="165"/>
        <v>3.2675436131053216E-3</v>
      </c>
      <c r="U295" s="26">
        <f t="shared" si="165"/>
        <v>2.3694683706985256E-2</v>
      </c>
      <c r="V295" s="26">
        <f t="shared" si="165"/>
        <v>0.29796095456237193</v>
      </c>
      <c r="W295" s="26">
        <f t="shared" si="165"/>
        <v>5.1215480662780741E-2</v>
      </c>
      <c r="X295" s="26">
        <f t="shared" si="153"/>
        <v>1</v>
      </c>
      <c r="Z295" s="4">
        <f>'[25]Predicted Residual Prices'!AS568</f>
        <v>13.909338715915039</v>
      </c>
      <c r="AA295" s="4">
        <f>'[26]Predicted Distillate Prices'!AS568</f>
        <v>19.195986802086878</v>
      </c>
      <c r="AB295" s="4">
        <f>'[27]Predicted Gas Prices'!AR568</f>
        <v>5.1398572634461797</v>
      </c>
      <c r="AC295" s="4">
        <f>'[28]Predicted LPG Prices'!AS568</f>
        <v>20.910595037093415</v>
      </c>
      <c r="AD295" s="4">
        <f>'[29]Predicted Coal Prices'!AS568</f>
        <v>5.5530190870425642</v>
      </c>
      <c r="AE295" s="4">
        <f>'[30]Predicted Coke Prices'!AS526</f>
        <v>12.234913396226879</v>
      </c>
      <c r="AF295" s="4">
        <f>'[31]Predicted Other Prices'!AT526</f>
        <v>4.1270452479394404</v>
      </c>
      <c r="AH295" s="115">
        <f t="shared" si="150"/>
        <v>7.4004446400154587</v>
      </c>
      <c r="AI295" s="4">
        <f>'[32]Quantity Shares_1998 forward'!AH295</f>
        <v>7.8408549235200704</v>
      </c>
    </row>
    <row r="296" spans="15:35" x14ac:dyDescent="0.2">
      <c r="Q296" s="26">
        <f t="shared" ref="Q296:W296" si="166">0.75*Q275+0.25*Q359</f>
        <v>4.3554006968641126E-4</v>
      </c>
      <c r="R296" s="26">
        <f t="shared" si="166"/>
        <v>1.5553764279647064E-2</v>
      </c>
      <c r="S296" s="26">
        <f t="shared" si="166"/>
        <v>0.94313710194671252</v>
      </c>
      <c r="T296" s="26">
        <f t="shared" si="166"/>
        <v>3.0483471146012103E-2</v>
      </c>
      <c r="U296" s="26">
        <f t="shared" si="166"/>
        <v>4.3554006968641126E-4</v>
      </c>
      <c r="V296" s="26">
        <f t="shared" si="166"/>
        <v>0</v>
      </c>
      <c r="W296" s="26">
        <f t="shared" si="166"/>
        <v>9.9545824882555853E-3</v>
      </c>
      <c r="X296" s="26">
        <f t="shared" si="153"/>
        <v>1</v>
      </c>
      <c r="Z296" s="4">
        <f>'[25]Predicted Residual Prices'!AS569</f>
        <v>11.88685758303431</v>
      </c>
      <c r="AA296" s="4">
        <f>'[26]Predicted Distillate Prices'!AS569</f>
        <v>27.021039759024344</v>
      </c>
      <c r="AB296" s="4">
        <f>'[27]Predicted Gas Prices'!AR569</f>
        <v>6.2370728766195835</v>
      </c>
      <c r="AC296" s="4">
        <f>'[28]Predicted LPG Prices'!AS569</f>
        <v>26.544949226328185</v>
      </c>
      <c r="AD296" s="4">
        <f>'[29]Predicted Coal Prices'!AS569</f>
        <v>5.7509920973331408</v>
      </c>
      <c r="AE296" s="4">
        <f>'[30]Predicted Coke Prices'!AS527</f>
        <v>10.233756013630229</v>
      </c>
      <c r="AF296" s="4">
        <f>'[31]Predicted Other Prices'!AT527</f>
        <v>7.359813916986365</v>
      </c>
      <c r="AH296" s="115">
        <f t="shared" si="150"/>
        <v>7.1928217793151656</v>
      </c>
      <c r="AI296" s="4">
        <f>'[32]Quantity Shares_1998 forward'!AH296</f>
        <v>7.2430790337839106</v>
      </c>
    </row>
    <row r="297" spans="15:35" x14ac:dyDescent="0.2">
      <c r="Q297" s="26">
        <f t="shared" ref="Q297:W297" si="167">0.75*Q276+0.25*Q360</f>
        <v>1.2736050045184886E-3</v>
      </c>
      <c r="R297" s="26">
        <f t="shared" si="167"/>
        <v>4.4224997307636481E-2</v>
      </c>
      <c r="S297" s="26">
        <f t="shared" si="167"/>
        <v>0.9072679767941676</v>
      </c>
      <c r="T297" s="26">
        <f t="shared" si="167"/>
        <v>2.8480523676410682E-2</v>
      </c>
      <c r="U297" s="26">
        <f t="shared" si="167"/>
        <v>6.0168471720818293E-3</v>
      </c>
      <c r="V297" s="26">
        <f t="shared" si="167"/>
        <v>0</v>
      </c>
      <c r="W297" s="26">
        <f t="shared" si="167"/>
        <v>1.2736050045184884E-2</v>
      </c>
      <c r="X297" s="26">
        <f t="shared" si="153"/>
        <v>0.99999999999999989</v>
      </c>
      <c r="Z297" s="4">
        <f>'[25]Predicted Residual Prices'!AS570</f>
        <v>11.940140360198802</v>
      </c>
      <c r="AA297" s="4">
        <f>'[26]Predicted Distillate Prices'!AS570</f>
        <v>27.45240948215033</v>
      </c>
      <c r="AB297" s="4">
        <f>'[27]Predicted Gas Prices'!AR570</f>
        <v>6.6061188789413237</v>
      </c>
      <c r="AC297" s="4">
        <f>'[28]Predicted LPG Prices'!AS570</f>
        <v>25.99717495716768</v>
      </c>
      <c r="AD297" s="4">
        <f>'[29]Predicted Coal Prices'!AS570</f>
        <v>4.0801298567569413</v>
      </c>
      <c r="AE297" s="4">
        <f>'[30]Predicted Coke Prices'!AS528</f>
        <v>0</v>
      </c>
      <c r="AF297" s="4">
        <f>'[31]Predicted Other Prices'!AT528</f>
        <v>14.330261719241335</v>
      </c>
      <c r="AH297" s="115">
        <f t="shared" si="150"/>
        <v>8.1702834728070979</v>
      </c>
      <c r="AI297" s="4">
        <f>'[32]Quantity Shares_1998 forward'!AH297</f>
        <v>7.970215482756184</v>
      </c>
    </row>
    <row r="298" spans="15:35" x14ac:dyDescent="0.2">
      <c r="Q298" s="26">
        <f t="shared" ref="Q298:W298" si="168">0.75*Q277+0.25*Q361</f>
        <v>2.7567693744164328E-3</v>
      </c>
      <c r="R298" s="26">
        <f t="shared" si="168"/>
        <v>6.7250233426704008E-3</v>
      </c>
      <c r="S298" s="26">
        <f t="shared" si="168"/>
        <v>0.97431139122315569</v>
      </c>
      <c r="T298" s="26">
        <f t="shared" si="168"/>
        <v>2.7567693744164328E-3</v>
      </c>
      <c r="U298" s="26">
        <f t="shared" si="168"/>
        <v>0</v>
      </c>
      <c r="V298" s="26">
        <f t="shared" si="168"/>
        <v>0</v>
      </c>
      <c r="W298" s="26">
        <f t="shared" si="168"/>
        <v>1.3450046685340802E-2</v>
      </c>
      <c r="X298" s="26">
        <f t="shared" si="153"/>
        <v>0.99999999999999967</v>
      </c>
      <c r="Z298" s="4">
        <f>'[25]Predicted Residual Prices'!AS571</f>
        <v>19.596467065998439</v>
      </c>
      <c r="AA298" s="4">
        <f>'[26]Predicted Distillate Prices'!AS571</f>
        <v>24.801727910588095</v>
      </c>
      <c r="AB298" s="4">
        <f>'[27]Predicted Gas Prices'!AR571</f>
        <v>6.342918461769802</v>
      </c>
      <c r="AC298" s="4">
        <f>'[28]Predicted LPG Prices'!AS571</f>
        <v>29.394716886125046</v>
      </c>
      <c r="AD298" s="4">
        <f>'[29]Predicted Coal Prices'!AS571</f>
        <v>5.7788763353352754</v>
      </c>
      <c r="AE298" s="4">
        <f>'[30]Predicted Coke Prices'!AS529</f>
        <v>0</v>
      </c>
      <c r="AF298" s="4">
        <f>'[31]Predicted Other Prices'!AT529</f>
        <v>15.993912359388801</v>
      </c>
      <c r="AH298" s="115">
        <f t="shared" si="150"/>
        <v>6.6969461734898834</v>
      </c>
      <c r="AI298" s="4">
        <f>'[32]Quantity Shares_1998 forward'!AH298</f>
        <v>6.5434297033687105</v>
      </c>
    </row>
    <row r="299" spans="15:35" x14ac:dyDescent="0.2">
      <c r="Q299" s="26">
        <f t="shared" ref="Q299:W299" si="169">0.75*Q278+0.25*Q362</f>
        <v>9.791122715404701E-4</v>
      </c>
      <c r="R299" s="26">
        <f t="shared" si="169"/>
        <v>2.2033225822966261E-2</v>
      </c>
      <c r="S299" s="26">
        <f t="shared" si="169"/>
        <v>0.92554907080325599</v>
      </c>
      <c r="T299" s="26">
        <f t="shared" si="169"/>
        <v>2.7752180071332275E-2</v>
      </c>
      <c r="U299" s="26">
        <f t="shared" si="169"/>
        <v>0</v>
      </c>
      <c r="V299" s="26">
        <f t="shared" si="169"/>
        <v>3.4300926636973328E-3</v>
      </c>
      <c r="W299" s="26">
        <f t="shared" si="169"/>
        <v>2.0256318367207635E-2</v>
      </c>
      <c r="X299" s="26">
        <f t="shared" si="153"/>
        <v>1</v>
      </c>
      <c r="Z299" s="4">
        <f>'[25]Predicted Residual Prices'!AS572</f>
        <v>16.922118987554239</v>
      </c>
      <c r="AA299" s="4">
        <f>'[26]Predicted Distillate Prices'!AS572</f>
        <v>22.993996826860506</v>
      </c>
      <c r="AB299" s="4">
        <f>'[27]Predicted Gas Prices'!AR572</f>
        <v>6.316781486207236</v>
      </c>
      <c r="AC299" s="4">
        <f>'[28]Predicted LPG Prices'!AS572</f>
        <v>21.489935076496575</v>
      </c>
      <c r="AD299" s="4">
        <f>'[29]Predicted Coal Prices'!AS572</f>
        <v>5.7356602704273598</v>
      </c>
      <c r="AE299" s="4">
        <f>'[30]Predicted Coke Prices'!AS530</f>
        <v>0</v>
      </c>
      <c r="AF299" s="4">
        <f>'[31]Predicted Other Prices'!AT530</f>
        <v>8.1432237698094756</v>
      </c>
      <c r="AH299" s="115">
        <f t="shared" si="150"/>
        <v>7.1310360952271337</v>
      </c>
      <c r="AI299" s="4">
        <f>'[32]Quantity Shares_1998 forward'!AH299</f>
        <v>7.1318209751217294</v>
      </c>
    </row>
    <row r="300" spans="15:35" x14ac:dyDescent="0.2">
      <c r="Q300" s="26">
        <f t="shared" ref="Q300:W300" si="170">0.75*Q279+0.25*Q363</f>
        <v>1.2021373234608529E-2</v>
      </c>
      <c r="R300" s="26">
        <f t="shared" si="170"/>
        <v>2.1861716714657892E-2</v>
      </c>
      <c r="S300" s="26">
        <f t="shared" si="170"/>
        <v>0.88820401412313177</v>
      </c>
      <c r="T300" s="26">
        <f t="shared" si="170"/>
        <v>2.1861716714657892E-2</v>
      </c>
      <c r="U300" s="26">
        <f t="shared" si="170"/>
        <v>1.7266128479363776E-2</v>
      </c>
      <c r="V300" s="26">
        <f t="shared" si="170"/>
        <v>3.0637254901960789E-4</v>
      </c>
      <c r="W300" s="26">
        <f t="shared" si="170"/>
        <v>3.8478678184560536E-2</v>
      </c>
      <c r="X300" s="26">
        <f t="shared" si="153"/>
        <v>1</v>
      </c>
      <c r="Z300" s="4">
        <f>'[25]Predicted Residual Prices'!AS573</f>
        <v>12.991839107438601</v>
      </c>
      <c r="AA300" s="4">
        <f>'[26]Predicted Distillate Prices'!AS573</f>
        <v>24.243012693171639</v>
      </c>
      <c r="AB300" s="4">
        <f>'[27]Predicted Gas Prices'!AR573</f>
        <v>6.1595563561306257</v>
      </c>
      <c r="AC300" s="4">
        <f>'[28]Predicted LPG Prices'!AS573</f>
        <v>26.288018868089729</v>
      </c>
      <c r="AD300" s="4">
        <f>'[29]Predicted Coal Prices'!AS573</f>
        <v>5.7455800328340372</v>
      </c>
      <c r="AE300" s="4">
        <f>'[30]Predicted Coke Prices'!AS531</f>
        <v>0</v>
      </c>
      <c r="AF300" s="4">
        <f>'[31]Predicted Other Prices'!AT531</f>
        <v>8.6634094974145697</v>
      </c>
      <c r="AH300" s="115">
        <f t="shared" si="150"/>
        <v>7.1643779940065686</v>
      </c>
      <c r="AI300" s="4">
        <f>'[32]Quantity Shares_1998 forward'!AH300</f>
        <v>7.3579222150876316</v>
      </c>
    </row>
    <row r="301" spans="15:35" x14ac:dyDescent="0.2">
      <c r="Q301" s="26">
        <f t="shared" ref="Q301:W301" si="171">0.75*Q280+0.25*Q364</f>
        <v>0</v>
      </c>
      <c r="R301" s="26">
        <f t="shared" si="171"/>
        <v>9.0129916997473847E-3</v>
      </c>
      <c r="S301" s="26">
        <f t="shared" si="171"/>
        <v>0.81874774449657173</v>
      </c>
      <c r="T301" s="26">
        <f t="shared" si="171"/>
        <v>6.0718152291591498E-2</v>
      </c>
      <c r="U301" s="26">
        <f t="shared" si="171"/>
        <v>1.2143630458318299E-2</v>
      </c>
      <c r="V301" s="26">
        <f t="shared" si="171"/>
        <v>0</v>
      </c>
      <c r="W301" s="26">
        <f t="shared" si="171"/>
        <v>9.9377481053771227E-2</v>
      </c>
      <c r="X301" s="26">
        <f t="shared" si="153"/>
        <v>1.0000000000000002</v>
      </c>
      <c r="Z301" s="4">
        <f>'[25]Predicted Residual Prices'!AS574</f>
        <v>12.323918149152091</v>
      </c>
      <c r="AA301" s="4">
        <f>'[26]Predicted Distillate Prices'!AS574</f>
        <v>25.706286896625507</v>
      </c>
      <c r="AB301" s="4">
        <f>'[27]Predicted Gas Prices'!AR574</f>
        <v>7.8480640216626121</v>
      </c>
      <c r="AC301" s="4">
        <f>'[28]Predicted LPG Prices'!AS574</f>
        <v>26.277462290866858</v>
      </c>
      <c r="AD301" s="4">
        <f>'[29]Predicted Coal Prices'!AS574</f>
        <v>3.2887521440343925</v>
      </c>
      <c r="AE301" s="4">
        <f>'[30]Predicted Coke Prices'!AS532</f>
        <v>0</v>
      </c>
      <c r="AF301" s="4">
        <f>'[31]Predicted Other Prices'!AT532</f>
        <v>2.4947246497564404</v>
      </c>
      <c r="AH301" s="115">
        <f t="shared" si="150"/>
        <v>8.5406510663666779</v>
      </c>
      <c r="AI301" s="4">
        <f>'[32]Quantity Shares_1998 forward'!AH301</f>
        <v>8.4408423829797599</v>
      </c>
    </row>
    <row r="302" spans="15:35" x14ac:dyDescent="0.2">
      <c r="Q302" s="26">
        <f t="shared" ref="Q302:W302" si="172">0.75*Q281+0.25*Q365</f>
        <v>5.2128719033984793E-3</v>
      </c>
      <c r="R302" s="26">
        <f t="shared" si="172"/>
        <v>4.5811029503298871E-2</v>
      </c>
      <c r="S302" s="26">
        <f t="shared" si="172"/>
        <v>0.92431221212498416</v>
      </c>
      <c r="T302" s="26">
        <f t="shared" si="172"/>
        <v>1.3335615585708949E-2</v>
      </c>
      <c r="U302" s="26">
        <f t="shared" si="172"/>
        <v>4.3103448275862051E-3</v>
      </c>
      <c r="V302" s="26">
        <f t="shared" si="172"/>
        <v>0</v>
      </c>
      <c r="W302" s="26">
        <f t="shared" si="172"/>
        <v>7.0179260550230285E-3</v>
      </c>
      <c r="X302" s="26">
        <f t="shared" si="153"/>
        <v>0.99999999999999967</v>
      </c>
      <c r="Z302" s="4">
        <f>'[25]Predicted Residual Prices'!AS575</f>
        <v>24.302601330582192</v>
      </c>
      <c r="AA302" s="4">
        <f>'[26]Predicted Distillate Prices'!AS575</f>
        <v>24.095152715435255</v>
      </c>
      <c r="AB302" s="4">
        <f>'[27]Predicted Gas Prices'!AR575</f>
        <v>7.5813127671085239</v>
      </c>
      <c r="AC302" s="4">
        <f>'[28]Predicted LPG Prices'!AS575</f>
        <v>29.477349310241596</v>
      </c>
      <c r="AD302" s="4">
        <f>'[29]Predicted Coal Prices'!AS575</f>
        <v>4.4957042884861371</v>
      </c>
      <c r="AE302" s="4">
        <f>'[30]Predicted Coke Prices'!AS533</f>
        <v>0</v>
      </c>
      <c r="AF302" s="4">
        <f>'[31]Predicted Other Prices'!AT533</f>
        <v>6.5202895108029892</v>
      </c>
      <c r="AH302" s="115">
        <f t="shared" si="150"/>
        <v>8.6962456184238839</v>
      </c>
      <c r="AI302" s="4">
        <f>'[32]Quantity Shares_1998 forward'!AH302</f>
        <v>8.9256629347616556</v>
      </c>
    </row>
    <row r="303" spans="15:35" x14ac:dyDescent="0.2">
      <c r="O303" s="17"/>
      <c r="P303">
        <v>2012</v>
      </c>
      <c r="Q303" s="26">
        <f t="shared" ref="Q303:W303" si="173">0.5*Q261+0.5*Q345</f>
        <v>9.5767398893861037E-3</v>
      </c>
      <c r="R303" s="26">
        <f t="shared" si="173"/>
        <v>2.5687437764687536E-2</v>
      </c>
      <c r="S303" s="26">
        <f t="shared" si="173"/>
        <v>0.70405459311602459</v>
      </c>
      <c r="T303" s="26">
        <f t="shared" si="173"/>
        <v>6.7716518901539237E-3</v>
      </c>
      <c r="U303" s="26">
        <f t="shared" si="173"/>
        <v>0.17691174882727675</v>
      </c>
      <c r="V303" s="26">
        <f t="shared" si="173"/>
        <v>1.8100728228138158E-3</v>
      </c>
      <c r="W303" s="26">
        <f t="shared" si="173"/>
        <v>7.5187755689657243E-2</v>
      </c>
      <c r="X303" s="26">
        <f t="shared" si="153"/>
        <v>1</v>
      </c>
      <c r="Z303" s="4">
        <f>'[25]Predicted Residual Prices'!AS576</f>
        <v>17.946611253148074</v>
      </c>
      <c r="AA303" s="4">
        <f>'[26]Predicted Distillate Prices'!AS576</f>
        <v>23.91891235473593</v>
      </c>
      <c r="AB303" s="4">
        <f>'[27]Predicted Gas Prices'!AR576</f>
        <v>4.1805745382997106</v>
      </c>
      <c r="AC303" s="4">
        <f>'[28]Predicted LPG Prices'!AS576</f>
        <v>20.050233973363987</v>
      </c>
      <c r="AD303" s="4">
        <f>'[29]Predicted Coal Prices'!AS576</f>
        <v>2.9203025079915328</v>
      </c>
      <c r="AE303" s="4">
        <f>'[30]Predicted Coke Prices'!AS534</f>
        <v>21.881971348277627</v>
      </c>
      <c r="AF303" s="4">
        <f>'[31]Predicted Other Prices'!AT534</f>
        <v>6.1873977286486648</v>
      </c>
      <c r="AG303">
        <v>2012</v>
      </c>
      <c r="AH303" s="115">
        <f t="shared" si="150"/>
        <v>4.8868718449331459</v>
      </c>
      <c r="AI303" s="4">
        <f>'[32]Quantity Shares_1998 forward'!AH303</f>
        <v>4.9673665570355174</v>
      </c>
    </row>
    <row r="304" spans="15:35" x14ac:dyDescent="0.2">
      <c r="O304" s="17"/>
      <c r="Q304" s="26">
        <f t="shared" ref="Q304:W304" si="174">0.5*Q262+0.5*Q346</f>
        <v>1.2993612078977933E-2</v>
      </c>
      <c r="R304" s="26">
        <f t="shared" si="174"/>
        <v>1.7058652729384435E-2</v>
      </c>
      <c r="S304" s="26">
        <f t="shared" si="174"/>
        <v>0.72952961672473871</v>
      </c>
      <c r="T304" s="26">
        <f t="shared" si="174"/>
        <v>1.7058652729384435E-2</v>
      </c>
      <c r="U304" s="26">
        <f t="shared" si="174"/>
        <v>0.14619628339140534</v>
      </c>
      <c r="V304" s="26">
        <f t="shared" si="174"/>
        <v>0</v>
      </c>
      <c r="W304" s="26">
        <f t="shared" si="174"/>
        <v>7.716318234610918E-2</v>
      </c>
      <c r="X304" s="26">
        <f t="shared" si="153"/>
        <v>1</v>
      </c>
      <c r="Z304" s="4">
        <f>'[25]Predicted Residual Prices'!AS577</f>
        <v>14.261243075991636</v>
      </c>
      <c r="AA304" s="4">
        <f>'[26]Predicted Distillate Prices'!AS577</f>
        <v>19.967007749155332</v>
      </c>
      <c r="AB304" s="4">
        <f>'[27]Predicted Gas Prices'!AR577</f>
        <v>4.6275901718997883</v>
      </c>
      <c r="AC304" s="4">
        <f>'[28]Predicted LPG Prices'!AS577</f>
        <v>20.125160886609756</v>
      </c>
      <c r="AD304" s="4">
        <f>'[29]Predicted Coal Prices'!AS577</f>
        <v>5.0950548733651155</v>
      </c>
      <c r="AE304" s="4">
        <f>'[30]Predicted Coke Prices'!AS535</f>
        <v>0</v>
      </c>
      <c r="AF304" s="4">
        <f>'[31]Predicted Other Prices'!AT535</f>
        <v>7.6811120463965121</v>
      </c>
      <c r="AH304" s="115">
        <f t="shared" si="150"/>
        <v>5.5827646623023375</v>
      </c>
      <c r="AI304" s="4">
        <f>'[32]Quantity Shares_1998 forward'!AH304</f>
        <v>5.9657345410382927</v>
      </c>
    </row>
    <row r="305" spans="15:35" x14ac:dyDescent="0.2">
      <c r="O305" s="17"/>
      <c r="Q305" s="26">
        <f t="shared" ref="Q305:W305" si="175">0.5*Q263+0.5*Q347</f>
        <v>2.1310690341118394E-2</v>
      </c>
      <c r="R305" s="26">
        <f t="shared" si="175"/>
        <v>1.2911662860089884E-2</v>
      </c>
      <c r="S305" s="26">
        <f t="shared" si="175"/>
        <v>0.64123627790466364</v>
      </c>
      <c r="T305" s="26">
        <f t="shared" si="175"/>
        <v>1.9229352390775806E-2</v>
      </c>
      <c r="U305" s="26">
        <f t="shared" si="175"/>
        <v>0.13578427760996095</v>
      </c>
      <c r="V305" s="26">
        <f t="shared" si="175"/>
        <v>0</v>
      </c>
      <c r="W305" s="26">
        <f t="shared" si="175"/>
        <v>0.16952773889339129</v>
      </c>
      <c r="X305" s="26">
        <f t="shared" si="153"/>
        <v>1</v>
      </c>
      <c r="Z305" s="4">
        <f>'[25]Predicted Residual Prices'!AS578</f>
        <v>18.490407363951654</v>
      </c>
      <c r="AA305" s="4">
        <f>'[26]Predicted Distillate Prices'!AS578</f>
        <v>23.990000615248718</v>
      </c>
      <c r="AB305" s="4">
        <f>'[27]Predicted Gas Prices'!AR578</f>
        <v>4.8007445248525142</v>
      </c>
      <c r="AC305" s="4">
        <f>'[28]Predicted LPG Prices'!AS578</f>
        <v>16.277941579805272</v>
      </c>
      <c r="AD305" s="4">
        <f>'[29]Predicted Coal Prices'!AS578</f>
        <v>5.1806404394431764</v>
      </c>
      <c r="AE305" s="4">
        <f>'[30]Predicted Coke Prices'!AS536</f>
        <v>0</v>
      </c>
      <c r="AF305" s="4">
        <f>'[31]Predicted Other Prices'!AT536</f>
        <v>4.207967175198112</v>
      </c>
      <c r="AH305" s="115">
        <f t="shared" si="150"/>
        <v>5.5120366508695948</v>
      </c>
      <c r="AI305" s="4">
        <f>'[32]Quantity Shares_1998 forward'!AH305</f>
        <v>6.4084124388227144</v>
      </c>
    </row>
    <row r="306" spans="15:35" x14ac:dyDescent="0.2">
      <c r="O306" s="17"/>
      <c r="Q306" s="26">
        <f t="shared" ref="Q306:W306" si="176">0.5*Q264+0.5*Q348</f>
        <v>6.7258037647842748E-3</v>
      </c>
      <c r="R306" s="26">
        <f t="shared" si="176"/>
        <v>7.6774112943528233E-2</v>
      </c>
      <c r="S306" s="26">
        <f t="shared" si="176"/>
        <v>0.77440446443444944</v>
      </c>
      <c r="T306" s="26">
        <f t="shared" si="176"/>
        <v>1.3972180576378479E-2</v>
      </c>
      <c r="U306" s="26">
        <f t="shared" si="176"/>
        <v>0.11036148592370482</v>
      </c>
      <c r="V306" s="26">
        <f t="shared" si="176"/>
        <v>0</v>
      </c>
      <c r="W306" s="26">
        <f t="shared" si="176"/>
        <v>1.7761952357154755E-2</v>
      </c>
      <c r="X306" s="26">
        <f t="shared" si="153"/>
        <v>0.99999999999999989</v>
      </c>
      <c r="Z306" s="4">
        <f>'[25]Predicted Residual Prices'!AS579</f>
        <v>20.870090659790268</v>
      </c>
      <c r="AA306" s="4">
        <f>'[26]Predicted Distillate Prices'!AS579</f>
        <v>22.722284484013052</v>
      </c>
      <c r="AB306" s="4">
        <f>'[27]Predicted Gas Prices'!AR579</f>
        <v>4.8063418066243093</v>
      </c>
      <c r="AC306" s="4">
        <f>'[28]Predicted LPG Prices'!AS579</f>
        <v>16.892116178039711</v>
      </c>
      <c r="AD306" s="4">
        <f>'[29]Predicted Coal Prices'!AS579</f>
        <v>5.3913666900773807</v>
      </c>
      <c r="AE306" s="4">
        <f>'[30]Predicted Coke Prices'!AS537</f>
        <v>0</v>
      </c>
      <c r="AF306" s="4">
        <f>'[31]Predicted Other Prices'!AT537</f>
        <v>6.8528909394162678</v>
      </c>
      <c r="AH306" s="115">
        <f t="shared" si="150"/>
        <v>6.5596435812973368</v>
      </c>
      <c r="AI306" s="4">
        <f>'[32]Quantity Shares_1998 forward'!AH306</f>
        <v>5.2421520824364061</v>
      </c>
    </row>
    <row r="307" spans="15:35" x14ac:dyDescent="0.2">
      <c r="O307" s="17"/>
      <c r="Q307" s="26">
        <f t="shared" ref="Q307:W307" si="177">0.5*Q265+0.5*Q349</f>
        <v>0</v>
      </c>
      <c r="R307" s="26">
        <f t="shared" si="177"/>
        <v>4.4456077277126999E-2</v>
      </c>
      <c r="S307" s="26">
        <f t="shared" si="177"/>
        <v>0.88912154554253986</v>
      </c>
      <c r="T307" s="26">
        <f t="shared" si="177"/>
        <v>4.4456077277126999E-2</v>
      </c>
      <c r="U307" s="26">
        <f t="shared" si="177"/>
        <v>0</v>
      </c>
      <c r="V307" s="26">
        <f t="shared" si="177"/>
        <v>0</v>
      </c>
      <c r="W307" s="26">
        <f t="shared" si="177"/>
        <v>2.1966299903206053E-2</v>
      </c>
      <c r="X307" s="26">
        <f t="shared" si="153"/>
        <v>0.99999999999999989</v>
      </c>
      <c r="Z307" s="4">
        <f>'[25]Predicted Residual Prices'!AS580</f>
        <v>24.704246578004131</v>
      </c>
      <c r="AA307" s="4">
        <f>'[26]Predicted Distillate Prices'!AS580</f>
        <v>27.785000000000004</v>
      </c>
      <c r="AB307" s="4">
        <f>'[27]Predicted Gas Prices'!AR580</f>
        <v>5.7608577450759233</v>
      </c>
      <c r="AC307" s="4">
        <f>'[28]Predicted LPG Prices'!AS580</f>
        <v>22.696567164863719</v>
      </c>
      <c r="AD307" s="4">
        <f>'[29]Predicted Coal Prices'!AS580</f>
        <v>5.3804728371854136</v>
      </c>
      <c r="AE307" s="4">
        <f>'[30]Predicted Coke Prices'!AS538</f>
        <v>0</v>
      </c>
      <c r="AF307" s="4">
        <f>'[31]Predicted Other Prices'!AT538</f>
        <v>5.7701442945066326</v>
      </c>
      <c r="AH307" s="115">
        <f t="shared" si="150"/>
        <v>7.4930639129621799</v>
      </c>
      <c r="AI307" s="4">
        <f>'[32]Quantity Shares_1998 forward'!AH307</f>
        <v>7.6175630976436075</v>
      </c>
    </row>
    <row r="308" spans="15:35" x14ac:dyDescent="0.2">
      <c r="O308" s="17"/>
      <c r="Q308" s="26">
        <f t="shared" ref="Q308:W308" si="178">0.5*Q266+0.5*Q350</f>
        <v>6.7843740109418099E-2</v>
      </c>
      <c r="R308" s="26">
        <f t="shared" si="178"/>
        <v>9.7255504815300459E-2</v>
      </c>
      <c r="S308" s="26">
        <f t="shared" si="178"/>
        <v>0.67843740109418094</v>
      </c>
      <c r="T308" s="26">
        <f t="shared" si="178"/>
        <v>9.7255504815300459E-2</v>
      </c>
      <c r="U308" s="26">
        <f t="shared" si="178"/>
        <v>0</v>
      </c>
      <c r="V308" s="26">
        <f t="shared" si="178"/>
        <v>0</v>
      </c>
      <c r="W308" s="26">
        <f t="shared" si="178"/>
        <v>5.9207849165800068E-2</v>
      </c>
      <c r="X308" s="26">
        <f t="shared" si="153"/>
        <v>1</v>
      </c>
      <c r="Z308" s="4">
        <f>'[25]Predicted Residual Prices'!AS581</f>
        <v>22.985243270396953</v>
      </c>
      <c r="AA308" s="4">
        <f>'[26]Predicted Distillate Prices'!AS581</f>
        <v>25.353833824716297</v>
      </c>
      <c r="AB308" s="4">
        <f>'[27]Predicted Gas Prices'!AR581</f>
        <v>5.0944862654971894</v>
      </c>
      <c r="AC308" s="4">
        <f>'[28]Predicted LPG Prices'!AS581</f>
        <v>28.927353074869234</v>
      </c>
      <c r="AD308" s="4">
        <f>'[29]Predicted Coal Prices'!AS581</f>
        <v>5.2360965411083571</v>
      </c>
      <c r="AE308" s="4">
        <f>'[30]Predicted Coke Prices'!AS539</f>
        <v>0</v>
      </c>
      <c r="AF308" s="4">
        <f>'[31]Predicted Other Prices'!AT539</f>
        <v>5.3850721472533163</v>
      </c>
      <c r="AH308" s="115">
        <f t="shared" si="150"/>
        <v>10.613677665996866</v>
      </c>
      <c r="AI308" s="4">
        <f>'[32]Quantity Shares_1998 forward'!AH308</f>
        <v>10.139703129487787</v>
      </c>
    </row>
    <row r="309" spans="15:35" x14ac:dyDescent="0.2">
      <c r="O309" s="17"/>
      <c r="Q309" s="26">
        <f t="shared" ref="Q309:W309" si="179">0.5*Q267+0.5*Q351</f>
        <v>1.6545018640868859E-3</v>
      </c>
      <c r="R309" s="26">
        <f t="shared" si="179"/>
        <v>9.8941872869496184E-2</v>
      </c>
      <c r="S309" s="26">
        <f t="shared" si="179"/>
        <v>0.30951826494651702</v>
      </c>
      <c r="T309" s="26">
        <f t="shared" si="179"/>
        <v>2.1131492977238403E-2</v>
      </c>
      <c r="U309" s="26">
        <f t="shared" si="179"/>
        <v>7.0438309924128004E-3</v>
      </c>
      <c r="V309" s="26">
        <f t="shared" si="179"/>
        <v>0</v>
      </c>
      <c r="W309" s="26">
        <f t="shared" si="179"/>
        <v>0.56171003635024874</v>
      </c>
      <c r="X309" s="26">
        <f t="shared" si="153"/>
        <v>1</v>
      </c>
      <c r="Z309" s="4">
        <f>'[25]Predicted Residual Prices'!AS582</f>
        <v>18.801669044732016</v>
      </c>
      <c r="AA309" s="4">
        <f>'[26]Predicted Distillate Prices'!AS582</f>
        <v>22.394163830749196</v>
      </c>
      <c r="AB309" s="4">
        <f>'[27]Predicted Gas Prices'!AR582</f>
        <v>4.5280807479542444</v>
      </c>
      <c r="AC309" s="4">
        <f>'[28]Predicted LPG Prices'!AS582</f>
        <v>22.866293563956432</v>
      </c>
      <c r="AD309" s="4">
        <f>'[29]Predicted Coal Prices'!AS582</f>
        <v>5.9268190609483877</v>
      </c>
      <c r="AE309" s="4">
        <f>'[30]Predicted Coke Prices'!AS540</f>
        <v>0</v>
      </c>
      <c r="AF309" s="4">
        <f>'[31]Predicted Other Prices'!AT540</f>
        <v>4.2603555100334427</v>
      </c>
      <c r="AH309" s="115">
        <f t="shared" si="150"/>
        <v>6.5663824859436506</v>
      </c>
      <c r="AI309" s="4">
        <f>'[32]Quantity Shares_1998 forward'!AH309</f>
        <v>5.7355872010941349</v>
      </c>
    </row>
    <row r="310" spans="15:35" x14ac:dyDescent="0.2">
      <c r="O310" s="17"/>
      <c r="Q310" s="26">
        <f t="shared" ref="Q310:W310" si="180">0.5*Q268+0.5*Q352</f>
        <v>2.7787298592549893E-2</v>
      </c>
      <c r="R310" s="26">
        <f t="shared" si="180"/>
        <v>5.9222670603101407E-3</v>
      </c>
      <c r="S310" s="26">
        <f t="shared" si="180"/>
        <v>0.45080667796353557</v>
      </c>
      <c r="T310" s="26">
        <f t="shared" si="180"/>
        <v>3.762992855021575E-3</v>
      </c>
      <c r="U310" s="26">
        <f t="shared" si="180"/>
        <v>0.1895959913584776</v>
      </c>
      <c r="V310" s="26">
        <f t="shared" si="180"/>
        <v>2.6204077354436352E-5</v>
      </c>
      <c r="W310" s="26">
        <f t="shared" si="180"/>
        <v>0.32209856809275078</v>
      </c>
      <c r="X310" s="26">
        <f t="shared" si="153"/>
        <v>1</v>
      </c>
      <c r="Z310" s="4">
        <f>'[25]Predicted Residual Prices'!AS583</f>
        <v>16.93749066240715</v>
      </c>
      <c r="AA310" s="4">
        <f>'[26]Predicted Distillate Prices'!AS583</f>
        <v>21.222578868307838</v>
      </c>
      <c r="AB310" s="4">
        <f>'[27]Predicted Gas Prices'!AR583</f>
        <v>4.1449548794684015</v>
      </c>
      <c r="AC310" s="4">
        <f>'[28]Predicted LPG Prices'!AS583</f>
        <v>20.020043327691958</v>
      </c>
      <c r="AD310" s="4">
        <f>'[29]Predicted Coal Prices'!AS583</f>
        <v>4.4502266094559531</v>
      </c>
      <c r="AE310" s="4">
        <f>'[30]Predicted Coke Prices'!AS541</f>
        <v>8.0195000000000007</v>
      </c>
      <c r="AF310" s="4">
        <f>'[31]Predicted Other Prices'!AT541</f>
        <v>3.8140050831659198</v>
      </c>
      <c r="AH310" s="115">
        <f t="shared" si="150"/>
        <v>4.6126823551069087</v>
      </c>
      <c r="AI310" s="4">
        <f>'[32]Quantity Shares_1998 forward'!AH310</f>
        <v>4.7583384263984234</v>
      </c>
    </row>
    <row r="311" spans="15:35" x14ac:dyDescent="0.2">
      <c r="O311" s="17"/>
      <c r="Q311" s="26">
        <f t="shared" ref="Q311:W311" si="181">0.5*Q269+0.5*Q353</f>
        <v>1.9367457113675683E-3</v>
      </c>
      <c r="R311" s="26">
        <f t="shared" si="181"/>
        <v>5.1050185163311959E-3</v>
      </c>
      <c r="S311" s="26">
        <f t="shared" si="181"/>
        <v>0.95984422658708923</v>
      </c>
      <c r="T311" s="26">
        <f t="shared" si="181"/>
        <v>2.6419643291390776E-2</v>
      </c>
      <c r="U311" s="26">
        <f t="shared" si="181"/>
        <v>0</v>
      </c>
      <c r="V311" s="26">
        <f t="shared" si="181"/>
        <v>0</v>
      </c>
      <c r="W311" s="26">
        <f t="shared" si="181"/>
        <v>6.6943658938211741E-3</v>
      </c>
      <c r="X311" s="26">
        <f t="shared" si="153"/>
        <v>1</v>
      </c>
      <c r="Z311" s="4">
        <f>'[25]Predicted Residual Prices'!AS584</f>
        <v>18.342414710630695</v>
      </c>
      <c r="AA311" s="4">
        <f>'[26]Predicted Distillate Prices'!AS584</f>
        <v>24.047059233696292</v>
      </c>
      <c r="AB311" s="4">
        <f>'[27]Predicted Gas Prices'!AR584</f>
        <v>4.9384863245631649</v>
      </c>
      <c r="AC311" s="4">
        <f>'[28]Predicted LPG Prices'!AS584</f>
        <v>25.296360206001694</v>
      </c>
      <c r="AD311" s="4">
        <f>'[29]Predicted Coal Prices'!AS584</f>
        <v>5.3624771972250116</v>
      </c>
      <c r="AE311" s="4">
        <f>'[30]Predicted Coke Prices'!AS542</f>
        <v>0</v>
      </c>
      <c r="AF311" s="4">
        <f>'[31]Predicted Other Prices'!AT542</f>
        <v>3.8158646474293705</v>
      </c>
      <c r="AH311" s="115">
        <f t="shared" si="150"/>
        <v>5.5923284697538067</v>
      </c>
      <c r="AI311" s="4">
        <f>'[32]Quantity Shares_1998 forward'!AH311</f>
        <v>5.6070620152248765</v>
      </c>
    </row>
    <row r="312" spans="15:35" x14ac:dyDescent="0.2">
      <c r="O312" s="17"/>
      <c r="Q312" s="26">
        <f t="shared" ref="Q312:W312" si="182">0.5*Q270+0.5*Q354</f>
        <v>5.8147989511921176E-3</v>
      </c>
      <c r="R312" s="26">
        <f t="shared" si="182"/>
        <v>9.0117968552638171E-3</v>
      </c>
      <c r="S312" s="26">
        <f t="shared" si="182"/>
        <v>0.69864764730435236</v>
      </c>
      <c r="T312" s="26">
        <f t="shared" si="182"/>
        <v>4.5241379173430992E-3</v>
      </c>
      <c r="U312" s="26">
        <f t="shared" si="182"/>
        <v>6.7679673863034586E-3</v>
      </c>
      <c r="V312" s="26">
        <f t="shared" si="182"/>
        <v>0</v>
      </c>
      <c r="W312" s="26">
        <f t="shared" si="182"/>
        <v>0.27523365158554519</v>
      </c>
      <c r="X312" s="26">
        <f t="shared" si="153"/>
        <v>1</v>
      </c>
      <c r="Z312" s="4">
        <f>'[25]Predicted Residual Prices'!AS585</f>
        <v>18.045427912086424</v>
      </c>
      <c r="AA312" s="4">
        <f>'[26]Predicted Distillate Prices'!AS585</f>
        <v>19.030726797297653</v>
      </c>
      <c r="AB312" s="4">
        <f>'[27]Predicted Gas Prices'!AR585</f>
        <v>3.5658715577947295</v>
      </c>
      <c r="AC312" s="4">
        <f>'[28]Predicted LPG Prices'!AS585</f>
        <v>17.247228498516321</v>
      </c>
      <c r="AD312" s="4">
        <f>'[29]Predicted Coal Prices'!AS585</f>
        <v>5.289311568034309</v>
      </c>
      <c r="AE312" s="4">
        <f>'[30]Predicted Coke Prices'!AS543</f>
        <v>0</v>
      </c>
      <c r="AF312" s="4">
        <f>'[31]Predicted Other Prices'!AT543</f>
        <v>9.1712410872775614</v>
      </c>
      <c r="AH312" s="115">
        <f t="shared" si="150"/>
        <v>5.4057802562755395</v>
      </c>
      <c r="AI312" s="4">
        <f>'[32]Quantity Shares_1998 forward'!AH312</f>
        <v>4.2961199103914476</v>
      </c>
    </row>
    <row r="313" spans="15:35" x14ac:dyDescent="0.2">
      <c r="O313" s="17"/>
      <c r="Q313" s="26">
        <f t="shared" ref="Q313:W313" si="183">0.5*Q271+0.5*Q355</f>
        <v>1.4306309005041027E-3</v>
      </c>
      <c r="R313" s="26">
        <f t="shared" si="183"/>
        <v>3.5402634563867813E-3</v>
      </c>
      <c r="S313" s="26">
        <f t="shared" si="183"/>
        <v>0.74200519236559992</v>
      </c>
      <c r="T313" s="26">
        <f t="shared" si="183"/>
        <v>2.2028548649563689E-3</v>
      </c>
      <c r="U313" s="26">
        <f t="shared" si="183"/>
        <v>8.6057453026097575E-2</v>
      </c>
      <c r="V313" s="26">
        <f t="shared" si="183"/>
        <v>0</v>
      </c>
      <c r="W313" s="26">
        <f t="shared" si="183"/>
        <v>0.16476360538645524</v>
      </c>
      <c r="X313" s="26">
        <f t="shared" si="153"/>
        <v>1</v>
      </c>
      <c r="Z313" s="4">
        <f>'[25]Predicted Residual Prices'!AS586</f>
        <v>15.80261832365478</v>
      </c>
      <c r="AA313" s="4">
        <f>'[26]Predicted Distillate Prices'!AS586</f>
        <v>22.353825628894231</v>
      </c>
      <c r="AB313" s="4">
        <f>'[27]Predicted Gas Prices'!AR586</f>
        <v>3.4434753993472751</v>
      </c>
      <c r="AC313" s="4">
        <f>'[28]Predicted LPG Prices'!AS586</f>
        <v>11.605559434722588</v>
      </c>
      <c r="AD313" s="4">
        <f>'[29]Predicted Coal Prices'!AS586</f>
        <v>3.5115646826870002</v>
      </c>
      <c r="AE313" s="4">
        <f>'[30]Predicted Coke Prices'!AS544</f>
        <v>9.5314270944540773</v>
      </c>
      <c r="AF313" s="4">
        <f>'[31]Predicted Other Prices'!AT544</f>
        <v>7.208059012859052</v>
      </c>
      <c r="AH313" s="115">
        <f t="shared" si="150"/>
        <v>4.1722102387527453</v>
      </c>
      <c r="AI313" s="4">
        <f>'[32]Quantity Shares_1998 forward'!AH313</f>
        <v>4.3455133194994477</v>
      </c>
    </row>
    <row r="314" spans="15:35" x14ac:dyDescent="0.2">
      <c r="O314" s="17"/>
      <c r="Q314" s="26">
        <f t="shared" ref="Q314:W314" si="184">0.5*Q272+0.5*Q356</f>
        <v>4.355400696864112E-4</v>
      </c>
      <c r="R314" s="26">
        <f t="shared" si="184"/>
        <v>9.2410240872595056E-3</v>
      </c>
      <c r="S314" s="26">
        <f t="shared" si="184"/>
        <v>0.92580669595515841</v>
      </c>
      <c r="T314" s="26">
        <f t="shared" si="184"/>
        <v>2.9919709134979551E-2</v>
      </c>
      <c r="U314" s="26">
        <f t="shared" si="184"/>
        <v>1.795182548098773E-2</v>
      </c>
      <c r="V314" s="26">
        <f t="shared" si="184"/>
        <v>0</v>
      </c>
      <c r="W314" s="26">
        <f t="shared" si="184"/>
        <v>1.6645205271928497E-2</v>
      </c>
      <c r="X314" s="26">
        <f t="shared" si="153"/>
        <v>1.0000000000000002</v>
      </c>
      <c r="Z314" s="4">
        <f>'[25]Predicted Residual Prices'!AS587</f>
        <v>16.002583343046048</v>
      </c>
      <c r="AA314" s="4">
        <f>'[26]Predicted Distillate Prices'!AS587</f>
        <v>26.152828044753392</v>
      </c>
      <c r="AB314" s="4">
        <f>'[27]Predicted Gas Prices'!AR587</f>
        <v>5.1342603625398677</v>
      </c>
      <c r="AC314" s="4">
        <f>'[28]Predicted LPG Prices'!AS587</f>
        <v>27.019574757190629</v>
      </c>
      <c r="AD314" s="4">
        <f>'[29]Predicted Coal Prices'!AS587</f>
        <v>7.6895766968055126</v>
      </c>
      <c r="AE314" s="4">
        <f>'[30]Predicted Coke Prices'!AS545</f>
        <v>0</v>
      </c>
      <c r="AF314" s="4">
        <f>'[31]Predicted Other Prices'!AT545</f>
        <v>7.3203333932256847</v>
      </c>
      <c r="AH314" s="115">
        <f t="shared" si="150"/>
        <v>6.0702895111513806</v>
      </c>
      <c r="AI314" s="4">
        <f>'[32]Quantity Shares_1998 forward'!AH314</f>
        <v>5.7479505762090293</v>
      </c>
    </row>
    <row r="315" spans="15:35" x14ac:dyDescent="0.2">
      <c r="O315" s="17"/>
      <c r="Q315" s="26">
        <f t="shared" ref="Q315:W315" si="185">0.5*Q273+0.5*Q357</f>
        <v>9.7934583817537498E-4</v>
      </c>
      <c r="R315" s="26">
        <f t="shared" si="185"/>
        <v>3.2837185730339558E-2</v>
      </c>
      <c r="S315" s="26">
        <f t="shared" si="185"/>
        <v>0.46673122189979199</v>
      </c>
      <c r="T315" s="26">
        <f t="shared" si="185"/>
        <v>3.8206223552393207E-3</v>
      </c>
      <c r="U315" s="26">
        <f t="shared" si="185"/>
        <v>0.34972801537446024</v>
      </c>
      <c r="V315" s="26">
        <f t="shared" si="185"/>
        <v>1.6714743789333106E-2</v>
      </c>
      <c r="W315" s="26">
        <f t="shared" si="185"/>
        <v>0.12918886501266036</v>
      </c>
      <c r="X315" s="26">
        <f t="shared" si="153"/>
        <v>0.99999999999999989</v>
      </c>
      <c r="Z315" s="4">
        <f>'[25]Predicted Residual Prices'!AS588</f>
        <v>14.680473868368047</v>
      </c>
      <c r="AA315" s="4">
        <f>'[26]Predicted Distillate Prices'!AS588</f>
        <v>20.941344846096086</v>
      </c>
      <c r="AB315" s="4">
        <f>'[27]Predicted Gas Prices'!AR588</f>
        <v>4.1907031899913587</v>
      </c>
      <c r="AC315" s="4">
        <f>'[28]Predicted LPG Prices'!AS588</f>
        <v>26.015236639681905</v>
      </c>
      <c r="AD315" s="4">
        <f>'[29]Predicted Coal Prices'!AS588</f>
        <v>3.8455889726100025</v>
      </c>
      <c r="AE315" s="4">
        <f>'[30]Predicted Coke Prices'!AS546</f>
        <v>7.2209599039042258</v>
      </c>
      <c r="AF315" s="4">
        <f>'[31]Predicted Other Prices'!AT546</f>
        <v>2.4205885146230406</v>
      </c>
      <c r="AH315" s="115">
        <f t="shared" si="150"/>
        <v>4.5356782832166518</v>
      </c>
      <c r="AI315" s="4">
        <f>'[32]Quantity Shares_1998 forward'!AH315</f>
        <v>4.8058575435294255</v>
      </c>
    </row>
    <row r="316" spans="15:35" x14ac:dyDescent="0.2">
      <c r="O316" s="17"/>
      <c r="Q316" s="26">
        <f t="shared" ref="Q316:W316" si="186">0.5*Q274+0.5*Q358</f>
        <v>1.3591466665404362E-3</v>
      </c>
      <c r="R316" s="26">
        <f t="shared" si="186"/>
        <v>8.162868018397296E-3</v>
      </c>
      <c r="S316" s="26">
        <f t="shared" si="186"/>
        <v>0.64169030035543728</v>
      </c>
      <c r="T316" s="26">
        <f t="shared" si="186"/>
        <v>3.2635496035279825E-3</v>
      </c>
      <c r="U316" s="26">
        <f t="shared" si="186"/>
        <v>2.2307578973403446E-2</v>
      </c>
      <c r="V316" s="26">
        <f t="shared" si="186"/>
        <v>0.27858275972452579</v>
      </c>
      <c r="W316" s="26">
        <f t="shared" si="186"/>
        <v>4.4633796658167808E-2</v>
      </c>
      <c r="X316" s="26">
        <f t="shared" si="153"/>
        <v>1</v>
      </c>
      <c r="Z316" s="4">
        <f>'[25]Predicted Residual Prices'!AS589</f>
        <v>16.487451010259424</v>
      </c>
      <c r="AA316" s="4">
        <f>'[26]Predicted Distillate Prices'!AS589</f>
        <v>22.202810241895865</v>
      </c>
      <c r="AB316" s="4">
        <f>'[27]Predicted Gas Prices'!AR589</f>
        <v>4.1462098555296159</v>
      </c>
      <c r="AC316" s="4">
        <f>'[28]Predicted LPG Prices'!AS589</f>
        <v>20.9674822949342</v>
      </c>
      <c r="AD316" s="4">
        <f>'[29]Predicted Coal Prices'!AS589</f>
        <v>5.4727069702610844</v>
      </c>
      <c r="AE316" s="4">
        <f>'[30]Predicted Coke Prices'!AS547</f>
        <v>12.951022888872656</v>
      </c>
      <c r="AF316" s="4">
        <f>'[31]Predicted Other Prices'!AT547</f>
        <v>3.7882963559557665</v>
      </c>
      <c r="AH316" s="115">
        <f t="shared" si="150"/>
        <v>6.8317591295921911</v>
      </c>
      <c r="AI316" s="4">
        <f>'[32]Quantity Shares_1998 forward'!AH316</f>
        <v>7.0914637417316717</v>
      </c>
    </row>
    <row r="317" spans="15:35" x14ac:dyDescent="0.2">
      <c r="O317" s="17"/>
      <c r="Q317" s="26">
        <f t="shared" ref="Q317:W317" si="187">0.5*Q275+0.5*Q359</f>
        <v>2.9036004645760749E-4</v>
      </c>
      <c r="R317" s="26">
        <f t="shared" si="187"/>
        <v>1.3685925771837677E-2</v>
      </c>
      <c r="S317" s="26">
        <f t="shared" si="187"/>
        <v>0.9455076533707768</v>
      </c>
      <c r="T317" s="26">
        <f t="shared" si="187"/>
        <v>3.1930937646263459E-2</v>
      </c>
      <c r="U317" s="26">
        <f t="shared" si="187"/>
        <v>2.9036004645760749E-4</v>
      </c>
      <c r="V317" s="26">
        <f t="shared" si="187"/>
        <v>0</v>
      </c>
      <c r="W317" s="26">
        <f t="shared" si="187"/>
        <v>8.294763118206875E-3</v>
      </c>
      <c r="X317" s="26">
        <f t="shared" si="153"/>
        <v>1</v>
      </c>
      <c r="Z317" s="4">
        <f>'[25]Predicted Residual Prices'!AS590</f>
        <v>15.863723950490872</v>
      </c>
      <c r="AA317" s="4">
        <f>'[26]Predicted Distillate Prices'!AS590</f>
        <v>27.868564632071454</v>
      </c>
      <c r="AB317" s="4">
        <f>'[27]Predicted Gas Prices'!AR590</f>
        <v>4.7556885023836504</v>
      </c>
      <c r="AC317" s="4">
        <f>'[28]Predicted LPG Prices'!AS590</f>
        <v>27.436202591711236</v>
      </c>
      <c r="AD317" s="4">
        <f>'[29]Predicted Coal Prices'!AS590</f>
        <v>5.691570088226479</v>
      </c>
      <c r="AE317" s="4">
        <f>'[30]Predicted Coke Prices'!AS548</f>
        <v>11.650839399926912</v>
      </c>
      <c r="AF317" s="4">
        <f>'[31]Predicted Other Prices'!AT548</f>
        <v>8.5346625721538683</v>
      </c>
      <c r="AH317" s="115">
        <f t="shared" si="150"/>
        <v>5.8310624576878558</v>
      </c>
      <c r="AI317" s="4">
        <f>'[32]Quantity Shares_1998 forward'!AH317</f>
        <v>5.8863417982892665</v>
      </c>
    </row>
    <row r="318" spans="15:35" x14ac:dyDescent="0.2">
      <c r="O318" s="17"/>
      <c r="Q318" s="26">
        <f t="shared" ref="Q318:W318" si="188">0.5*Q276+0.5*Q360</f>
        <v>1.2501931478177809E-3</v>
      </c>
      <c r="R318" s="26">
        <f t="shared" si="188"/>
        <v>4.9539488778697086E-2</v>
      </c>
      <c r="S318" s="26">
        <f t="shared" si="188"/>
        <v>0.8936539821227063</v>
      </c>
      <c r="T318" s="26">
        <f t="shared" si="188"/>
        <v>3.1020710128437448E-2</v>
      </c>
      <c r="U318" s="26">
        <f t="shared" si="188"/>
        <v>1.2033694344163659E-2</v>
      </c>
      <c r="V318" s="26">
        <f t="shared" si="188"/>
        <v>0</v>
      </c>
      <c r="W318" s="26">
        <f t="shared" si="188"/>
        <v>1.2501931478177809E-2</v>
      </c>
      <c r="X318" s="26">
        <f t="shared" si="153"/>
        <v>1.0000000000000002</v>
      </c>
      <c r="Z318" s="4">
        <f>'[25]Predicted Residual Prices'!AS591</f>
        <v>14.749768697074195</v>
      </c>
      <c r="AA318" s="4">
        <f>'[26]Predicted Distillate Prices'!AS591</f>
        <v>31.700086623670842</v>
      </c>
      <c r="AB318" s="4">
        <f>'[27]Predicted Gas Prices'!AR591</f>
        <v>5.0776182994852306</v>
      </c>
      <c r="AC318" s="4">
        <f>'[28]Predicted LPG Prices'!AS591</f>
        <v>27.053357305938157</v>
      </c>
      <c r="AD318" s="4">
        <f>'[29]Predicted Coal Prices'!AS591</f>
        <v>4.0127027968670639</v>
      </c>
      <c r="AE318" s="4">
        <f>'[30]Predicted Coke Prices'!AS549</f>
        <v>0</v>
      </c>
      <c r="AF318" s="4">
        <f>'[31]Predicted Other Prices'!AT549</f>
        <v>14.831794170204738</v>
      </c>
      <c r="AH318" s="115">
        <f t="shared" si="150"/>
        <v>7.199408026722506</v>
      </c>
      <c r="AI318" s="4">
        <f>'[32]Quantity Shares_1998 forward'!AH318</f>
        <v>6.6467296826339739</v>
      </c>
    </row>
    <row r="319" spans="15:35" x14ac:dyDescent="0.2">
      <c r="O319" s="17"/>
      <c r="Q319" s="26">
        <f t="shared" ref="Q319:W319" si="189">0.5*Q277+0.5*Q361</f>
        <v>3.160597572362278E-3</v>
      </c>
      <c r="R319" s="26">
        <f t="shared" si="189"/>
        <v>1.1097105508870215E-2</v>
      </c>
      <c r="S319" s="26">
        <f t="shared" si="189"/>
        <v>0.96038748832866472</v>
      </c>
      <c r="T319" s="26">
        <f t="shared" si="189"/>
        <v>3.160597572362278E-3</v>
      </c>
      <c r="U319" s="26">
        <f t="shared" si="189"/>
        <v>0</v>
      </c>
      <c r="V319" s="26">
        <f t="shared" si="189"/>
        <v>0</v>
      </c>
      <c r="W319" s="26">
        <f t="shared" si="189"/>
        <v>2.2194211017740429E-2</v>
      </c>
      <c r="X319" s="26">
        <f t="shared" si="153"/>
        <v>1</v>
      </c>
      <c r="Z319" s="4">
        <f>'[25]Predicted Residual Prices'!AS592</f>
        <v>23.658671158758366</v>
      </c>
      <c r="AA319" s="4">
        <f>'[26]Predicted Distillate Prices'!AS592</f>
        <v>25.592185396285728</v>
      </c>
      <c r="AB319" s="4">
        <f>'[27]Predicted Gas Prices'!AR592</f>
        <v>5.1680858699331065</v>
      </c>
      <c r="AC319" s="4">
        <f>'[28]Predicted LPG Prices'!AS592</f>
        <v>21.901818129096483</v>
      </c>
      <c r="AD319" s="4">
        <f>'[29]Predicted Coal Prices'!AS592</f>
        <v>5.6883494632948608</v>
      </c>
      <c r="AE319" s="4">
        <f>'[30]Predicted Coke Prices'!AS550</f>
        <v>0</v>
      </c>
      <c r="AF319" s="4">
        <f>'[31]Predicted Other Prices'!AT550</f>
        <v>18.786370941707418</v>
      </c>
      <c r="AH319" s="115">
        <f t="shared" si="150"/>
        <v>5.8083112424137022</v>
      </c>
      <c r="AI319" s="4">
        <f>'[32]Quantity Shares_1998 forward'!AH319</f>
        <v>5.473821091285159</v>
      </c>
    </row>
    <row r="320" spans="15:35" x14ac:dyDescent="0.2">
      <c r="O320" s="17"/>
      <c r="Q320" s="26">
        <f t="shared" ref="Q320:W320" si="190">0.5*Q278+0.5*Q362</f>
        <v>6.5274151436031343E-4</v>
      </c>
      <c r="R320" s="26">
        <f t="shared" si="190"/>
        <v>1.7956791071519991E-2</v>
      </c>
      <c r="S320" s="26">
        <f t="shared" si="190"/>
        <v>0.91115036092766089</v>
      </c>
      <c r="T320" s="26">
        <f t="shared" si="190"/>
        <v>2.9394699568252018E-2</v>
      </c>
      <c r="U320" s="26">
        <f t="shared" si="190"/>
        <v>0</v>
      </c>
      <c r="V320" s="26">
        <f t="shared" si="190"/>
        <v>5.5547022986740385E-3</v>
      </c>
      <c r="W320" s="26">
        <f t="shared" si="190"/>
        <v>3.5290704619532758E-2</v>
      </c>
      <c r="X320" s="26">
        <f t="shared" si="153"/>
        <v>1</v>
      </c>
      <c r="Z320" s="4">
        <f>'[25]Predicted Residual Prices'!AS593</f>
        <v>24.149713430450468</v>
      </c>
      <c r="AA320" s="4">
        <f>'[26]Predicted Distillate Prices'!AS593</f>
        <v>27.413168093532079</v>
      </c>
      <c r="AB320" s="4">
        <f>'[27]Predicted Gas Prices'!AR593</f>
        <v>4.8875734954380503</v>
      </c>
      <c r="AC320" s="4">
        <f>'[28]Predicted LPG Prices'!AS593</f>
        <v>15.637511963156907</v>
      </c>
      <c r="AD320" s="4">
        <f>'[29]Predicted Coal Prices'!AS593</f>
        <v>5.7235509786313559</v>
      </c>
      <c r="AE320" s="4">
        <f>'[30]Predicted Coke Prices'!AS551</f>
        <v>0</v>
      </c>
      <c r="AF320" s="4">
        <f>'[31]Predicted Other Prices'!AT551</f>
        <v>7.8633538814939987</v>
      </c>
      <c r="AH320" s="115">
        <f t="shared" si="150"/>
        <v>5.6984936723114279</v>
      </c>
      <c r="AI320" s="4">
        <f>'[32]Quantity Shares_1998 forward'!AH320</f>
        <v>5.6211948447432087</v>
      </c>
    </row>
    <row r="321" spans="15:35" x14ac:dyDescent="0.2">
      <c r="O321" s="17"/>
      <c r="Q321" s="26">
        <f t="shared" ref="Q321:W321" si="191">0.5*Q279+0.5*Q363</f>
        <v>1.0056732483203072E-2</v>
      </c>
      <c r="R321" s="26">
        <f t="shared" si="191"/>
        <v>2.2744412450294807E-2</v>
      </c>
      <c r="S321" s="26">
        <f t="shared" si="191"/>
        <v>0.88829614013437541</v>
      </c>
      <c r="T321" s="26">
        <f t="shared" si="191"/>
        <v>2.2744412450294807E-2</v>
      </c>
      <c r="U321" s="26">
        <f t="shared" si="191"/>
        <v>1.355323597970657E-2</v>
      </c>
      <c r="V321" s="26">
        <f t="shared" si="191"/>
        <v>6.1274509803921579E-4</v>
      </c>
      <c r="W321" s="26">
        <f t="shared" si="191"/>
        <v>4.1992321404086111E-2</v>
      </c>
      <c r="X321" s="26">
        <f t="shared" si="153"/>
        <v>1</v>
      </c>
      <c r="Z321" s="4">
        <f>'[25]Predicted Residual Prices'!AS594</f>
        <v>15.881493126912254</v>
      </c>
      <c r="AA321" s="4">
        <f>'[26]Predicted Distillate Prices'!AS594</f>
        <v>22.97433095860594</v>
      </c>
      <c r="AB321" s="4">
        <f>'[27]Predicted Gas Prices'!AR594</f>
        <v>4.7509549334723769</v>
      </c>
      <c r="AC321" s="4">
        <f>'[28]Predicted LPG Prices'!AS594</f>
        <v>27.903363257924539</v>
      </c>
      <c r="AD321" s="4">
        <f>'[29]Predicted Coal Prices'!AS594</f>
        <v>6.0612882613305956</v>
      </c>
      <c r="AE321" s="4">
        <f>'[30]Predicted Coke Prices'!AS552</f>
        <v>0</v>
      </c>
      <c r="AF321" s="4">
        <f>'[31]Predicted Other Prices'!AT552</f>
        <v>8.3265192511186683</v>
      </c>
      <c r="AH321" s="115">
        <f t="shared" si="150"/>
        <v>5.9689540616649381</v>
      </c>
      <c r="AI321" s="4">
        <f>'[32]Quantity Shares_1998 forward'!AH321</f>
        <v>6.2287651825758497</v>
      </c>
    </row>
    <row r="322" spans="15:35" x14ac:dyDescent="0.2">
      <c r="O322" s="17"/>
      <c r="Q322" s="26">
        <f t="shared" ref="Q322:W322" si="192">0.5*Q280+0.5*Q364</f>
        <v>0</v>
      </c>
      <c r="R322" s="26">
        <f t="shared" si="192"/>
        <v>1.1891014074341393E-2</v>
      </c>
      <c r="S322" s="26">
        <f t="shared" si="192"/>
        <v>0.83994947672320475</v>
      </c>
      <c r="T322" s="26">
        <f t="shared" si="192"/>
        <v>6.0086611331649234E-2</v>
      </c>
      <c r="U322" s="26">
        <f t="shared" si="192"/>
        <v>1.2017322266329846E-2</v>
      </c>
      <c r="V322" s="26">
        <f t="shared" si="192"/>
        <v>0</v>
      </c>
      <c r="W322" s="26">
        <f t="shared" si="192"/>
        <v>7.6055575604474929E-2</v>
      </c>
      <c r="X322" s="26">
        <f t="shared" si="153"/>
        <v>1.0000000000000002</v>
      </c>
      <c r="Z322" s="4">
        <f>'[25]Predicted Residual Prices'!AS595</f>
        <v>15.819429819688576</v>
      </c>
      <c r="AA322" s="4">
        <f>'[26]Predicted Distillate Prices'!AS595</f>
        <v>29.375624977164044</v>
      </c>
      <c r="AB322" s="4">
        <f>'[27]Predicted Gas Prices'!AR595</f>
        <v>5.8855769116068863</v>
      </c>
      <c r="AC322" s="4">
        <f>'[28]Predicted LPG Prices'!AS595</f>
        <v>25.468506164494123</v>
      </c>
      <c r="AD322" s="4">
        <f>'[29]Predicted Coal Prices'!AS595</f>
        <v>3.6402415852919709</v>
      </c>
      <c r="AE322" s="4">
        <f>'[30]Predicted Coke Prices'!AS553</f>
        <v>0</v>
      </c>
      <c r="AF322" s="4">
        <f>'[31]Predicted Other Prices'!AT553</f>
        <v>3.1860702016224005</v>
      </c>
      <c r="AH322" s="115">
        <f t="shared" si="150"/>
        <v>7.1092738076264883</v>
      </c>
      <c r="AI322" s="4">
        <f>'[32]Quantity Shares_1998 forward'!AH322</f>
        <v>6.9270932179917448</v>
      </c>
    </row>
    <row r="323" spans="15:35" x14ac:dyDescent="0.2">
      <c r="O323" s="17"/>
      <c r="Q323" s="26">
        <f t="shared" ref="Q323:W323" si="193">0.5*Q281+0.5*Q365</f>
        <v>4.6786173700153529E-3</v>
      </c>
      <c r="R323" s="26">
        <f t="shared" si="193"/>
        <v>3.4150794638781679E-2</v>
      </c>
      <c r="S323" s="26">
        <f t="shared" si="193"/>
        <v>0.9290841943649113</v>
      </c>
      <c r="T323" s="26">
        <f t="shared" si="193"/>
        <v>2.0924104734636292E-2</v>
      </c>
      <c r="U323" s="26">
        <f t="shared" si="193"/>
        <v>2.8735632183908037E-3</v>
      </c>
      <c r="V323" s="26">
        <f t="shared" si="193"/>
        <v>0</v>
      </c>
      <c r="W323" s="26">
        <f t="shared" si="193"/>
        <v>8.2887256732644497E-3</v>
      </c>
      <c r="X323" s="26">
        <f t="shared" si="153"/>
        <v>0.99999999999999989</v>
      </c>
      <c r="Z323" s="4">
        <f>'[25]Predicted Residual Prices'!AS596</f>
        <v>24.346660885017371</v>
      </c>
      <c r="AA323" s="4">
        <f>'[26]Predicted Distillate Prices'!AS596</f>
        <v>28.799157886296943</v>
      </c>
      <c r="AB323" s="4">
        <f>'[27]Predicted Gas Prices'!AR596</f>
        <v>5.6988536873281532</v>
      </c>
      <c r="AC323" s="4">
        <f>'[28]Predicted LPG Prices'!AS596</f>
        <v>31.352828117789521</v>
      </c>
      <c r="AD323" s="4">
        <f>'[29]Predicted Coal Prices'!AS596</f>
        <v>5.0337331941856664</v>
      </c>
      <c r="AE323" s="4">
        <f>'[30]Predicted Coke Prices'!AS554</f>
        <v>0</v>
      </c>
      <c r="AF323" s="4">
        <f>'[31]Predicted Other Prices'!AT554</f>
        <v>7.5581578046107643</v>
      </c>
      <c r="AH323" s="115">
        <f t="shared" si="150"/>
        <v>7.1252798306174165</v>
      </c>
      <c r="AI323" s="4">
        <f>'[32]Quantity Shares_1998 forward'!AH323</f>
        <v>7.576300925218475</v>
      </c>
    </row>
    <row r="324" spans="15:35" x14ac:dyDescent="0.2">
      <c r="O324" s="17"/>
      <c r="P324">
        <v>2013</v>
      </c>
      <c r="Q324" s="26">
        <f t="shared" ref="Q324:W324" si="194">0.25*Q261+0.75*Q345</f>
        <v>7.3557640396866332E-3</v>
      </c>
      <c r="R324" s="26">
        <f t="shared" si="194"/>
        <v>2.5680689357311676E-2</v>
      </c>
      <c r="S324" s="26">
        <f t="shared" si="194"/>
        <v>0.71788095509459771</v>
      </c>
      <c r="T324" s="26">
        <f t="shared" si="194"/>
        <v>7.2369170875673343E-3</v>
      </c>
      <c r="U324" s="26">
        <f t="shared" si="194"/>
        <v>0.15905921202596185</v>
      </c>
      <c r="V324" s="26">
        <f t="shared" si="194"/>
        <v>1.5468849351553031E-3</v>
      </c>
      <c r="W324" s="26">
        <f t="shared" si="194"/>
        <v>8.1239577459719492E-2</v>
      </c>
      <c r="X324" s="26">
        <f t="shared" si="153"/>
        <v>1</v>
      </c>
      <c r="Z324" s="4">
        <f>'[25]Predicted Residual Prices'!AS597</f>
        <v>17.98460129000819</v>
      </c>
      <c r="AA324" s="4">
        <f>'[26]Predicted Distillate Prices'!AS597</f>
        <v>23.116554669575503</v>
      </c>
      <c r="AB324" s="4">
        <f>'[27]Predicted Gas Prices'!AR597</f>
        <v>4.6330667534462942</v>
      </c>
      <c r="AC324" s="4">
        <f>'[28]Predicted LPG Prices'!AS597</f>
        <v>17.909941912321592</v>
      </c>
      <c r="AD324" s="4">
        <f>'[29]Predicted Coal Prices'!AS597</f>
        <v>2.7149876249571117</v>
      </c>
      <c r="AE324" s="4">
        <f>'[30]Predicted Coke Prices'!AS555</f>
        <v>20.725715356839888</v>
      </c>
      <c r="AF324" s="4">
        <f>'[31]Predicted Other Prices'!AT555</f>
        <v>6.3620683047513449</v>
      </c>
      <c r="AG324">
        <v>2013</v>
      </c>
      <c r="AH324" s="115">
        <f t="shared" si="150"/>
        <v>5.1622985235510965</v>
      </c>
      <c r="AI324" s="4">
        <f>'[32]Quantity Shares_1998 forward'!AH324</f>
        <v>5.3134026278978181</v>
      </c>
    </row>
    <row r="325" spans="15:35" x14ac:dyDescent="0.2">
      <c r="O325" s="17"/>
      <c r="Q325" s="26">
        <f t="shared" ref="Q325:W325" si="195">0.25*Q262+0.75*Q346</f>
        <v>1.056184668989547E-2</v>
      </c>
      <c r="R325" s="26">
        <f t="shared" si="195"/>
        <v>1.6659407665505228E-2</v>
      </c>
      <c r="S325" s="26">
        <f t="shared" si="195"/>
        <v>0.75500871080139387</v>
      </c>
      <c r="T325" s="26">
        <f t="shared" si="195"/>
        <v>1.6659407665505228E-2</v>
      </c>
      <c r="U325" s="26">
        <f t="shared" si="195"/>
        <v>0.13000871080139373</v>
      </c>
      <c r="V325" s="26">
        <f t="shared" si="195"/>
        <v>0</v>
      </c>
      <c r="W325" s="26">
        <f t="shared" si="195"/>
        <v>7.1101916376306626E-2</v>
      </c>
      <c r="X325" s="26">
        <f t="shared" si="153"/>
        <v>1.0000000000000002</v>
      </c>
      <c r="Z325" s="4">
        <f>'[25]Predicted Residual Prices'!AS598</f>
        <v>12.702904563133892</v>
      </c>
      <c r="AA325" s="4">
        <f>'[26]Predicted Distillate Prices'!AS598</f>
        <v>20.263114807600033</v>
      </c>
      <c r="AB325" s="4">
        <f>'[27]Predicted Gas Prices'!AR598</f>
        <v>4.5951895981370585</v>
      </c>
      <c r="AC325" s="4">
        <f>'[28]Predicted LPG Prices'!AS598</f>
        <v>19.044397703125</v>
      </c>
      <c r="AD325" s="4">
        <f>'[29]Predicted Coal Prices'!AS598</f>
        <v>4.7965283099902196</v>
      </c>
      <c r="AE325" s="4">
        <f>'[30]Predicted Coke Prices'!AS556</f>
        <v>0</v>
      </c>
      <c r="AF325" s="4">
        <f>'[31]Predicted Other Prices'!AT556</f>
        <v>7.0084494046586467</v>
      </c>
      <c r="AH325" s="115">
        <f t="shared" si="150"/>
        <v>5.3803188255245757</v>
      </c>
      <c r="AI325" s="4">
        <f>'[32]Quantity Shares_1998 forward'!AH325</f>
        <v>6.2284540600021892</v>
      </c>
    </row>
    <row r="326" spans="15:35" x14ac:dyDescent="0.2">
      <c r="O326" s="17"/>
      <c r="Q326" s="26">
        <f t="shared" ref="Q326:W326" si="196">0.25*Q263+0.75*Q347</f>
        <v>1.1557872246371472E-2</v>
      </c>
      <c r="R326" s="26">
        <f t="shared" si="196"/>
        <v>9.1634126574817645E-3</v>
      </c>
      <c r="S326" s="26">
        <f t="shared" si="196"/>
        <v>0.64552788624475066</v>
      </c>
      <c r="T326" s="26">
        <f t="shared" si="196"/>
        <v>1.8639946953510646E-2</v>
      </c>
      <c r="U326" s="26">
        <f t="shared" si="196"/>
        <v>0.12204376335371694</v>
      </c>
      <c r="V326" s="26">
        <f t="shared" si="196"/>
        <v>0</v>
      </c>
      <c r="W326" s="26">
        <f t="shared" si="196"/>
        <v>0.19306711854416858</v>
      </c>
      <c r="X326" s="26">
        <f t="shared" si="153"/>
        <v>1</v>
      </c>
      <c r="Z326" s="4">
        <f>'[25]Predicted Residual Prices'!AS599</f>
        <v>16.56834343499316</v>
      </c>
      <c r="AA326" s="4">
        <f>'[26]Predicted Distillate Prices'!AS599</f>
        <v>24.042239560104441</v>
      </c>
      <c r="AB326" s="4">
        <f>'[27]Predicted Gas Prices'!AR599</f>
        <v>5.556515221258727</v>
      </c>
      <c r="AC326" s="4">
        <f>'[28]Predicted LPG Prices'!AS599</f>
        <v>16.260084922552583</v>
      </c>
      <c r="AD326" s="4">
        <f>'[29]Predicted Coal Prices'!AS599</f>
        <v>4.7044744099751687</v>
      </c>
      <c r="AE326" s="4">
        <f>'[30]Predicted Coke Prices'!AS557</f>
        <v>0</v>
      </c>
      <c r="AF326" s="4">
        <f>'[31]Predicted Other Prices'!AT557</f>
        <v>2.8790866015800498</v>
      </c>
      <c r="AH326" s="115">
        <f t="shared" si="150"/>
        <v>5.4317851209376258</v>
      </c>
      <c r="AI326" s="4">
        <f>'[32]Quantity Shares_1998 forward'!AH326</f>
        <v>6.7680405904067449</v>
      </c>
    </row>
    <row r="327" spans="15:35" x14ac:dyDescent="0.2">
      <c r="O327" s="17"/>
      <c r="Q327" s="26">
        <f t="shared" ref="Q327:W327" si="197">0.25*Q264+0.75*Q348</f>
        <v>5.7783608195902053E-3</v>
      </c>
      <c r="R327" s="26">
        <f t="shared" si="197"/>
        <v>0.11085082458770616</v>
      </c>
      <c r="S327" s="26">
        <f t="shared" si="197"/>
        <v>0.77367566216891559</v>
      </c>
      <c r="T327" s="26">
        <f t="shared" si="197"/>
        <v>1.6647926036981512E-2</v>
      </c>
      <c r="U327" s="26">
        <f t="shared" si="197"/>
        <v>7.9335332333833081E-2</v>
      </c>
      <c r="V327" s="26">
        <f t="shared" si="197"/>
        <v>0</v>
      </c>
      <c r="W327" s="26">
        <f t="shared" si="197"/>
        <v>1.3711894052973513E-2</v>
      </c>
      <c r="X327" s="26">
        <f t="shared" si="153"/>
        <v>1</v>
      </c>
      <c r="Z327" s="4">
        <f>'[25]Predicted Residual Prices'!AS600</f>
        <v>18.200094361089555</v>
      </c>
      <c r="AA327" s="4">
        <f>'[26]Predicted Distillate Prices'!AS600</f>
        <v>23.608743693458614</v>
      </c>
      <c r="AB327" s="4">
        <f>'[27]Predicted Gas Prices'!AR600</f>
        <v>5.6637405256672952</v>
      </c>
      <c r="AC327" s="4">
        <f>'[28]Predicted LPG Prices'!AS600</f>
        <v>16.266217763841492</v>
      </c>
      <c r="AD327" s="4">
        <f>'[29]Predicted Coal Prices'!AS600</f>
        <v>5.5379292506817013</v>
      </c>
      <c r="AE327" s="4">
        <f>'[30]Predicted Coke Prices'!AS558</f>
        <v>0</v>
      </c>
      <c r="AF327" s="4">
        <f>'[31]Predicted Other Prices'!AT558</f>
        <v>6.8096553499635188</v>
      </c>
      <c r="AH327" s="115">
        <f t="shared" si="150"/>
        <v>7.9076391400911454</v>
      </c>
      <c r="AI327" s="4">
        <f>'[32]Quantity Shares_1998 forward'!AH327</f>
        <v>5.8447125914088502</v>
      </c>
    </row>
    <row r="328" spans="15:35" x14ac:dyDescent="0.2">
      <c r="O328" s="17"/>
      <c r="Q328" s="26">
        <f t="shared" ref="Q328:W328" si="198">0.25*Q265+0.75*Q349</f>
        <v>0</v>
      </c>
      <c r="R328" s="26">
        <f t="shared" si="198"/>
        <v>4.3967169073346107E-2</v>
      </c>
      <c r="S328" s="26">
        <f t="shared" si="198"/>
        <v>0.87934338146692204</v>
      </c>
      <c r="T328" s="26">
        <f t="shared" si="198"/>
        <v>4.3967169073346107E-2</v>
      </c>
      <c r="U328" s="26">
        <f t="shared" si="198"/>
        <v>0</v>
      </c>
      <c r="V328" s="26">
        <f t="shared" si="198"/>
        <v>0</v>
      </c>
      <c r="W328" s="26">
        <f t="shared" si="198"/>
        <v>3.2722280386385631E-2</v>
      </c>
      <c r="X328" s="26">
        <f t="shared" si="153"/>
        <v>0.99999999999999978</v>
      </c>
      <c r="Z328" s="4">
        <f>'[25]Predicted Residual Prices'!AS601</f>
        <v>22.567564285762906</v>
      </c>
      <c r="AA328" s="4">
        <f>'[26]Predicted Distillate Prices'!AS601</f>
        <v>30.707500000000003</v>
      </c>
      <c r="AB328" s="4">
        <f>'[27]Predicted Gas Prices'!AR601</f>
        <v>6.3869445887011285</v>
      </c>
      <c r="AC328" s="4">
        <f>'[28]Predicted LPG Prices'!AS601</f>
        <v>20.04201944103383</v>
      </c>
      <c r="AD328" s="4">
        <f>'[29]Predicted Coal Prices'!AS601</f>
        <v>5.5319494027605867</v>
      </c>
      <c r="AE328" s="4">
        <f>'[30]Predicted Coke Prices'!AS559</f>
        <v>0</v>
      </c>
      <c r="AF328" s="4">
        <f>'[31]Predicted Other Prices'!AT559</f>
        <v>5.3171598653166425</v>
      </c>
      <c r="AH328" s="115">
        <f t="shared" si="150"/>
        <v>8.0216197494974377</v>
      </c>
      <c r="AI328" s="4">
        <f>'[32]Quantity Shares_1998 forward'!AH328</f>
        <v>8.2583846439878972</v>
      </c>
    </row>
    <row r="329" spans="15:35" x14ac:dyDescent="0.2">
      <c r="O329" s="17"/>
      <c r="Q329" s="26">
        <f t="shared" ref="Q329:W329" si="199">0.25*Q266+0.75*Q350</f>
        <v>6.3333634760591409E-2</v>
      </c>
      <c r="R329" s="26">
        <f t="shared" si="199"/>
        <v>0.10745128181941493</v>
      </c>
      <c r="S329" s="26">
        <f t="shared" si="199"/>
        <v>0.63333634760591395</v>
      </c>
      <c r="T329" s="26">
        <f t="shared" si="199"/>
        <v>0.10745128181941493</v>
      </c>
      <c r="U329" s="26">
        <f t="shared" si="199"/>
        <v>0</v>
      </c>
      <c r="V329" s="26">
        <f t="shared" si="199"/>
        <v>0</v>
      </c>
      <c r="W329" s="26">
        <f t="shared" si="199"/>
        <v>8.8427453994664743E-2</v>
      </c>
      <c r="X329" s="26">
        <f t="shared" si="153"/>
        <v>1</v>
      </c>
      <c r="Z329" s="4">
        <f>'[25]Predicted Residual Prices'!AS602</f>
        <v>21.712340632161869</v>
      </c>
      <c r="AA329" s="4">
        <f>'[26]Predicted Distillate Prices'!AS602</f>
        <v>24.257950645645582</v>
      </c>
      <c r="AB329" s="4">
        <f>'[27]Predicted Gas Prices'!AR602</f>
        <v>5.8150776611325696</v>
      </c>
      <c r="AC329" s="4">
        <f>'[28]Predicted LPG Prices'!AS602</f>
        <v>20.780475691444181</v>
      </c>
      <c r="AD329" s="4">
        <f>'[29]Predicted Coal Prices'!AS602</f>
        <v>5.2600256704575177</v>
      </c>
      <c r="AE329" s="4">
        <f>'[30]Predicted Coke Prices'!AS560</f>
        <v>0</v>
      </c>
      <c r="AF329" s="4">
        <f>'[31]Predicted Other Prices'!AT560</f>
        <v>5.1585799326583217</v>
      </c>
      <c r="AH329" s="115">
        <f t="shared" ref="AH329:AH392" si="200">SUMPRODUCT(Q329:W329,Z329:AF329)</f>
        <v>10.353618229063867</v>
      </c>
      <c r="AI329" s="4">
        <f>'[32]Quantity Shares_1998 forward'!AH329</f>
        <v>10.081956478475213</v>
      </c>
    </row>
    <row r="330" spans="15:35" x14ac:dyDescent="0.2">
      <c r="O330" s="17"/>
      <c r="Q330" s="26">
        <f t="shared" ref="Q330:W330" si="201">0.25*Q267+0.75*Q351</f>
        <v>1.2941043400733216E-3</v>
      </c>
      <c r="R330" s="26">
        <f t="shared" si="201"/>
        <v>9.6156277237735954E-2</v>
      </c>
      <c r="S330" s="26">
        <f t="shared" si="201"/>
        <v>0.38351730240789905</v>
      </c>
      <c r="T330" s="26">
        <f t="shared" si="201"/>
        <v>2.4571348729515562E-2</v>
      </c>
      <c r="U330" s="26">
        <f t="shared" si="201"/>
        <v>8.1904495765051863E-3</v>
      </c>
      <c r="V330" s="26">
        <f t="shared" si="201"/>
        <v>0</v>
      </c>
      <c r="W330" s="26">
        <f t="shared" si="201"/>
        <v>0.48627051770827101</v>
      </c>
      <c r="X330" s="26">
        <f t="shared" si="153"/>
        <v>1</v>
      </c>
      <c r="Z330" s="4">
        <f>'[25]Predicted Residual Prices'!AS603</f>
        <v>19.067410755533665</v>
      </c>
      <c r="AA330" s="4">
        <f>'[26]Predicted Distillate Prices'!AS603</f>
        <v>22.250356268424923</v>
      </c>
      <c r="AB330" s="4">
        <f>'[27]Predicted Gas Prices'!AR603</f>
        <v>5.2648989561694552</v>
      </c>
      <c r="AC330" s="4">
        <f>'[28]Predicted LPG Prices'!AS603</f>
        <v>19.879782138382105</v>
      </c>
      <c r="AD330" s="4">
        <f>'[29]Predicted Coal Prices'!AS603</f>
        <v>5.1997586277484968</v>
      </c>
      <c r="AE330" s="4">
        <f>'[30]Predicted Coke Prices'!AS561</f>
        <v>0</v>
      </c>
      <c r="AF330" s="4">
        <f>'[31]Predicted Other Prices'!AT561</f>
        <v>4.7636837009378628</v>
      </c>
      <c r="AH330" s="115">
        <f t="shared" si="200"/>
        <v>7.0308668500110931</v>
      </c>
      <c r="AI330" s="4">
        <f>'[32]Quantity Shares_1998 forward'!AH330</f>
        <v>5.5439717591889224</v>
      </c>
    </row>
    <row r="331" spans="15:35" x14ac:dyDescent="0.2">
      <c r="O331" s="17"/>
      <c r="Q331" s="26">
        <f t="shared" ref="Q331:W331" si="202">0.25*Q268+0.75*Q352</f>
        <v>2.3338093740719393E-2</v>
      </c>
      <c r="R331" s="26">
        <f t="shared" si="202"/>
        <v>5.7389113079328478E-3</v>
      </c>
      <c r="S331" s="26">
        <f t="shared" si="202"/>
        <v>0.46762556120399001</v>
      </c>
      <c r="T331" s="26">
        <f t="shared" si="202"/>
        <v>3.548163094177454E-3</v>
      </c>
      <c r="U331" s="26">
        <f t="shared" si="202"/>
        <v>0.17590910679034991</v>
      </c>
      <c r="V331" s="26">
        <f t="shared" si="202"/>
        <v>1.3102038677218176E-5</v>
      </c>
      <c r="W331" s="26">
        <f t="shared" si="202"/>
        <v>0.32382706182415316</v>
      </c>
      <c r="X331" s="26">
        <f t="shared" si="153"/>
        <v>1</v>
      </c>
      <c r="Z331" s="4">
        <f>'[25]Predicted Residual Prices'!AS604</f>
        <v>16.074294750604647</v>
      </c>
      <c r="AA331" s="4">
        <f>'[26]Predicted Distillate Prices'!AS604</f>
        <v>20.892853668988742</v>
      </c>
      <c r="AB331" s="4">
        <f>'[27]Predicted Gas Prices'!AR604</f>
        <v>4.4800475933086599</v>
      </c>
      <c r="AC331" s="4">
        <f>'[28]Predicted LPG Prices'!AS604</f>
        <v>18.38842730763637</v>
      </c>
      <c r="AD331" s="4">
        <f>'[29]Predicted Coal Prices'!AS604</f>
        <v>4.2519222577750213</v>
      </c>
      <c r="AE331" s="4">
        <f>'[30]Predicted Coke Prices'!AS562</f>
        <v>7.2887500000000003</v>
      </c>
      <c r="AF331" s="4">
        <f>'[31]Predicted Other Prices'!AT562</f>
        <v>3.5119813929701524</v>
      </c>
      <c r="AH331" s="115">
        <f t="shared" si="200"/>
        <v>4.5405975007142194</v>
      </c>
      <c r="AI331" s="4">
        <f>'[32]Quantity Shares_1998 forward'!AH331</f>
        <v>4.7321187537936371</v>
      </c>
    </row>
    <row r="332" spans="15:35" x14ac:dyDescent="0.2">
      <c r="O332" s="17"/>
      <c r="Q332" s="26">
        <f t="shared" ref="Q332:W332" si="203">0.25*Q269+0.75*Q353</f>
        <v>2.1998999492798431E-3</v>
      </c>
      <c r="R332" s="26">
        <f t="shared" si="203"/>
        <v>6.2470905389537751E-3</v>
      </c>
      <c r="S332" s="26">
        <f t="shared" si="203"/>
        <v>0.96021767979600758</v>
      </c>
      <c r="T332" s="26">
        <f t="shared" si="203"/>
        <v>2.552509258165598E-2</v>
      </c>
      <c r="U332" s="26">
        <f t="shared" si="203"/>
        <v>0</v>
      </c>
      <c r="V332" s="26">
        <f t="shared" si="203"/>
        <v>0</v>
      </c>
      <c r="W332" s="26">
        <f t="shared" si="203"/>
        <v>5.8102371341027048E-3</v>
      </c>
      <c r="X332" s="26">
        <f t="shared" si="153"/>
        <v>0.99999999999999989</v>
      </c>
      <c r="Z332" s="4">
        <f>'[25]Predicted Residual Prices'!AS605</f>
        <v>19.163917613166877</v>
      </c>
      <c r="AA332" s="4">
        <f>'[26]Predicted Distillate Prices'!AS605</f>
        <v>22.463215643221833</v>
      </c>
      <c r="AB332" s="4">
        <f>'[27]Predicted Gas Prices'!AR605</f>
        <v>5.7352484259744578</v>
      </c>
      <c r="AC332" s="4">
        <f>'[28]Predicted LPG Prices'!AS605</f>
        <v>19.685624126696993</v>
      </c>
      <c r="AD332" s="4">
        <f>'[29]Predicted Coal Prices'!AS605</f>
        <v>5.2176827455341668</v>
      </c>
      <c r="AE332" s="4">
        <f>'[30]Predicted Coke Prices'!AS563</f>
        <v>0</v>
      </c>
      <c r="AF332" s="4">
        <f>'[31]Predicted Other Prices'!AT563</f>
        <v>3.5127471964118584</v>
      </c>
      <c r="AH332" s="115">
        <f t="shared" si="200"/>
        <v>6.2124626525122864</v>
      </c>
      <c r="AI332" s="4">
        <f>'[32]Quantity Shares_1998 forward'!AH332</f>
        <v>6.1803538522874106</v>
      </c>
    </row>
    <row r="333" spans="15:35" x14ac:dyDescent="0.2">
      <c r="O333" s="17"/>
      <c r="Q333" s="26">
        <f t="shared" ref="Q333:W333" si="204">0.25*Q270+0.75*Q354</f>
        <v>4.2345394888674594E-3</v>
      </c>
      <c r="R333" s="26">
        <f t="shared" si="204"/>
        <v>7.1601784541747079E-3</v>
      </c>
      <c r="S333" s="26">
        <f t="shared" si="204"/>
        <v>0.70466556220559351</v>
      </c>
      <c r="T333" s="26">
        <f t="shared" si="204"/>
        <v>4.9163489852143494E-3</v>
      </c>
      <c r="U333" s="26">
        <f t="shared" si="204"/>
        <v>6.0382637196945291E-3</v>
      </c>
      <c r="V333" s="26">
        <f t="shared" si="204"/>
        <v>0</v>
      </c>
      <c r="W333" s="26">
        <f t="shared" si="204"/>
        <v>0.27298510714645541</v>
      </c>
      <c r="X333" s="26">
        <f t="shared" si="153"/>
        <v>0.99999999999999989</v>
      </c>
      <c r="Z333" s="4">
        <f>'[25]Predicted Residual Prices'!AS606</f>
        <v>18.970520809438892</v>
      </c>
      <c r="AA333" s="4">
        <f>'[26]Predicted Distillate Prices'!AS606</f>
        <v>17.636116893177093</v>
      </c>
      <c r="AB333" s="4">
        <f>'[27]Predicted Gas Prices'!AR606</f>
        <v>4.2464035568116767</v>
      </c>
      <c r="AC333" s="4">
        <f>'[28]Predicted LPG Prices'!AS606</f>
        <v>16.732069524970008</v>
      </c>
      <c r="AD333" s="4">
        <f>'[29]Predicted Coal Prices'!AS606</f>
        <v>4.828279964757388</v>
      </c>
      <c r="AE333" s="4">
        <f>'[30]Predicted Coke Prices'!AS564</f>
        <v>0</v>
      </c>
      <c r="AF333" s="4">
        <f>'[31]Predicted Other Prices'!AT564</f>
        <v>10.382577779383164</v>
      </c>
      <c r="AH333" s="115">
        <f t="shared" si="200"/>
        <v>6.1446077417289811</v>
      </c>
      <c r="AI333" s="4">
        <f>'[32]Quantity Shares_1998 forward'!AH333</f>
        <v>4.5653700059700038</v>
      </c>
    </row>
    <row r="334" spans="15:35" x14ac:dyDescent="0.2">
      <c r="O334" s="17"/>
      <c r="Q334" s="26">
        <f t="shared" ref="Q334:W334" si="205">0.25*Q271+0.75*Q355</f>
        <v>9.0371032591143332E-4</v>
      </c>
      <c r="R334" s="26">
        <f t="shared" si="205"/>
        <v>3.6540804847872113E-3</v>
      </c>
      <c r="S334" s="26">
        <f t="shared" si="205"/>
        <v>0.74572000386931081</v>
      </c>
      <c r="T334" s="26">
        <f t="shared" si="205"/>
        <v>1.8550069351157127E-3</v>
      </c>
      <c r="U334" s="26">
        <f t="shared" si="205"/>
        <v>8.7678312044322332E-2</v>
      </c>
      <c r="V334" s="26">
        <f t="shared" si="205"/>
        <v>0</v>
      </c>
      <c r="W334" s="26">
        <f t="shared" si="205"/>
        <v>0.16018888634055239</v>
      </c>
      <c r="X334" s="26">
        <f t="shared" si="153"/>
        <v>0.99999999999999989</v>
      </c>
      <c r="Z334" s="4">
        <f>'[25]Predicted Residual Prices'!AS607</f>
        <v>15.037796742719097</v>
      </c>
      <c r="AA334" s="4">
        <f>'[26]Predicted Distillate Prices'!AS607</f>
        <v>21.888065751885655</v>
      </c>
      <c r="AB334" s="4">
        <f>'[27]Predicted Gas Prices'!AR607</f>
        <v>4.0237372866731231</v>
      </c>
      <c r="AC334" s="4">
        <f>'[28]Predicted LPG Prices'!AS607</f>
        <v>10.986091721025813</v>
      </c>
      <c r="AD334" s="4">
        <f>'[29]Predicted Coal Prices'!AS607</f>
        <v>3.0937577448881584</v>
      </c>
      <c r="AE334" s="4">
        <f>'[30]Predicted Coke Prices'!AS565</f>
        <v>7.6863903926063815</v>
      </c>
      <c r="AF334" s="4">
        <f>'[31]Predicted Other Prices'!AT565</f>
        <v>6.3829910313850498</v>
      </c>
      <c r="AH334" s="115">
        <f t="shared" si="200"/>
        <v>4.4082709092134973</v>
      </c>
      <c r="AI334" s="4">
        <f>'[32]Quantity Shares_1998 forward'!AH334</f>
        <v>4.6319390380760197</v>
      </c>
    </row>
    <row r="335" spans="15:35" x14ac:dyDescent="0.2">
      <c r="O335" s="17"/>
      <c r="Q335" s="26">
        <f t="shared" ref="Q335:W335" si="206">0.25*Q272+0.75*Q356</f>
        <v>2.177700348432056E-4</v>
      </c>
      <c r="R335" s="26">
        <f t="shared" si="206"/>
        <v>5.1507347371610359E-3</v>
      </c>
      <c r="S335" s="26">
        <f t="shared" si="206"/>
        <v>0.94010377215573415</v>
      </c>
      <c r="T335" s="26">
        <f t="shared" si="206"/>
        <v>3.6168762308741102E-2</v>
      </c>
      <c r="U335" s="26">
        <f t="shared" si="206"/>
        <v>9.506135434025148E-3</v>
      </c>
      <c r="V335" s="26">
        <f t="shared" si="206"/>
        <v>0</v>
      </c>
      <c r="W335" s="26">
        <f t="shared" si="206"/>
        <v>8.8528253294955315E-3</v>
      </c>
      <c r="X335" s="26">
        <f t="shared" si="153"/>
        <v>1.0000000000000002</v>
      </c>
      <c r="Z335" s="4">
        <f>'[25]Predicted Residual Prices'!AS608</f>
        <v>14.150428368777193</v>
      </c>
      <c r="AA335" s="4">
        <f>'[26]Predicted Distillate Prices'!AS608</f>
        <v>24.332588966338289</v>
      </c>
      <c r="AB335" s="4">
        <f>'[27]Predicted Gas Prices'!AR608</f>
        <v>5.662446802154574</v>
      </c>
      <c r="AC335" s="4">
        <f>'[28]Predicted LPG Prices'!AS608</f>
        <v>21.417666529453125</v>
      </c>
      <c r="AD335" s="4">
        <f>'[29]Predicted Coal Prices'!AS608</f>
        <v>7.5813871847075838</v>
      </c>
      <c r="AE335" s="4">
        <f>'[30]Predicted Coke Prices'!AS566</f>
        <v>0</v>
      </c>
      <c r="AF335" s="4">
        <f>'[31]Predicted Other Prices'!AT566</f>
        <v>7.3218330932222644</v>
      </c>
      <c r="AH335" s="115">
        <f t="shared" si="200"/>
        <v>6.3632389415828836</v>
      </c>
      <c r="AI335" s="4">
        <f>'[32]Quantity Shares_1998 forward'!AH335</f>
        <v>5.9808420558153115</v>
      </c>
    </row>
    <row r="336" spans="15:35" x14ac:dyDescent="0.2">
      <c r="O336" s="17"/>
      <c r="Q336" s="26">
        <f t="shared" ref="Q336:W336" si="207">0.25*Q273+0.75*Q357</f>
        <v>6.3289835592526985E-4</v>
      </c>
      <c r="R336" s="26">
        <f t="shared" si="207"/>
        <v>3.0025009364740098E-2</v>
      </c>
      <c r="S336" s="26">
        <f t="shared" si="207"/>
        <v>0.47183596328447064</v>
      </c>
      <c r="T336" s="26">
        <f t="shared" si="207"/>
        <v>4.0586927301833955E-3</v>
      </c>
      <c r="U336" s="26">
        <f t="shared" si="207"/>
        <v>0.34315389597138934</v>
      </c>
      <c r="V336" s="26">
        <f t="shared" si="207"/>
        <v>1.8383152473297318E-2</v>
      </c>
      <c r="W336" s="26">
        <f t="shared" si="207"/>
        <v>0.1319103878199939</v>
      </c>
      <c r="X336" s="26">
        <f t="shared" si="153"/>
        <v>1</v>
      </c>
      <c r="Z336" s="4">
        <f>'[25]Predicted Residual Prices'!AS609</f>
        <v>12.984971945552427</v>
      </c>
      <c r="AA336" s="4">
        <f>'[26]Predicted Distillate Prices'!AS609</f>
        <v>19.862856260236455</v>
      </c>
      <c r="AB336" s="4">
        <f>'[27]Predicted Gas Prices'!AR609</f>
        <v>4.5294049860161802</v>
      </c>
      <c r="AC336" s="4">
        <f>'[28]Predicted LPG Prices'!AS609</f>
        <v>21.634844838068972</v>
      </c>
      <c r="AD336" s="4">
        <f>'[29]Predicted Coal Prices'!AS609</f>
        <v>3.6907075769062008</v>
      </c>
      <c r="AE336" s="4">
        <f>'[30]Predicted Coke Prices'!AS567</f>
        <v>4.7939805500006702</v>
      </c>
      <c r="AF336" s="4">
        <f>'[31]Predicted Other Prices'!AT567</f>
        <v>2.150147908345903</v>
      </c>
      <c r="AH336" s="115">
        <f t="shared" si="200"/>
        <v>4.4677819685369364</v>
      </c>
      <c r="AI336" s="4">
        <f>'[32]Quantity Shares_1998 forward'!AH336</f>
        <v>5.0278220411419143</v>
      </c>
    </row>
    <row r="337" spans="15:43" x14ac:dyDescent="0.2">
      <c r="O337" s="17"/>
      <c r="Q337" s="26">
        <f t="shared" ref="Q337:W337" si="208">0.25*Q274+0.75*Q358</f>
        <v>1.4934637293635442E-3</v>
      </c>
      <c r="R337" s="26">
        <f t="shared" si="208"/>
        <v>7.3369955935719527E-3</v>
      </c>
      <c r="S337" s="26">
        <f t="shared" si="208"/>
        <v>0.66973283330305777</v>
      </c>
      <c r="T337" s="26">
        <f t="shared" si="208"/>
        <v>3.2595555939506434E-3</v>
      </c>
      <c r="U337" s="26">
        <f t="shared" si="208"/>
        <v>2.0920474239821636E-2</v>
      </c>
      <c r="V337" s="26">
        <f t="shared" si="208"/>
        <v>0.25920456488667959</v>
      </c>
      <c r="W337" s="26">
        <f t="shared" si="208"/>
        <v>3.8052112653554876E-2</v>
      </c>
      <c r="X337" s="26">
        <f t="shared" si="153"/>
        <v>1</v>
      </c>
      <c r="Z337" s="4">
        <f>'[25]Predicted Residual Prices'!AS610</f>
        <v>16.572959605973683</v>
      </c>
      <c r="AA337" s="4">
        <f>'[26]Predicted Distillate Prices'!AS610</f>
        <v>22.526275445968949</v>
      </c>
      <c r="AB337" s="4">
        <f>'[27]Predicted Gas Prices'!AR610</f>
        <v>4.2486831838334016</v>
      </c>
      <c r="AC337" s="4">
        <f>'[28]Predicted LPG Prices'!AS610</f>
        <v>17.60314191593525</v>
      </c>
      <c r="AD337" s="4">
        <f>'[29]Predicted Coal Prices'!AS610</f>
        <v>5.0874742538762208</v>
      </c>
      <c r="AE337" s="4">
        <f>'[30]Predicted Coke Prices'!AS568</f>
        <v>11.549433863668575</v>
      </c>
      <c r="AF337" s="4">
        <f>'[31]Predicted Other Prices'!AT568</f>
        <v>3.1818781053354268</v>
      </c>
      <c r="AH337" s="115">
        <f t="shared" si="200"/>
        <v>6.3140628814731574</v>
      </c>
      <c r="AI337" s="4">
        <f>'[32]Quantity Shares_1998 forward'!AH337</f>
        <v>7.6715657144707929</v>
      </c>
    </row>
    <row r="338" spans="15:43" x14ac:dyDescent="0.2">
      <c r="O338" s="17"/>
      <c r="Q338" s="26">
        <f t="shared" ref="Q338:W338" si="209">0.25*Q275+0.75*Q359</f>
        <v>1.4518002322880374E-4</v>
      </c>
      <c r="R338" s="26">
        <f t="shared" si="209"/>
        <v>1.181808726402829E-2</v>
      </c>
      <c r="S338" s="26">
        <f t="shared" si="209"/>
        <v>0.94787820479484108</v>
      </c>
      <c r="T338" s="26">
        <f t="shared" si="209"/>
        <v>3.3378404146514815E-2</v>
      </c>
      <c r="U338" s="26">
        <f t="shared" si="209"/>
        <v>1.4518002322880374E-4</v>
      </c>
      <c r="V338" s="26">
        <f t="shared" si="209"/>
        <v>0</v>
      </c>
      <c r="W338" s="26">
        <f t="shared" si="209"/>
        <v>6.6349437481581638E-3</v>
      </c>
      <c r="X338" s="26">
        <f t="shared" si="153"/>
        <v>1</v>
      </c>
      <c r="Z338" s="4">
        <f>'[25]Predicted Residual Prices'!AS611</f>
        <v>17.375904560621969</v>
      </c>
      <c r="AA338" s="4">
        <f>'[26]Predicted Distillate Prices'!AS611</f>
        <v>27.13752959274607</v>
      </c>
      <c r="AB338" s="4">
        <f>'[27]Predicted Gas Prices'!AR611</f>
        <v>5.3120772905139404</v>
      </c>
      <c r="AC338" s="4">
        <f>'[28]Predicted LPG Prices'!AS611</f>
        <v>20.744676585851725</v>
      </c>
      <c r="AD338" s="4">
        <f>'[29]Predicted Coal Prices'!AS611</f>
        <v>5.2795101288951392</v>
      </c>
      <c r="AE338" s="4">
        <f>'[30]Predicted Coke Prices'!AS569</f>
        <v>11.019747077695984</v>
      </c>
      <c r="AF338" s="4">
        <f>'[31]Predicted Other Prices'!AT569</f>
        <v>8.3587132601239524</v>
      </c>
      <c r="AH338" s="115">
        <f t="shared" si="200"/>
        <v>6.1070888836111106</v>
      </c>
      <c r="AI338" s="4">
        <f>'[32]Quantity Shares_1998 forward'!AH338</f>
        <v>6.5130040031745633</v>
      </c>
    </row>
    <row r="339" spans="15:43" x14ac:dyDescent="0.2">
      <c r="O339" s="17"/>
      <c r="Q339" s="26">
        <f t="shared" ref="Q339:W339" si="210">0.25*Q276+0.75*Q360</f>
        <v>1.2267812911170733E-3</v>
      </c>
      <c r="R339" s="26">
        <f t="shared" si="210"/>
        <v>5.485398024975769E-2</v>
      </c>
      <c r="S339" s="26">
        <f t="shared" si="210"/>
        <v>0.88003998745124501</v>
      </c>
      <c r="T339" s="26">
        <f t="shared" si="210"/>
        <v>3.3560896580464211E-2</v>
      </c>
      <c r="U339" s="26">
        <f t="shared" si="210"/>
        <v>1.8050541516245487E-2</v>
      </c>
      <c r="V339" s="26">
        <f t="shared" si="210"/>
        <v>0</v>
      </c>
      <c r="W339" s="26">
        <f t="shared" si="210"/>
        <v>1.2267812911170734E-2</v>
      </c>
      <c r="X339" s="26">
        <f t="shared" si="153"/>
        <v>1.0000000000000002</v>
      </c>
      <c r="Z339" s="4">
        <f>'[25]Predicted Residual Prices'!AS612</f>
        <v>15.284698476886607</v>
      </c>
      <c r="AA339" s="4">
        <f>'[26]Predicted Distillate Prices'!AS612</f>
        <v>33.702395002385508</v>
      </c>
      <c r="AB339" s="4">
        <f>'[27]Predicted Gas Prices'!AR612</f>
        <v>5.8180779076913058</v>
      </c>
      <c r="AC339" s="4">
        <f>'[28]Predicted LPG Prices'!AS612</f>
        <v>21.740979608841705</v>
      </c>
      <c r="AD339" s="4">
        <f>'[29]Predicted Coal Prices'!AS612</f>
        <v>3.7111406280117856</v>
      </c>
      <c r="AE339" s="4">
        <f>'[30]Predicted Coke Prices'!AS570</f>
        <v>0</v>
      </c>
      <c r="AF339" s="4">
        <f>'[31]Predicted Other Prices'!AT570</f>
        <v>14.933574411607683</v>
      </c>
      <c r="AH339" s="115">
        <f t="shared" si="200"/>
        <v>7.9674398640027384</v>
      </c>
      <c r="AI339" s="4">
        <f>'[32]Quantity Shares_1998 forward'!AH339</f>
        <v>7.0476061357676025</v>
      </c>
    </row>
    <row r="340" spans="15:43" x14ac:dyDescent="0.2">
      <c r="O340" s="17"/>
      <c r="Q340" s="26">
        <f t="shared" ref="Q340:W340" si="211">0.25*Q277+0.75*Q361</f>
        <v>3.5644257703081232E-3</v>
      </c>
      <c r="R340" s="26">
        <f t="shared" si="211"/>
        <v>1.5469187675070026E-2</v>
      </c>
      <c r="S340" s="26">
        <f t="shared" si="211"/>
        <v>0.94646358543417364</v>
      </c>
      <c r="T340" s="26">
        <f t="shared" si="211"/>
        <v>3.5644257703081232E-3</v>
      </c>
      <c r="U340" s="26">
        <f t="shared" si="211"/>
        <v>0</v>
      </c>
      <c r="V340" s="26">
        <f t="shared" si="211"/>
        <v>0</v>
      </c>
      <c r="W340" s="26">
        <f t="shared" si="211"/>
        <v>3.0938375350140053E-2</v>
      </c>
      <c r="X340" s="26">
        <f t="shared" si="153"/>
        <v>1</v>
      </c>
      <c r="Z340" s="4">
        <f>'[25]Predicted Residual Prices'!AS613</f>
        <v>24.129888378548596</v>
      </c>
      <c r="AA340" s="4">
        <f>'[26]Predicted Distillate Prices'!AS613</f>
        <v>24.992923641769508</v>
      </c>
      <c r="AB340" s="4">
        <f>'[27]Predicted Gas Prices'!AR613</f>
        <v>5.4851281653017336</v>
      </c>
      <c r="AC340" s="4">
        <f>'[28]Predicted LPG Prices'!AS613</f>
        <v>21.298587949967423</v>
      </c>
      <c r="AD340" s="4">
        <f>'[29]Predicted Coal Prices'!AS613</f>
        <v>5.2834752196784613</v>
      </c>
      <c r="AE340" s="4">
        <f>'[30]Predicted Coke Prices'!AS571</f>
        <v>0</v>
      </c>
      <c r="AF340" s="4">
        <f>'[31]Predicted Other Prices'!AT571</f>
        <v>18.880922357179536</v>
      </c>
      <c r="AH340" s="115">
        <f t="shared" si="200"/>
        <v>6.3241657908351421</v>
      </c>
      <c r="AI340" s="4">
        <f>'[32]Quantity Shares_1998 forward'!AH340</f>
        <v>5.4183856622190536</v>
      </c>
    </row>
    <row r="341" spans="15:43" x14ac:dyDescent="0.2">
      <c r="O341" s="17"/>
      <c r="Q341" s="26">
        <f t="shared" ref="Q341:W341" si="212">0.25*Q278+0.75*Q362</f>
        <v>3.2637075718015672E-4</v>
      </c>
      <c r="R341" s="26">
        <f t="shared" si="212"/>
        <v>1.3880356320073721E-2</v>
      </c>
      <c r="S341" s="26">
        <f t="shared" si="212"/>
        <v>0.89675165105206567</v>
      </c>
      <c r="T341" s="26">
        <f t="shared" si="212"/>
        <v>3.1037219065171765E-2</v>
      </c>
      <c r="U341" s="26">
        <f t="shared" si="212"/>
        <v>0</v>
      </c>
      <c r="V341" s="26">
        <f t="shared" si="212"/>
        <v>7.6793119336507447E-3</v>
      </c>
      <c r="W341" s="26">
        <f t="shared" si="212"/>
        <v>5.0325090871857887E-2</v>
      </c>
      <c r="X341" s="26">
        <f t="shared" si="153"/>
        <v>1</v>
      </c>
      <c r="Z341" s="4">
        <f>'[25]Predicted Residual Prices'!AS614</f>
        <v>26.540375140309607</v>
      </c>
      <c r="AA341" s="4">
        <f>'[26]Predicted Distillate Prices'!AS614</f>
        <v>28.274256949877515</v>
      </c>
      <c r="AB341" s="4">
        <f>'[27]Predicted Gas Prices'!AR614</f>
        <v>5.2210974121160172</v>
      </c>
      <c r="AC341" s="4">
        <f>'[28]Predicted LPG Prices'!AS614</f>
        <v>13.553171338690616</v>
      </c>
      <c r="AD341" s="4">
        <f>'[29]Predicted Coal Prices'!AS614</f>
        <v>5.3261853798458141</v>
      </c>
      <c r="AE341" s="4">
        <f>'[30]Predicted Coke Prices'!AS572</f>
        <v>0</v>
      </c>
      <c r="AF341" s="4">
        <f>'[31]Predicted Other Prices'!AT572</f>
        <v>7.2714179453956538</v>
      </c>
      <c r="AH341" s="115">
        <f t="shared" si="200"/>
        <v>5.8697340048347577</v>
      </c>
      <c r="AI341" s="4">
        <f>'[32]Quantity Shares_1998 forward'!AH341</f>
        <v>6.4093846441150832</v>
      </c>
    </row>
    <row r="342" spans="15:43" x14ac:dyDescent="0.2">
      <c r="O342" s="17"/>
      <c r="Q342" s="26">
        <f t="shared" ref="Q342:W342" si="213">0.25*Q279+0.75*Q363</f>
        <v>8.0920917317976147E-3</v>
      </c>
      <c r="R342" s="26">
        <f t="shared" si="213"/>
        <v>2.3627108185931719E-2</v>
      </c>
      <c r="S342" s="26">
        <f t="shared" si="213"/>
        <v>0.88838826614561905</v>
      </c>
      <c r="T342" s="26">
        <f t="shared" si="213"/>
        <v>2.3627108185931719E-2</v>
      </c>
      <c r="U342" s="26">
        <f t="shared" si="213"/>
        <v>9.8403434800493628E-3</v>
      </c>
      <c r="V342" s="26">
        <f t="shared" si="213"/>
        <v>9.1911764705882373E-4</v>
      </c>
      <c r="W342" s="26">
        <f t="shared" si="213"/>
        <v>4.5505964623611693E-2</v>
      </c>
      <c r="X342" s="26">
        <f t="shared" si="153"/>
        <v>1</v>
      </c>
      <c r="Z342" s="4">
        <f>'[25]Predicted Residual Prices'!AS615</f>
        <v>16.222427348513872</v>
      </c>
      <c r="AA342" s="4">
        <f>'[26]Predicted Distillate Prices'!AS615</f>
        <v>20.408190062886913</v>
      </c>
      <c r="AB342" s="4">
        <f>'[27]Predicted Gas Prices'!AR615</f>
        <v>5.4913893529235285</v>
      </c>
      <c r="AC342" s="4">
        <f>'[28]Predicted LPG Prices'!AS615</f>
        <v>23.322353454309638</v>
      </c>
      <c r="AD342" s="4">
        <f>'[29]Predicted Coal Prices'!AS615</f>
        <v>5.7903321822355824</v>
      </c>
      <c r="AE342" s="4">
        <f>'[30]Predicted Coke Prices'!AS573</f>
        <v>0</v>
      </c>
      <c r="AF342" s="4">
        <f>'[31]Predicted Other Prices'!AT573</f>
        <v>7.4634803205067701</v>
      </c>
      <c r="AH342" s="115">
        <f t="shared" si="200"/>
        <v>6.439597247872026</v>
      </c>
      <c r="AI342" s="4">
        <f>'[32]Quantity Shares_1998 forward'!AH342</f>
        <v>6.7850088017830794</v>
      </c>
    </row>
    <row r="343" spans="15:43" x14ac:dyDescent="0.2">
      <c r="O343" s="17"/>
      <c r="Q343" s="26">
        <f t="shared" ref="Q343:W343" si="214">0.25*Q280+0.75*Q364</f>
        <v>0</v>
      </c>
      <c r="R343" s="26">
        <f t="shared" si="214"/>
        <v>1.4769036448935402E-2</v>
      </c>
      <c r="S343" s="26">
        <f t="shared" si="214"/>
        <v>0.86115120894983765</v>
      </c>
      <c r="T343" s="26">
        <f t="shared" si="214"/>
        <v>5.9455070371706963E-2</v>
      </c>
      <c r="U343" s="26">
        <f t="shared" si="214"/>
        <v>1.1891014074341393E-2</v>
      </c>
      <c r="V343" s="26">
        <f t="shared" si="214"/>
        <v>0</v>
      </c>
      <c r="W343" s="26">
        <f t="shared" si="214"/>
        <v>5.2733670155178644E-2</v>
      </c>
      <c r="X343" s="26">
        <f t="shared" si="153"/>
        <v>1</v>
      </c>
      <c r="Z343" s="4">
        <f>'[25]Predicted Residual Prices'!AS616</f>
        <v>16.405325094018515</v>
      </c>
      <c r="AA343" s="4">
        <f>'[26]Predicted Distillate Prices'!AS616</f>
        <v>29.96506690470283</v>
      </c>
      <c r="AB343" s="4">
        <f>'[27]Predicted Gas Prices'!AR616</f>
        <v>6.673189486998985</v>
      </c>
      <c r="AC343" s="4">
        <f>'[28]Predicted LPG Prices'!AS616</f>
        <v>21.731964271559697</v>
      </c>
      <c r="AD343" s="4">
        <f>'[29]Predicted Coal Prices'!AS616</f>
        <v>3.7227290297571947</v>
      </c>
      <c r="AE343" s="4">
        <f>'[30]Predicted Coke Prices'!AS574</f>
        <v>0</v>
      </c>
      <c r="AF343" s="4">
        <f>'[31]Predicted Other Prices'!AT574</f>
        <v>3.2131274183599876</v>
      </c>
      <c r="AH343" s="115">
        <f t="shared" si="200"/>
        <v>7.6949628494060285</v>
      </c>
      <c r="AI343" s="4">
        <f>'[32]Quantity Shares_1998 forward'!AH343</f>
        <v>7.4324221557237351</v>
      </c>
      <c r="AK343" t="s">
        <v>348</v>
      </c>
    </row>
    <row r="344" spans="15:43" x14ac:dyDescent="0.2">
      <c r="O344" s="17"/>
      <c r="Q344" s="26">
        <f t="shared" ref="Q344:W344" si="215">0.25*Q281+0.75*Q365</f>
        <v>4.1443628366322257E-3</v>
      </c>
      <c r="R344" s="26">
        <f t="shared" si="215"/>
        <v>2.2490559774264486E-2</v>
      </c>
      <c r="S344" s="26">
        <f t="shared" si="215"/>
        <v>0.93385617660483833</v>
      </c>
      <c r="T344" s="26">
        <f t="shared" si="215"/>
        <v>2.8512593883563631E-2</v>
      </c>
      <c r="U344" s="26">
        <f t="shared" si="215"/>
        <v>1.4367816091954018E-3</v>
      </c>
      <c r="V344" s="26">
        <f t="shared" si="215"/>
        <v>0</v>
      </c>
      <c r="W344" s="26">
        <f t="shared" si="215"/>
        <v>9.5595252915058708E-3</v>
      </c>
      <c r="X344" s="26">
        <f t="shared" si="153"/>
        <v>0.99999999999999989</v>
      </c>
      <c r="Z344" s="4">
        <f>'[25]Predicted Residual Prices'!AS617</f>
        <v>21.737454825847045</v>
      </c>
      <c r="AA344" s="4">
        <f>'[26]Predicted Distillate Prices'!AS617</f>
        <v>30.08838877994765</v>
      </c>
      <c r="AB344" s="4">
        <f>'[27]Predicted Gas Prices'!AR617</f>
        <v>6.4364301172816472</v>
      </c>
      <c r="AC344" s="4">
        <f>'[28]Predicted LPG Prices'!AS617</f>
        <v>24.726703159194653</v>
      </c>
      <c r="AD344" s="4">
        <f>'[29]Predicted Coal Prices'!AS617</f>
        <v>5.0520268640982637</v>
      </c>
      <c r="AE344" s="4">
        <f>'[30]Predicted Coke Prices'!AS575</f>
        <v>0</v>
      </c>
      <c r="AF344" s="4">
        <f>'[31]Predicted Other Prices'!AT575</f>
        <v>7.8308437739899439</v>
      </c>
      <c r="AH344" s="115">
        <f t="shared" si="200"/>
        <v>7.5646328802751359</v>
      </c>
      <c r="AI344" s="4">
        <f>'[32]Quantity Shares_1998 forward'!AH344</f>
        <v>8.4278938379598767</v>
      </c>
      <c r="AK344" t="s">
        <v>54</v>
      </c>
      <c r="AL344" t="s">
        <v>53</v>
      </c>
      <c r="AM344" t="s">
        <v>67</v>
      </c>
      <c r="AN344" t="s">
        <v>68</v>
      </c>
      <c r="AO344" t="s">
        <v>71</v>
      </c>
      <c r="AP344" t="s">
        <v>56</v>
      </c>
    </row>
    <row r="345" spans="15:43" x14ac:dyDescent="0.2">
      <c r="O345" s="17"/>
      <c r="P345">
        <v>2014</v>
      </c>
      <c r="Q345" s="31">
        <f>MECS_data!AR118</f>
        <v>5.1347881899871627E-3</v>
      </c>
      <c r="R345" s="31">
        <f>MECS_data!AS118</f>
        <v>2.5673940949935817E-2</v>
      </c>
      <c r="S345" s="31">
        <f>MECS_data!AT118</f>
        <v>0.73170731707317072</v>
      </c>
      <c r="T345" s="31">
        <f>MECS_data!AU118</f>
        <v>7.7021822849807449E-3</v>
      </c>
      <c r="U345" s="31">
        <f>MECS_data!AV118</f>
        <v>0.14120667522464697</v>
      </c>
      <c r="V345" s="31">
        <f>MECS_data!AW118</f>
        <v>1.2836970474967907E-3</v>
      </c>
      <c r="W345" s="31">
        <f>MECS_data!AX118</f>
        <v>8.7291399229781769E-2</v>
      </c>
      <c r="X345" s="26">
        <f t="shared" si="153"/>
        <v>0.99999999999999989</v>
      </c>
      <c r="Z345" s="4">
        <f>'[25]Predicted Residual Prices'!AS618</f>
        <v>16.98</v>
      </c>
      <c r="AA345" s="4">
        <f>'[26]Predicted Distillate Prices'!AS618</f>
        <v>22.71</v>
      </c>
      <c r="AB345" s="4">
        <f>'[27]Predicted Gas Prices'!AR618</f>
        <v>5.48</v>
      </c>
      <c r="AC345" s="4">
        <f>'[28]Predicted LPG Prices'!AS618</f>
        <v>19.309999999999999</v>
      </c>
      <c r="AD345" s="4">
        <f>'[29]Predicted Coal Prices'!AS618</f>
        <v>2.56</v>
      </c>
      <c r="AE345" s="4">
        <f>'[30]Predicted Coke Prices'!AS576</f>
        <v>18.91</v>
      </c>
      <c r="AF345" s="4">
        <f>'[31]Predicted Other Prices'!AT576</f>
        <v>6.604651162790697</v>
      </c>
      <c r="AG345">
        <v>2014</v>
      </c>
      <c r="AH345" s="115">
        <f t="shared" si="200"/>
        <v>5.7910221810908444</v>
      </c>
      <c r="AI345" s="4">
        <f>'[32]Quantity Shares_1998 forward'!AH345</f>
        <v>5.858920334777757</v>
      </c>
      <c r="AK345" s="4">
        <f>MECS_data!S118</f>
        <v>16.98</v>
      </c>
      <c r="AL345" s="4">
        <f>MECS_data!T118</f>
        <v>22.71</v>
      </c>
      <c r="AM345" s="4">
        <f>MECS_data!U118</f>
        <v>5.48</v>
      </c>
      <c r="AN345" s="4">
        <f>MECS_data!V118</f>
        <v>19.309999999999999</v>
      </c>
      <c r="AO345" s="4">
        <f>MECS_data!W118</f>
        <v>2.56</v>
      </c>
      <c r="AP345" s="4">
        <f>MECS_data!X118</f>
        <v>18.91</v>
      </c>
      <c r="AQ345" s="4">
        <f>MECS_data!Y118</f>
        <v>6.6046511627906979</v>
      </c>
    </row>
    <row r="346" spans="15:43" x14ac:dyDescent="0.2">
      <c r="O346" s="17"/>
      <c r="Q346" s="31">
        <f>MECS_data!AR119</f>
        <v>8.130081300813009E-3</v>
      </c>
      <c r="R346" s="31">
        <f>MECS_data!AS119</f>
        <v>1.6260162601626018E-2</v>
      </c>
      <c r="S346" s="31">
        <f>MECS_data!AT119</f>
        <v>0.78048780487804881</v>
      </c>
      <c r="T346" s="31">
        <f>MECS_data!AU119</f>
        <v>1.6260162601626018E-2</v>
      </c>
      <c r="U346" s="31">
        <f>MECS_data!AV119</f>
        <v>0.11382113821138211</v>
      </c>
      <c r="V346" s="31">
        <f>MECS_data!AW119</f>
        <v>0</v>
      </c>
      <c r="W346" s="31">
        <f>MECS_data!AX119</f>
        <v>6.5040650406504072E-2</v>
      </c>
      <c r="X346" s="26">
        <f t="shared" si="153"/>
        <v>1</v>
      </c>
      <c r="Z346" s="4">
        <f>'[25]Predicted Residual Prices'!AS619</f>
        <v>10.87</v>
      </c>
      <c r="AA346" s="4">
        <f>'[26]Predicted Distillate Prices'!AS619</f>
        <v>19.989999999999998</v>
      </c>
      <c r="AB346" s="4">
        <f>'[27]Predicted Gas Prices'!AR619</f>
        <v>5.35</v>
      </c>
      <c r="AC346" s="4">
        <f>'[28]Predicted LPG Prices'!AS619</f>
        <v>21.12</v>
      </c>
      <c r="AD346" s="4">
        <f>'[29]Predicted Coal Prices'!AS619</f>
        <v>4.47</v>
      </c>
      <c r="AE346" s="4">
        <f>'[30]Predicted Coke Prices'!AS577</f>
        <v>0</v>
      </c>
      <c r="AF346" s="4">
        <f>'[31]Predicted Other Prices'!AT577</f>
        <v>6.5</v>
      </c>
      <c r="AH346" s="115">
        <f t="shared" si="200"/>
        <v>5.8639837398373986</v>
      </c>
      <c r="AI346" s="4">
        <f>'[32]Quantity Shares_1998 forward'!AH346</f>
        <v>6.7326679884307277</v>
      </c>
      <c r="AK346" s="4">
        <f>MECS_data!S119</f>
        <v>10.87</v>
      </c>
      <c r="AL346" s="4">
        <f>MECS_data!T119</f>
        <v>19.989999999999998</v>
      </c>
      <c r="AM346" s="4">
        <f>MECS_data!U119</f>
        <v>5.35</v>
      </c>
      <c r="AN346" s="4">
        <f>MECS_data!V119</f>
        <v>21.12</v>
      </c>
      <c r="AO346" s="4">
        <f>MECS_data!W119</f>
        <v>4.47</v>
      </c>
      <c r="AP346" s="4">
        <f>MECS_data!X119</f>
        <v>0</v>
      </c>
      <c r="AQ346" s="4">
        <f>MECS_data!Y119</f>
        <v>6.5</v>
      </c>
    </row>
    <row r="347" spans="15:43" x14ac:dyDescent="0.2">
      <c r="O347" s="17"/>
      <c r="Q347" s="31">
        <f>MECS_data!AR120</f>
        <v>1.8050541516245488E-3</v>
      </c>
      <c r="R347" s="31">
        <f>MECS_data!AS120</f>
        <v>5.415162454873646E-3</v>
      </c>
      <c r="S347" s="31">
        <f>MECS_data!AT120</f>
        <v>0.64981949458483756</v>
      </c>
      <c r="T347" s="31">
        <f>MECS_data!AU120</f>
        <v>1.8050541516245487E-2</v>
      </c>
      <c r="U347" s="31">
        <f>MECS_data!AV120</f>
        <v>0.10830324909747292</v>
      </c>
      <c r="V347" s="31">
        <f>MECS_data!AW120</f>
        <v>0</v>
      </c>
      <c r="W347" s="31">
        <f>MECS_data!AX120</f>
        <v>0.21660649819494585</v>
      </c>
      <c r="X347" s="26">
        <f t="shared" ref="X347:X410" si="216">SUM(Q347:W347)</f>
        <v>1</v>
      </c>
      <c r="Z347" s="4">
        <f>'[25]Predicted Residual Prices'!AS620</f>
        <v>14.13</v>
      </c>
      <c r="AA347" s="4">
        <f>'[26]Predicted Distillate Prices'!AS620</f>
        <v>24.22</v>
      </c>
      <c r="AB347" s="4">
        <f>'[27]Predicted Gas Prices'!AR620</f>
        <v>6.55</v>
      </c>
      <c r="AC347" s="4">
        <f>'[28]Predicted LPG Prices'!AS620</f>
        <v>18.579999999999998</v>
      </c>
      <c r="AD347" s="4">
        <f>'[29]Predicted Coal Prices'!AS620</f>
        <v>4.3468609980370916</v>
      </c>
      <c r="AE347" s="4">
        <f>'[30]Predicted Coke Prices'!AS578</f>
        <v>0</v>
      </c>
      <c r="AF347" s="4">
        <f>'[31]Predicted Other Prices'!AT578</f>
        <v>1.666666666666667</v>
      </c>
      <c r="AH347" s="115">
        <f t="shared" si="200"/>
        <v>5.5801474005094329</v>
      </c>
      <c r="AI347" s="4">
        <f>'[32]Quantity Shares_1998 forward'!AH347</f>
        <v>7.2973941355549048</v>
      </c>
      <c r="AK347" s="4">
        <f>MECS_data!S120</f>
        <v>14.13</v>
      </c>
      <c r="AL347" s="4">
        <f>MECS_data!T120</f>
        <v>24.22</v>
      </c>
      <c r="AM347" s="4">
        <f>MECS_data!U120</f>
        <v>6.55</v>
      </c>
      <c r="AN347" s="4">
        <f>MECS_data!V120</f>
        <v>18.579999999999998</v>
      </c>
      <c r="AO347" s="4">
        <f>MECS_data!W120</f>
        <v>4.53</v>
      </c>
      <c r="AP347" s="4">
        <f>MECS_data!X120</f>
        <v>0</v>
      </c>
      <c r="AQ347" s="4">
        <f>MECS_data!Y120</f>
        <v>1.6666666666666667</v>
      </c>
    </row>
    <row r="348" spans="15:43" x14ac:dyDescent="0.2">
      <c r="O348" s="17"/>
      <c r="Q348" s="31">
        <f>MECS_data!AR121</f>
        <v>4.8309178743961359E-3</v>
      </c>
      <c r="R348" s="31">
        <f>MECS_data!AS121</f>
        <v>0.14492753623188406</v>
      </c>
      <c r="S348" s="31">
        <f>MECS_data!AT121</f>
        <v>0.77294685990338163</v>
      </c>
      <c r="T348" s="31">
        <f>MECS_data!AU121</f>
        <v>1.9323671497584544E-2</v>
      </c>
      <c r="U348" s="31">
        <f>MECS_data!AV121</f>
        <v>4.8309178743961352E-2</v>
      </c>
      <c r="V348" s="31">
        <f>MECS_data!AW121</f>
        <v>0</v>
      </c>
      <c r="W348" s="31">
        <f>MECS_data!AX121</f>
        <v>9.6618357487922718E-3</v>
      </c>
      <c r="X348" s="26">
        <f t="shared" si="216"/>
        <v>1</v>
      </c>
      <c r="Z348" s="4">
        <f>'[25]Predicted Residual Prices'!AS621</f>
        <v>15.16</v>
      </c>
      <c r="AA348" s="4">
        <f>'[26]Predicted Distillate Prices'!AS621</f>
        <v>23.75</v>
      </c>
      <c r="AB348" s="4">
        <f>'[27]Predicted Gas Prices'!AR621</f>
        <v>6.76</v>
      </c>
      <c r="AC348" s="4">
        <f>'[28]Predicted LPG Prices'!AS621</f>
        <v>18.16</v>
      </c>
      <c r="AD348" s="4">
        <f>'[29]Predicted Coal Prices'!AS621</f>
        <v>5.61</v>
      </c>
      <c r="AE348" s="4">
        <f>'[30]Predicted Coke Prices'!AS579</f>
        <v>0</v>
      </c>
      <c r="AF348" s="4">
        <f>'[31]Predicted Other Prices'!AT579</f>
        <v>6.666666666666667</v>
      </c>
      <c r="AH348" s="115">
        <f t="shared" si="200"/>
        <v>9.426731078904993</v>
      </c>
      <c r="AI348" s="4">
        <f>'[32]Quantity Shares_1998 forward'!AH348</f>
        <v>6.5771385060355474</v>
      </c>
      <c r="AK348" s="4">
        <f>MECS_data!S121</f>
        <v>15.16</v>
      </c>
      <c r="AL348" s="4">
        <f>MECS_data!T121</f>
        <v>23.75</v>
      </c>
      <c r="AM348" s="4">
        <f>MECS_data!U121</f>
        <v>6.76</v>
      </c>
      <c r="AN348" s="4">
        <f>MECS_data!V121</f>
        <v>18.16</v>
      </c>
      <c r="AO348" s="4">
        <f>MECS_data!W121</f>
        <v>5.61</v>
      </c>
      <c r="AP348" s="4">
        <f>MECS_data!X121</f>
        <v>0</v>
      </c>
      <c r="AQ348" s="4">
        <f>MECS_data!Y121</f>
        <v>6.666666666666667</v>
      </c>
    </row>
    <row r="349" spans="15:43" x14ac:dyDescent="0.2">
      <c r="O349" s="17"/>
      <c r="Q349" s="31">
        <f>MECS_data!AR122</f>
        <v>0</v>
      </c>
      <c r="R349" s="31">
        <f>MECS_data!AS122</f>
        <v>4.3478260869565216E-2</v>
      </c>
      <c r="S349" s="31">
        <f>MECS_data!AT122</f>
        <v>0.86956521739130421</v>
      </c>
      <c r="T349" s="31">
        <f>MECS_data!AU122</f>
        <v>4.3478260869565216E-2</v>
      </c>
      <c r="U349" s="31">
        <f>MECS_data!AV122</f>
        <v>0</v>
      </c>
      <c r="V349" s="31">
        <f>MECS_data!AW122</f>
        <v>0</v>
      </c>
      <c r="W349" s="31">
        <f>MECS_data!AX122</f>
        <v>4.3478260869565216E-2</v>
      </c>
      <c r="X349" s="26">
        <f t="shared" si="216"/>
        <v>0.99999999999999978</v>
      </c>
      <c r="Z349" s="4">
        <f>'[25]Predicted Residual Prices'!AS622</f>
        <v>20</v>
      </c>
      <c r="AA349" s="4">
        <f>'[26]Predicted Distillate Prices'!AS622</f>
        <v>33.75</v>
      </c>
      <c r="AB349" s="4">
        <f>'[27]Predicted Gas Prices'!AR622</f>
        <v>7.28</v>
      </c>
      <c r="AC349" s="4">
        <f>'[28]Predicted LPG Prices'!AS622</f>
        <v>21.17</v>
      </c>
      <c r="AD349" s="4">
        <f>'[29]Predicted Coal Prices'!AS622</f>
        <v>5.61</v>
      </c>
      <c r="AE349" s="4">
        <f>'[30]Predicted Coke Prices'!AS580</f>
        <v>0</v>
      </c>
      <c r="AF349" s="4">
        <f>'[31]Predicted Other Prices'!AT580</f>
        <v>5</v>
      </c>
      <c r="AH349" s="115">
        <f t="shared" si="200"/>
        <v>8.9356521739130432</v>
      </c>
      <c r="AI349" s="4">
        <f>'[32]Quantity Shares_1998 forward'!AH349</f>
        <v>9.1677654970279292</v>
      </c>
      <c r="AK349" s="4">
        <f>MECS_data!S122</f>
        <v>0</v>
      </c>
      <c r="AL349" s="4">
        <f>MECS_data!T122</f>
        <v>20</v>
      </c>
      <c r="AM349" s="4">
        <f>MECS_data!U122</f>
        <v>7.28</v>
      </c>
      <c r="AN349" s="4">
        <f>MECS_data!V122</f>
        <v>21.17</v>
      </c>
      <c r="AO349" s="4">
        <f>MECS_data!W122</f>
        <v>5</v>
      </c>
      <c r="AP349" s="4">
        <f>MECS_data!X122</f>
        <v>0</v>
      </c>
      <c r="AQ349" s="4">
        <f>MECS_data!Y122</f>
        <v>1</v>
      </c>
    </row>
    <row r="350" spans="15:43" x14ac:dyDescent="0.2">
      <c r="O350" s="17"/>
      <c r="Q350" s="31">
        <f>MECS_data!AR123</f>
        <v>5.8823529411764712E-2</v>
      </c>
      <c r="R350" s="31">
        <f>MECS_data!AS123</f>
        <v>0.11764705882352942</v>
      </c>
      <c r="S350" s="31">
        <f>MECS_data!AT123</f>
        <v>0.58823529411764708</v>
      </c>
      <c r="T350" s="31">
        <f>MECS_data!AU123</f>
        <v>0.11764705882352942</v>
      </c>
      <c r="U350" s="31">
        <f>MECS_data!AV123</f>
        <v>0</v>
      </c>
      <c r="V350" s="31">
        <f>MECS_data!AW123</f>
        <v>0</v>
      </c>
      <c r="W350" s="31">
        <f>MECS_data!AX123</f>
        <v>0.11764705882352942</v>
      </c>
      <c r="X350" s="26">
        <f t="shared" si="216"/>
        <v>1</v>
      </c>
      <c r="Z350" s="4">
        <f>'[25]Predicted Residual Prices'!AS623</f>
        <v>20.03</v>
      </c>
      <c r="AA350" s="4">
        <f>'[26]Predicted Distillate Prices'!AS623</f>
        <v>23.28</v>
      </c>
      <c r="AB350" s="4">
        <f>'[27]Predicted Gas Prices'!AR623</f>
        <v>6.79</v>
      </c>
      <c r="AC350" s="4">
        <f>'[28]Predicted LPG Prices'!AS623</f>
        <v>19.13</v>
      </c>
      <c r="AD350" s="4">
        <f>'[29]Predicted Coal Prices'!AS623</f>
        <v>5</v>
      </c>
      <c r="AE350" s="4">
        <f>'[30]Predicted Coke Prices'!AS581</f>
        <v>0</v>
      </c>
      <c r="AF350" s="4">
        <f>'[31]Predicted Other Prices'!AT581</f>
        <v>5</v>
      </c>
      <c r="AH350" s="115">
        <f t="shared" si="200"/>
        <v>10.75</v>
      </c>
      <c r="AI350" s="4">
        <f>'[32]Quantity Shares_1998 forward'!AH350</f>
        <v>10.610137304311213</v>
      </c>
      <c r="AK350" s="4">
        <f>MECS_data!S123</f>
        <v>20.03</v>
      </c>
      <c r="AL350" s="4">
        <f>MECS_data!T123</f>
        <v>23.28</v>
      </c>
      <c r="AM350" s="4">
        <f>MECS_data!U123</f>
        <v>6.79</v>
      </c>
      <c r="AN350" s="4">
        <f>MECS_data!V123</f>
        <v>19.13</v>
      </c>
      <c r="AO350" s="4">
        <f>MECS_data!W123</f>
        <v>5</v>
      </c>
      <c r="AP350" s="4">
        <f>MECS_data!X123</f>
        <v>0</v>
      </c>
      <c r="AQ350" s="4">
        <f>MECS_data!Y123</f>
        <v>1</v>
      </c>
    </row>
    <row r="351" spans="15:43" x14ac:dyDescent="0.2">
      <c r="O351" s="17"/>
      <c r="Q351" s="31">
        <f>MECS_data!AR124</f>
        <v>9.3370681605975739E-4</v>
      </c>
      <c r="R351" s="31">
        <f>MECS_data!AS124</f>
        <v>9.3370681605975725E-2</v>
      </c>
      <c r="S351" s="31">
        <f>MECS_data!AT124</f>
        <v>0.45751633986928109</v>
      </c>
      <c r="T351" s="31">
        <f>MECS_data!AU124</f>
        <v>2.8011204481792718E-2</v>
      </c>
      <c r="U351" s="31">
        <f>MECS_data!AV124</f>
        <v>9.3370681605975722E-3</v>
      </c>
      <c r="V351" s="31">
        <f>MECS_data!AW124</f>
        <v>0</v>
      </c>
      <c r="W351" s="31">
        <f>MECS_data!AX124</f>
        <v>0.41083099906629322</v>
      </c>
      <c r="X351" s="26">
        <f t="shared" si="216"/>
        <v>1</v>
      </c>
      <c r="Z351" s="4">
        <f>'[25]Predicted Residual Prices'!AS624</f>
        <v>18.12</v>
      </c>
      <c r="AA351" s="4">
        <f>'[26]Predicted Distillate Prices'!AS624</f>
        <v>21.81</v>
      </c>
      <c r="AB351" s="4">
        <f>'[27]Predicted Gas Prices'!AR624</f>
        <v>6.23</v>
      </c>
      <c r="AC351" s="4">
        <f>'[28]Predicted LPG Prices'!AS624</f>
        <v>21</v>
      </c>
      <c r="AD351" s="4">
        <f>'[29]Predicted Coal Prices'!AS624</f>
        <v>4.5999999999999996</v>
      </c>
      <c r="AE351" s="4">
        <f>'[30]Predicted Coke Prices'!AS582</f>
        <v>0</v>
      </c>
      <c r="AF351" s="4">
        <f>'[31]Predicted Other Prices'!AT582</f>
        <v>5.0196078431372548</v>
      </c>
      <c r="AH351" s="115">
        <f t="shared" si="200"/>
        <v>7.5970564434924288</v>
      </c>
      <c r="AI351" s="4">
        <f>'[32]Quantity Shares_1998 forward'!AH351</f>
        <v>5.2517940586456024</v>
      </c>
      <c r="AK351" s="4">
        <f>MECS_data!S124</f>
        <v>18.12</v>
      </c>
      <c r="AL351" s="4">
        <f>MECS_data!T124</f>
        <v>21.81</v>
      </c>
      <c r="AM351" s="4">
        <f>MECS_data!U124</f>
        <v>6.23</v>
      </c>
      <c r="AN351" s="4">
        <f>MECS_data!V124</f>
        <v>21</v>
      </c>
      <c r="AO351" s="4">
        <f>MECS_data!W124</f>
        <v>4.5999999999999996</v>
      </c>
      <c r="AP351" s="4">
        <f>MECS_data!X124</f>
        <v>0</v>
      </c>
      <c r="AQ351" s="4">
        <f>MECS_data!Y124</f>
        <v>5.0196078431372548</v>
      </c>
    </row>
    <row r="352" spans="15:43" x14ac:dyDescent="0.2">
      <c r="O352" s="17"/>
      <c r="Q352" s="31">
        <f>MECS_data!AR125</f>
        <v>1.8888888888888889E-2</v>
      </c>
      <c r="R352" s="31">
        <f>MECS_data!AS125</f>
        <v>5.5555555555555558E-3</v>
      </c>
      <c r="S352" s="31">
        <f>MECS_data!AT125</f>
        <v>0.48444444444444446</v>
      </c>
      <c r="T352" s="31">
        <f>MECS_data!AU125</f>
        <v>3.3333333333333335E-3</v>
      </c>
      <c r="U352" s="31">
        <f>MECS_data!AV125</f>
        <v>0.16222222222222221</v>
      </c>
      <c r="V352" s="31">
        <f>MECS_data!AW125</f>
        <v>0</v>
      </c>
      <c r="W352" s="31">
        <f>MECS_data!AX125</f>
        <v>0.32555555555555554</v>
      </c>
      <c r="X352" s="26">
        <f t="shared" si="216"/>
        <v>1</v>
      </c>
      <c r="Z352" s="4">
        <f>'[25]Predicted Residual Prices'!AS625</f>
        <v>14.9</v>
      </c>
      <c r="AA352" s="4">
        <f>'[26]Predicted Distillate Prices'!AS625</f>
        <v>20.440000000000001</v>
      </c>
      <c r="AB352" s="4">
        <f>'[27]Predicted Gas Prices'!AR625</f>
        <v>5.36</v>
      </c>
      <c r="AC352" s="4">
        <f>'[28]Predicted LPG Prices'!AS625</f>
        <v>19.97</v>
      </c>
      <c r="AD352" s="4">
        <f>'[29]Predicted Coal Prices'!AS625</f>
        <v>3.99</v>
      </c>
      <c r="AE352" s="4">
        <f>'[30]Predicted Coke Prices'!AS583</f>
        <v>7</v>
      </c>
      <c r="AF352" s="4">
        <f>'[31]Predicted Other Prices'!AT583</f>
        <v>3.3161512027491411</v>
      </c>
      <c r="AH352" s="115">
        <f t="shared" si="200"/>
        <v>4.7850470026727763</v>
      </c>
      <c r="AI352" s="4">
        <f>'[32]Quantity Shares_1998 forward'!AH352</f>
        <v>4.8695586407393092</v>
      </c>
      <c r="AK352" s="4">
        <f>MECS_data!S125</f>
        <v>14.9</v>
      </c>
      <c r="AL352" s="4">
        <f>MECS_data!T125</f>
        <v>20.440000000000001</v>
      </c>
      <c r="AM352" s="4">
        <f>MECS_data!U125</f>
        <v>5.36</v>
      </c>
      <c r="AN352" s="4">
        <f>MECS_data!V125</f>
        <v>19.97</v>
      </c>
      <c r="AO352" s="4">
        <f>MECS_data!W125</f>
        <v>3.99</v>
      </c>
      <c r="AP352" s="4">
        <f>MECS_data!X125</f>
        <v>0</v>
      </c>
      <c r="AQ352" s="4">
        <f>MECS_data!Y125</f>
        <v>3.3161512027491411</v>
      </c>
    </row>
    <row r="353" spans="15:43" x14ac:dyDescent="0.2">
      <c r="O353" s="17"/>
      <c r="Q353" s="31">
        <f>MECS_data!AR126</f>
        <v>2.4630541871921183E-3</v>
      </c>
      <c r="R353" s="31">
        <f>MECS_data!AS126</f>
        <v>7.3891625615763543E-3</v>
      </c>
      <c r="S353" s="31">
        <f>MECS_data!AT126</f>
        <v>0.96059113300492605</v>
      </c>
      <c r="T353" s="31">
        <f>MECS_data!AU126</f>
        <v>2.463054187192118E-2</v>
      </c>
      <c r="U353" s="31">
        <f>MECS_data!AV126</f>
        <v>0</v>
      </c>
      <c r="V353" s="31">
        <f>MECS_data!AW126</f>
        <v>0</v>
      </c>
      <c r="W353" s="31">
        <f>MECS_data!AX126</f>
        <v>4.9261083743842365E-3</v>
      </c>
      <c r="X353" s="26">
        <f t="shared" si="216"/>
        <v>0.99999999999999989</v>
      </c>
      <c r="Z353" s="4">
        <f>'[25]Predicted Residual Prices'!AS626</f>
        <v>18.760000000000002</v>
      </c>
      <c r="AA353" s="4">
        <f>'[26]Predicted Distillate Prices'!AS626</f>
        <v>21</v>
      </c>
      <c r="AB353" s="4">
        <f>'[27]Predicted Gas Prices'!AR626</f>
        <v>6.77</v>
      </c>
      <c r="AC353" s="4">
        <f>'[28]Predicted LPG Prices'!AS626</f>
        <v>19.920000000000002</v>
      </c>
      <c r="AD353" s="4">
        <f>'[29]Predicted Coal Prices'!AS626</f>
        <v>5</v>
      </c>
      <c r="AE353" s="4">
        <f>'[30]Predicted Coke Prices'!AS584</f>
        <v>0</v>
      </c>
      <c r="AF353" s="4">
        <f>'[31]Predicted Other Prices'!AT584</f>
        <v>3.3161512027491411</v>
      </c>
      <c r="AH353" s="115">
        <f t="shared" si="200"/>
        <v>7.211557395087433</v>
      </c>
      <c r="AI353" s="4">
        <f>'[32]Quantity Shares_1998 forward'!AH353</f>
        <v>7.070310112662165</v>
      </c>
      <c r="AK353" s="4">
        <f>MECS_data!S126</f>
        <v>15</v>
      </c>
      <c r="AL353" s="4">
        <f>MECS_data!T126</f>
        <v>20</v>
      </c>
      <c r="AM353" s="4">
        <f>MECS_data!U126</f>
        <v>6.77</v>
      </c>
      <c r="AN353" s="4">
        <f>MECS_data!V126</f>
        <v>19.920000000000002</v>
      </c>
      <c r="AO353" s="4">
        <f>MECS_data!W126</f>
        <v>5</v>
      </c>
      <c r="AP353" s="4">
        <f>MECS_data!X126</f>
        <v>0</v>
      </c>
      <c r="AQ353" s="4">
        <f>MECS_data!Y126</f>
        <v>3.3333333333333335</v>
      </c>
    </row>
    <row r="354" spans="15:43" x14ac:dyDescent="0.2">
      <c r="O354" s="17"/>
      <c r="Q354" s="31">
        <f>MECS_data!AR127</f>
        <v>2.6542800265428003E-3</v>
      </c>
      <c r="R354" s="31">
        <f>MECS_data!AS127</f>
        <v>5.3085600530856005E-3</v>
      </c>
      <c r="S354" s="31">
        <f>MECS_data!AT127</f>
        <v>0.71068347710683477</v>
      </c>
      <c r="T354" s="31">
        <f>MECS_data!AU127</f>
        <v>5.3085600530856005E-3</v>
      </c>
      <c r="U354" s="31">
        <f>MECS_data!AV127</f>
        <v>5.3085600530856005E-3</v>
      </c>
      <c r="V354" s="31">
        <f>MECS_data!AW127</f>
        <v>0</v>
      </c>
      <c r="W354" s="31">
        <f>MECS_data!AX127</f>
        <v>0.27073656270736562</v>
      </c>
      <c r="X354" s="26">
        <f t="shared" si="216"/>
        <v>1</v>
      </c>
      <c r="Z354" s="4">
        <f>'[25]Predicted Residual Prices'!AS627</f>
        <v>18.760000000000002</v>
      </c>
      <c r="AA354" s="4">
        <f>'[26]Predicted Distillate Prices'!AS627</f>
        <v>16.34</v>
      </c>
      <c r="AB354" s="4">
        <f>'[27]Predicted Gas Prices'!AR627</f>
        <v>5.0999999999999996</v>
      </c>
      <c r="AC354" s="4">
        <f>'[28]Predicted LPG Prices'!AS627</f>
        <v>18.489999999999998</v>
      </c>
      <c r="AD354" s="4">
        <f>'[29]Predicted Coal Prices'!AS627</f>
        <v>4.4800000000000004</v>
      </c>
      <c r="AE354" s="4">
        <f>'[30]Predicted Coke Prices'!AS585</f>
        <v>0</v>
      </c>
      <c r="AF354" s="4">
        <f>'[31]Predicted Other Prices'!AT585</f>
        <v>11.466139954853274</v>
      </c>
      <c r="AH354" s="115">
        <f t="shared" si="200"/>
        <v>6.9872628411281585</v>
      </c>
      <c r="AI354" s="4">
        <f>'[32]Quantity Shares_1998 forward'!AH354</f>
        <v>4.9759662017344128</v>
      </c>
      <c r="AK354" s="4">
        <f>MECS_data!S127</f>
        <v>13.2</v>
      </c>
      <c r="AL354" s="4">
        <f>MECS_data!T127</f>
        <v>16.34</v>
      </c>
      <c r="AM354" s="4">
        <f>MECS_data!U127</f>
        <v>5.0999999999999996</v>
      </c>
      <c r="AN354" s="4">
        <f>MECS_data!V127</f>
        <v>18.489999999999998</v>
      </c>
      <c r="AO354" s="4">
        <f>MECS_data!W127</f>
        <v>4.4800000000000004</v>
      </c>
      <c r="AP354" s="4">
        <f>MECS_data!X127</f>
        <v>5</v>
      </c>
      <c r="AQ354" s="4">
        <f>MECS_data!Y127</f>
        <v>11.466139954853274</v>
      </c>
    </row>
    <row r="355" spans="15:43" x14ac:dyDescent="0.2">
      <c r="O355" s="17"/>
      <c r="Q355" s="31">
        <f>MECS_data!AR128</f>
        <v>3.7678975131876413E-4</v>
      </c>
      <c r="R355" s="31">
        <f>MECS_data!AS128</f>
        <v>3.7678975131876413E-3</v>
      </c>
      <c r="S355" s="31">
        <f>MECS_data!AT128</f>
        <v>0.74943481537302181</v>
      </c>
      <c r="T355" s="31">
        <f>MECS_data!AU128</f>
        <v>1.5071590052750565E-3</v>
      </c>
      <c r="U355" s="31">
        <f>MECS_data!AV128</f>
        <v>8.9299171062547103E-2</v>
      </c>
      <c r="V355" s="31">
        <f>MECS_data!AW128</f>
        <v>0</v>
      </c>
      <c r="W355" s="31">
        <f>MECS_data!AX128</f>
        <v>0.15561416729464958</v>
      </c>
      <c r="X355" s="26">
        <f t="shared" si="216"/>
        <v>1</v>
      </c>
      <c r="Z355" s="4">
        <f>'[25]Predicted Residual Prices'!AS628</f>
        <v>13.9</v>
      </c>
      <c r="AA355" s="4">
        <f>'[26]Predicted Distillate Prices'!AS628</f>
        <v>21.41</v>
      </c>
      <c r="AB355" s="4">
        <f>'[27]Predicted Gas Prices'!AR628</f>
        <v>4.82</v>
      </c>
      <c r="AC355" s="4">
        <f>'[28]Predicted LPG Prices'!AS628</f>
        <v>12.04</v>
      </c>
      <c r="AD355" s="4">
        <f>'[29]Predicted Coal Prices'!AS628</f>
        <v>2.76</v>
      </c>
      <c r="AE355" s="4">
        <f>'[30]Predicted Coke Prices'!AS586</f>
        <v>6.4</v>
      </c>
      <c r="AF355" s="4">
        <f>'[31]Predicted Other Prices'!AT586</f>
        <v>5.7403100775193803</v>
      </c>
      <c r="AH355" s="115">
        <f t="shared" si="200"/>
        <v>4.8560693526810494</v>
      </c>
      <c r="AI355" s="4">
        <f>'[32]Quantity Shares_1998 forward'!AH355</f>
        <v>5.112262281320449</v>
      </c>
      <c r="AK355" s="4">
        <f>MECS_data!S128</f>
        <v>13.9</v>
      </c>
      <c r="AL355" s="4">
        <f>MECS_data!T128</f>
        <v>21.41</v>
      </c>
      <c r="AM355" s="4">
        <f>MECS_data!U128</f>
        <v>4.82</v>
      </c>
      <c r="AN355" s="4">
        <f>MECS_data!V128</f>
        <v>12.04</v>
      </c>
      <c r="AO355" s="4">
        <f>MECS_data!W128</f>
        <v>2.76</v>
      </c>
      <c r="AP355" s="4">
        <f>MECS_data!X128</f>
        <v>6.4</v>
      </c>
      <c r="AQ355" s="4">
        <f>MECS_data!Y128</f>
        <v>5.7403100775193803</v>
      </c>
    </row>
    <row r="356" spans="15:43" x14ac:dyDescent="0.2">
      <c r="O356" s="17"/>
      <c r="Q356" s="31">
        <f>MECS_data!AR129</f>
        <v>0</v>
      </c>
      <c r="R356" s="31">
        <f>MECS_data!AS129</f>
        <v>1.0604453870625666E-3</v>
      </c>
      <c r="S356" s="31">
        <f>MECS_data!AT129</f>
        <v>0.95440084835630978</v>
      </c>
      <c r="T356" s="31">
        <f>MECS_data!AU129</f>
        <v>4.241781548250266E-2</v>
      </c>
      <c r="U356" s="31">
        <f>MECS_data!AV129</f>
        <v>1.0604453870625666E-3</v>
      </c>
      <c r="V356" s="31">
        <f>MECS_data!AW129</f>
        <v>0</v>
      </c>
      <c r="W356" s="31">
        <f>MECS_data!AX129</f>
        <v>1.0604453870625666E-3</v>
      </c>
      <c r="X356" s="26">
        <f t="shared" si="216"/>
        <v>1</v>
      </c>
      <c r="Z356" s="4">
        <f>'[25]Predicted Residual Prices'!AS629</f>
        <v>12</v>
      </c>
      <c r="AA356" s="4">
        <f>'[26]Predicted Distillate Prices'!AS629</f>
        <v>22.64</v>
      </c>
      <c r="AB356" s="4">
        <f>'[27]Predicted Gas Prices'!AR629</f>
        <v>6.79</v>
      </c>
      <c r="AC356" s="4">
        <f>'[28]Predicted LPG Prices'!AS629</f>
        <v>22.05</v>
      </c>
      <c r="AD356" s="4">
        <f>'[29]Predicted Coal Prices'!AS629</f>
        <v>7.09</v>
      </c>
      <c r="AE356" s="4">
        <f>'[30]Predicted Coke Prices'!AS587</f>
        <v>0</v>
      </c>
      <c r="AF356" s="4">
        <f>'[31]Predicted Other Prices'!AT587</f>
        <v>7</v>
      </c>
      <c r="AH356" s="115">
        <f t="shared" si="200"/>
        <v>7.4546447507953362</v>
      </c>
      <c r="AI356" s="4">
        <f>'[32]Quantity Shares_1998 forward'!AH356</f>
        <v>6.8263882092778569</v>
      </c>
      <c r="AK356" s="4">
        <f>MECS_data!S129</f>
        <v>0</v>
      </c>
      <c r="AL356" s="4">
        <f>MECS_data!T129</f>
        <v>12</v>
      </c>
      <c r="AM356" s="4">
        <f>MECS_data!U129</f>
        <v>6.79</v>
      </c>
      <c r="AN356" s="4">
        <f>MECS_data!V129</f>
        <v>22.05</v>
      </c>
      <c r="AO356" s="4">
        <f>MECS_data!W129</f>
        <v>7.09</v>
      </c>
      <c r="AP356" s="4">
        <f>MECS_data!X129</f>
        <v>0</v>
      </c>
      <c r="AQ356" s="4">
        <f>MECS_data!Y129</f>
        <v>22</v>
      </c>
    </row>
    <row r="357" spans="15:43" x14ac:dyDescent="0.2">
      <c r="O357" s="17"/>
      <c r="Q357" s="31">
        <f>MECS_data!AR130</f>
        <v>2.8645087367516471E-4</v>
      </c>
      <c r="R357" s="31">
        <f>MECS_data!AS130</f>
        <v>2.7212832999140645E-2</v>
      </c>
      <c r="S357" s="31">
        <f>MECS_data!AT130</f>
        <v>0.47694070466914923</v>
      </c>
      <c r="T357" s="31">
        <f>MECS_data!AU130</f>
        <v>4.2967631051274704E-3</v>
      </c>
      <c r="U357" s="31">
        <f>MECS_data!AV130</f>
        <v>0.3365797765683185</v>
      </c>
      <c r="V357" s="31">
        <f>MECS_data!AW130</f>
        <v>2.0051561157261529E-2</v>
      </c>
      <c r="W357" s="31">
        <f>MECS_data!AX130</f>
        <v>0.13463191062732741</v>
      </c>
      <c r="X357" s="26">
        <f t="shared" si="216"/>
        <v>0.99999999999999989</v>
      </c>
      <c r="Z357" s="4">
        <f>'[25]Predicted Residual Prices'!AS630</f>
        <v>11.01</v>
      </c>
      <c r="AA357" s="4">
        <f>'[26]Predicted Distillate Prices'!AS630</f>
        <v>18.899999999999999</v>
      </c>
      <c r="AB357" s="4">
        <f>'[27]Predicted Gas Prices'!AR630</f>
        <v>5.36</v>
      </c>
      <c r="AC357" s="4">
        <f>'[28]Predicted LPG Prices'!AS630</f>
        <v>22.63</v>
      </c>
      <c r="AD357" s="4">
        <f>'[29]Predicted Coal Prices'!AS630</f>
        <v>3.48</v>
      </c>
      <c r="AE357" s="4">
        <f>'[30]Predicted Coke Prices'!AS588</f>
        <v>2.73</v>
      </c>
      <c r="AF357" s="4">
        <f>'[31]Predicted Other Prices'!AT588</f>
        <v>1.9368421052631579</v>
      </c>
      <c r="AH357" s="115">
        <f t="shared" si="200"/>
        <v>4.6579134315307025</v>
      </c>
      <c r="AI357" s="4">
        <f>'[32]Quantity Shares_1998 forward'!AH357</f>
        <v>5.2704833512332563</v>
      </c>
      <c r="AK357" s="4">
        <f>MECS_data!S130</f>
        <v>11.01</v>
      </c>
      <c r="AL357" s="4">
        <f>MECS_data!T130</f>
        <v>18.899999999999999</v>
      </c>
      <c r="AM357" s="4">
        <f>MECS_data!U130</f>
        <v>5.36</v>
      </c>
      <c r="AN357" s="4">
        <f>MECS_data!V130</f>
        <v>22.63</v>
      </c>
      <c r="AO357" s="4">
        <f>MECS_data!W130</f>
        <v>3.48</v>
      </c>
      <c r="AP357" s="4">
        <f>MECS_data!X130</f>
        <v>2.73</v>
      </c>
      <c r="AQ357" s="4">
        <f>MECS_data!Y130</f>
        <v>1.9368421052631579</v>
      </c>
    </row>
    <row r="358" spans="15:43" x14ac:dyDescent="0.2">
      <c r="O358" s="17"/>
      <c r="Q358" s="31">
        <f>MECS_data!AR131</f>
        <v>1.6277807921866521E-3</v>
      </c>
      <c r="R358" s="31">
        <f>MECS_data!AS131</f>
        <v>6.5111231687466084E-3</v>
      </c>
      <c r="S358" s="31">
        <f>MECS_data!AT131</f>
        <v>0.69777536625067826</v>
      </c>
      <c r="T358" s="31">
        <f>MECS_data!AU131</f>
        <v>3.2555615843733042E-3</v>
      </c>
      <c r="U358" s="31">
        <f>MECS_data!AV131</f>
        <v>1.9533369506239826E-2</v>
      </c>
      <c r="V358" s="31">
        <f>MECS_data!AW131</f>
        <v>0.23982637004883342</v>
      </c>
      <c r="W358" s="31">
        <f>MECS_data!AX131</f>
        <v>3.1470428648941944E-2</v>
      </c>
      <c r="X358" s="26">
        <f t="shared" si="216"/>
        <v>1.0000000000000002</v>
      </c>
      <c r="Z358" s="4">
        <f>'[25]Predicted Residual Prices'!AS631</f>
        <v>15.64</v>
      </c>
      <c r="AA358" s="4">
        <f>'[26]Predicted Distillate Prices'!AS631</f>
        <v>22.24</v>
      </c>
      <c r="AB358" s="4">
        <f>'[27]Predicted Gas Prices'!AR631</f>
        <v>5.1100000000000003</v>
      </c>
      <c r="AC358" s="4">
        <f>'[28]Predicted LPG Prices'!AS631</f>
        <v>18.48</v>
      </c>
      <c r="AD358" s="4">
        <f>'[29]Predicted Coal Prices'!AS631</f>
        <v>4.82</v>
      </c>
      <c r="AE358" s="4">
        <f>'[30]Predicted Coke Prices'!AS589</f>
        <v>9.91</v>
      </c>
      <c r="AF358" s="4">
        <f>'[31]Predicted Other Prices'!AT589</f>
        <v>2.6788321167883211</v>
      </c>
      <c r="AH358" s="115">
        <f t="shared" si="200"/>
        <v>6.3511949336808051</v>
      </c>
      <c r="AI358" s="4">
        <f>'[32]Quantity Shares_1998 forward'!AH358</f>
        <v>8.3529270608195123</v>
      </c>
      <c r="AK358" s="4">
        <f>MECS_data!S131</f>
        <v>15.64</v>
      </c>
      <c r="AL358" s="4">
        <f>MECS_data!T131</f>
        <v>22.24</v>
      </c>
      <c r="AM358" s="4">
        <f>MECS_data!U131</f>
        <v>5.1100000000000003</v>
      </c>
      <c r="AN358" s="4">
        <f>MECS_data!V131</f>
        <v>18.48</v>
      </c>
      <c r="AO358" s="4">
        <f>MECS_data!W131</f>
        <v>4.82</v>
      </c>
      <c r="AP358" s="4">
        <f>MECS_data!X131</f>
        <v>9.91</v>
      </c>
      <c r="AQ358" s="4">
        <f>MECS_data!Y131</f>
        <v>2.6788321167883211</v>
      </c>
    </row>
    <row r="359" spans="15:43" x14ac:dyDescent="0.2">
      <c r="O359" s="17"/>
      <c r="Q359" s="31">
        <f>MECS_data!AR132</f>
        <v>0</v>
      </c>
      <c r="R359" s="31">
        <f>MECS_data!AS132</f>
        <v>9.9502487562189053E-3</v>
      </c>
      <c r="S359" s="31">
        <f>MECS_data!AT132</f>
        <v>0.95024875621890548</v>
      </c>
      <c r="T359" s="31">
        <f>MECS_data!AU132</f>
        <v>3.482587064676617E-2</v>
      </c>
      <c r="U359" s="31">
        <f>MECS_data!AV132</f>
        <v>0</v>
      </c>
      <c r="V359" s="31">
        <f>MECS_data!AW132</f>
        <v>0</v>
      </c>
      <c r="W359" s="31">
        <f>MECS_data!AX132</f>
        <v>4.9751243781094526E-3</v>
      </c>
      <c r="X359" s="26">
        <f t="shared" si="216"/>
        <v>0.99999999999999989</v>
      </c>
      <c r="Z359" s="4">
        <f>'[25]Predicted Residual Prices'!AS632</f>
        <v>18</v>
      </c>
      <c r="AA359" s="4">
        <f>'[26]Predicted Distillate Prices'!AS632</f>
        <v>26.55</v>
      </c>
      <c r="AB359" s="4">
        <f>'[27]Predicted Gas Prices'!AR632</f>
        <v>6.3</v>
      </c>
      <c r="AC359" s="4">
        <f>'[28]Predicted LPG Prices'!AS632</f>
        <v>20.14</v>
      </c>
      <c r="AD359" s="4">
        <f>'[29]Predicted Coal Prices'!AS632</f>
        <v>5</v>
      </c>
      <c r="AE359" s="4">
        <f>'[30]Predicted Coke Prices'!AS590</f>
        <v>10</v>
      </c>
      <c r="AF359" s="4">
        <f>'[31]Predicted Other Prices'!AT590</f>
        <v>8</v>
      </c>
      <c r="AH359" s="115">
        <f t="shared" si="200"/>
        <v>6.9919402985074619</v>
      </c>
      <c r="AI359" s="4">
        <f>'[32]Quantity Shares_1998 forward'!AH359</f>
        <v>7.4747244048342738</v>
      </c>
      <c r="AK359" s="4">
        <f>MECS_data!S132</f>
        <v>0</v>
      </c>
      <c r="AL359" s="4">
        <f>MECS_data!T132</f>
        <v>18</v>
      </c>
      <c r="AM359" s="4">
        <f>MECS_data!U132</f>
        <v>6.3</v>
      </c>
      <c r="AN359" s="4">
        <f>MECS_data!V132</f>
        <v>20.14</v>
      </c>
      <c r="AO359" s="4">
        <f>MECS_data!W132</f>
        <v>9.44</v>
      </c>
      <c r="AP359" s="4">
        <f>MECS_data!X132</f>
        <v>0</v>
      </c>
      <c r="AQ359" s="4">
        <f>MECS_data!Y132</f>
        <v>37</v>
      </c>
    </row>
    <row r="360" spans="15:43" x14ac:dyDescent="0.2">
      <c r="O360" s="17"/>
      <c r="Q360" s="31">
        <f>MECS_data!AR133</f>
        <v>1.2033694344163659E-3</v>
      </c>
      <c r="R360" s="31">
        <f>MECS_data!AS133</f>
        <v>6.0168471720818295E-2</v>
      </c>
      <c r="S360" s="31">
        <f>MECS_data!AT133</f>
        <v>0.86642599277978349</v>
      </c>
      <c r="T360" s="31">
        <f>MECS_data!AU133</f>
        <v>3.6101083032490974E-2</v>
      </c>
      <c r="U360" s="31">
        <f>MECS_data!AV133</f>
        <v>2.4067388688327317E-2</v>
      </c>
      <c r="V360" s="31">
        <f>MECS_data!AW133</f>
        <v>0</v>
      </c>
      <c r="W360" s="31">
        <f>MECS_data!AX133</f>
        <v>1.2033694344163659E-2</v>
      </c>
      <c r="X360" s="26">
        <f t="shared" si="216"/>
        <v>1</v>
      </c>
      <c r="Z360" s="4">
        <f>'[25]Predicted Residual Prices'!AS633</f>
        <v>15</v>
      </c>
      <c r="AA360" s="4">
        <f>'[26]Predicted Distillate Prices'!AS633</f>
        <v>35.5</v>
      </c>
      <c r="AB360" s="4">
        <f>'[27]Predicted Gas Prices'!AR633</f>
        <v>6.98</v>
      </c>
      <c r="AC360" s="4">
        <f>'[28]Predicted LPG Prices'!AS633</f>
        <v>22.19</v>
      </c>
      <c r="AD360" s="4">
        <f>'[29]Predicted Coal Prices'!AS633</f>
        <v>3.5</v>
      </c>
      <c r="AE360" s="4">
        <f>'[30]Predicted Coke Prices'!AS591</f>
        <v>0</v>
      </c>
      <c r="AF360" s="4">
        <f>'[31]Predicted Other Prices'!AT591</f>
        <v>15</v>
      </c>
      <c r="AH360" s="115">
        <f t="shared" si="200"/>
        <v>9.2675090252707619</v>
      </c>
      <c r="AI360" s="4">
        <f>'[32]Quantity Shares_1998 forward'!AH360</f>
        <v>8.1014600745472354</v>
      </c>
      <c r="AK360" s="4">
        <f>MECS_data!S133</f>
        <v>22.65</v>
      </c>
      <c r="AL360" s="4">
        <f>MECS_data!T133</f>
        <v>35.5</v>
      </c>
      <c r="AM360" s="4">
        <f>MECS_data!U133</f>
        <v>6.98</v>
      </c>
      <c r="AN360" s="4">
        <f>MECS_data!V133</f>
        <v>22.19</v>
      </c>
      <c r="AO360" s="4">
        <f>MECS_data!W133</f>
        <v>3.5</v>
      </c>
      <c r="AP360" s="4">
        <f>MECS_data!X133</f>
        <v>0</v>
      </c>
      <c r="AQ360" s="4">
        <f>MECS_data!Y133</f>
        <v>39</v>
      </c>
    </row>
    <row r="361" spans="15:43" x14ac:dyDescent="0.2">
      <c r="O361" s="17"/>
      <c r="Q361" s="31">
        <f>MECS_data!AR134</f>
        <v>3.968253968253968E-3</v>
      </c>
      <c r="R361" s="31">
        <f>MECS_data!AS134</f>
        <v>1.984126984126984E-2</v>
      </c>
      <c r="S361" s="31">
        <f>MECS_data!AT134</f>
        <v>0.93253968253968245</v>
      </c>
      <c r="T361" s="31">
        <f>MECS_data!AU134</f>
        <v>3.968253968253968E-3</v>
      </c>
      <c r="U361" s="31">
        <f>MECS_data!AV134</f>
        <v>0</v>
      </c>
      <c r="V361" s="31">
        <f>MECS_data!AW134</f>
        <v>0</v>
      </c>
      <c r="W361" s="31">
        <f>MECS_data!AX134</f>
        <v>3.968253968253968E-2</v>
      </c>
      <c r="X361" s="26">
        <f t="shared" si="216"/>
        <v>0.99999999999999989</v>
      </c>
      <c r="Z361" s="4">
        <f>'[25]Predicted Residual Prices'!AS634</f>
        <v>23.1</v>
      </c>
      <c r="AA361" s="4">
        <f>'[26]Predicted Distillate Prices'!AS634</f>
        <v>24.52</v>
      </c>
      <c r="AB361" s="4">
        <f>'[27]Predicted Gas Prices'!AR634</f>
        <v>6.65</v>
      </c>
      <c r="AC361" s="4">
        <f>'[28]Predicted LPG Prices'!AS634</f>
        <v>23.38</v>
      </c>
      <c r="AD361" s="4">
        <f>'[29]Predicted Coal Prices'!AS634</f>
        <v>5</v>
      </c>
      <c r="AE361" s="4">
        <f>'[30]Predicted Coke Prices'!AS592</f>
        <v>0</v>
      </c>
      <c r="AF361" s="4">
        <f>'[31]Predicted Other Prices'!AT592</f>
        <v>18</v>
      </c>
      <c r="AH361" s="115">
        <f t="shared" si="200"/>
        <v>7.5866269841269842</v>
      </c>
      <c r="AI361" s="4">
        <f>'[32]Quantity Shares_1998 forward'!AH361</f>
        <v>6.4183066440311203</v>
      </c>
      <c r="AK361" s="4">
        <f>MECS_data!S134</f>
        <v>23.1</v>
      </c>
      <c r="AL361" s="4">
        <f>MECS_data!T134</f>
        <v>24.52</v>
      </c>
      <c r="AM361" s="4">
        <f>MECS_data!U134</f>
        <v>6.65</v>
      </c>
      <c r="AN361" s="4">
        <f>MECS_data!V134</f>
        <v>23.38</v>
      </c>
      <c r="AO361" s="4">
        <f>MECS_data!W134</f>
        <v>5</v>
      </c>
      <c r="AP361" s="4">
        <f>MECS_data!X134</f>
        <v>0</v>
      </c>
      <c r="AQ361" s="4">
        <f>MECS_data!Y134</f>
        <v>20</v>
      </c>
    </row>
    <row r="362" spans="15:43" x14ac:dyDescent="0.2">
      <c r="O362" s="17"/>
      <c r="Q362" s="31">
        <f>MECS_data!AR135</f>
        <v>0</v>
      </c>
      <c r="R362" s="31">
        <f>MECS_data!AS135</f>
        <v>9.8039215686274508E-3</v>
      </c>
      <c r="S362" s="31">
        <f>MECS_data!AT135</f>
        <v>0.88235294117647056</v>
      </c>
      <c r="T362" s="31">
        <f>MECS_data!AU135</f>
        <v>3.2679738562091505E-2</v>
      </c>
      <c r="U362" s="31">
        <f>MECS_data!AV135</f>
        <v>0</v>
      </c>
      <c r="V362" s="31">
        <f>MECS_data!AW135</f>
        <v>9.8039215686274508E-3</v>
      </c>
      <c r="W362" s="31">
        <f>MECS_data!AX135</f>
        <v>6.535947712418301E-2</v>
      </c>
      <c r="X362" s="26">
        <f t="shared" si="216"/>
        <v>0.99999999999999989</v>
      </c>
      <c r="Z362" s="4">
        <f>'[25]Predicted Residual Prices'!AS635</f>
        <v>26</v>
      </c>
      <c r="AA362" s="4">
        <f>'[26]Predicted Distillate Prices'!AS635</f>
        <v>28.16</v>
      </c>
      <c r="AB362" s="4">
        <f>'[27]Predicted Gas Prices'!AR635</f>
        <v>6.18</v>
      </c>
      <c r="AC362" s="4">
        <f>'[28]Predicted LPG Prices'!AS635</f>
        <v>14.34</v>
      </c>
      <c r="AD362" s="4">
        <f>'[29]Predicted Coal Prices'!AS635</f>
        <v>5</v>
      </c>
      <c r="AE362" s="4">
        <f>'[30]Predicted Coke Prices'!AS593</f>
        <v>0</v>
      </c>
      <c r="AF362" s="4">
        <f>'[31]Predicted Other Prices'!AT593</f>
        <v>6.8</v>
      </c>
      <c r="AH362" s="115">
        <f t="shared" si="200"/>
        <v>6.6420915032679737</v>
      </c>
      <c r="AI362" s="4">
        <f>'[32]Quantity Shares_1998 forward'!AH362</f>
        <v>7.4309377913150367</v>
      </c>
      <c r="AK362" s="4">
        <f>MECS_data!S135</f>
        <v>0</v>
      </c>
      <c r="AL362" s="4">
        <f>MECS_data!T135</f>
        <v>26</v>
      </c>
      <c r="AM362" s="4">
        <f>MECS_data!U135</f>
        <v>6.18</v>
      </c>
      <c r="AN362" s="4">
        <f>MECS_data!V135</f>
        <v>14.34</v>
      </c>
      <c r="AO362" s="4">
        <f>MECS_data!W135</f>
        <v>5</v>
      </c>
      <c r="AP362" s="4">
        <f>MECS_data!X135</f>
        <v>20.16</v>
      </c>
      <c r="AQ362" s="4">
        <f>MECS_data!Y135</f>
        <v>6.8</v>
      </c>
    </row>
    <row r="363" spans="15:43" x14ac:dyDescent="0.2">
      <c r="O363" s="17"/>
      <c r="Q363" s="31">
        <f>MECS_data!AR136</f>
        <v>6.1274509803921576E-3</v>
      </c>
      <c r="R363" s="31">
        <f>MECS_data!AS136</f>
        <v>2.4509803921568631E-2</v>
      </c>
      <c r="S363" s="31">
        <f>MECS_data!AT136</f>
        <v>0.88848039215686281</v>
      </c>
      <c r="T363" s="31">
        <f>MECS_data!AU136</f>
        <v>2.4509803921568631E-2</v>
      </c>
      <c r="U363" s="31">
        <f>MECS_data!AV136</f>
        <v>6.1274509803921576E-3</v>
      </c>
      <c r="V363" s="31">
        <f>MECS_data!AW136</f>
        <v>1.2254901960784316E-3</v>
      </c>
      <c r="W363" s="31">
        <f>MECS_data!AX136</f>
        <v>4.9019607843137261E-2</v>
      </c>
      <c r="X363" s="26">
        <f t="shared" si="216"/>
        <v>1</v>
      </c>
      <c r="Z363" s="4">
        <f>'[25]Predicted Residual Prices'!AS636</f>
        <v>15.5</v>
      </c>
      <c r="AA363" s="4">
        <f>'[26]Predicted Distillate Prices'!AS636</f>
        <v>17.96</v>
      </c>
      <c r="AB363" s="4">
        <f>'[27]Predicted Gas Prices'!AR636</f>
        <v>6.45</v>
      </c>
      <c r="AC363" s="4">
        <f>'[28]Predicted LPG Prices'!AS636</f>
        <v>24.24</v>
      </c>
      <c r="AD363" s="4">
        <f>'[29]Predicted Coal Prices'!AS636</f>
        <v>5.44</v>
      </c>
      <c r="AE363" s="4">
        <f>'[30]Predicted Coke Prices'!AS594</f>
        <v>0</v>
      </c>
      <c r="AF363" s="4">
        <f>'[31]Predicted Other Prices'!AT594</f>
        <v>6.8</v>
      </c>
      <c r="AH363" s="115">
        <f t="shared" si="200"/>
        <v>7.2266544117647058</v>
      </c>
      <c r="AI363" s="4">
        <f>'[32]Quantity Shares_1998 forward'!AH363</f>
        <v>7.5719575894903288</v>
      </c>
      <c r="AK363" s="4">
        <f>MECS_data!S136</f>
        <v>15.5</v>
      </c>
      <c r="AL363" s="4">
        <f>MECS_data!T136</f>
        <v>17.96</v>
      </c>
      <c r="AM363" s="4">
        <f>MECS_data!U136</f>
        <v>6.45</v>
      </c>
      <c r="AN363" s="4">
        <f>MECS_data!V136</f>
        <v>24.24</v>
      </c>
      <c r="AO363" s="4">
        <f>MECS_data!W136</f>
        <v>5.44</v>
      </c>
      <c r="AP363" s="4">
        <f>MECS_data!X136</f>
        <v>19.96</v>
      </c>
      <c r="AQ363" s="4">
        <f>MECS_data!Y136</f>
        <v>10</v>
      </c>
    </row>
    <row r="364" spans="15:43" x14ac:dyDescent="0.2">
      <c r="O364" s="17"/>
      <c r="Q364" s="31">
        <f>MECS_data!AR137</f>
        <v>0</v>
      </c>
      <c r="R364" s="31">
        <f>MECS_data!AS137</f>
        <v>1.7647058823529412E-2</v>
      </c>
      <c r="S364" s="31">
        <f>MECS_data!AT137</f>
        <v>0.88235294117647056</v>
      </c>
      <c r="T364" s="31">
        <f>MECS_data!AU137</f>
        <v>5.8823529411764705E-2</v>
      </c>
      <c r="U364" s="31">
        <f>MECS_data!AV137</f>
        <v>1.1764705882352941E-2</v>
      </c>
      <c r="V364" s="31">
        <f>MECS_data!AW137</f>
        <v>0</v>
      </c>
      <c r="W364" s="31">
        <f>MECS_data!AX137</f>
        <v>2.9411764705882353E-2</v>
      </c>
      <c r="X364" s="26">
        <f t="shared" si="216"/>
        <v>1</v>
      </c>
      <c r="Z364" s="4">
        <f>'[25]Predicted Residual Prices'!AS637</f>
        <v>15.5</v>
      </c>
      <c r="AA364" s="4">
        <f>'[26]Predicted Distillate Prices'!AS637</f>
        <v>29.93</v>
      </c>
      <c r="AB364" s="4">
        <f>'[27]Predicted Gas Prices'!AR637</f>
        <v>7.74</v>
      </c>
      <c r="AC364" s="4">
        <f>'[28]Predicted LPG Prices'!AS637</f>
        <v>22.97</v>
      </c>
      <c r="AD364" s="4">
        <f>'[29]Predicted Coal Prices'!AS637</f>
        <v>3.8</v>
      </c>
      <c r="AE364" s="4">
        <f>'[30]Predicted Coke Prices'!AS595</f>
        <v>0</v>
      </c>
      <c r="AF364" s="4">
        <f>'[31]Predicted Other Prices'!AT595</f>
        <v>3</v>
      </c>
      <c r="AH364" s="115">
        <f t="shared" si="200"/>
        <v>8.8417058823529402</v>
      </c>
      <c r="AI364" s="4">
        <f>'[32]Quantity Shares_1998 forward'!AH364</f>
        <v>8.3622582261018827</v>
      </c>
      <c r="AK364" s="4">
        <f>MECS_data!S137</f>
        <v>0</v>
      </c>
      <c r="AL364" s="4">
        <f>MECS_data!T137</f>
        <v>19</v>
      </c>
      <c r="AM364" s="4">
        <f>MECS_data!U137</f>
        <v>7.74</v>
      </c>
      <c r="AN364" s="4">
        <f>MECS_data!V137</f>
        <v>22.97</v>
      </c>
      <c r="AO364" s="4">
        <f>MECS_data!W137</f>
        <v>3.8</v>
      </c>
      <c r="AP364" s="4">
        <f>MECS_data!X137</f>
        <v>0</v>
      </c>
      <c r="AQ364" s="4">
        <f>MECS_data!Y137</f>
        <v>20</v>
      </c>
    </row>
    <row r="365" spans="15:43" x14ac:dyDescent="0.2">
      <c r="O365" s="17"/>
      <c r="Q365" s="31">
        <f>MECS_data!AR138</f>
        <v>3.6101083032490976E-3</v>
      </c>
      <c r="R365" s="31">
        <f>MECS_data!AS138</f>
        <v>1.0830324909747292E-2</v>
      </c>
      <c r="S365" s="31">
        <f>MECS_data!AT138</f>
        <v>0.93862815884476536</v>
      </c>
      <c r="T365" s="31">
        <f>MECS_data!AU138</f>
        <v>3.6101083032490974E-2</v>
      </c>
      <c r="U365" s="31">
        <f>MECS_data!AV138</f>
        <v>0</v>
      </c>
      <c r="V365" s="31">
        <f>MECS_data!AW138</f>
        <v>0</v>
      </c>
      <c r="W365" s="31">
        <f>MECS_data!AX138</f>
        <v>1.0830324909747292E-2</v>
      </c>
      <c r="X365" s="26">
        <f t="shared" si="216"/>
        <v>1</v>
      </c>
      <c r="Z365" s="4">
        <f>'[25]Predicted Residual Prices'!AS638</f>
        <v>18.71</v>
      </c>
      <c r="AA365" s="4">
        <f>'[26]Predicted Distillate Prices'!AS638</f>
        <v>30.56</v>
      </c>
      <c r="AB365" s="4">
        <f>'[27]Predicted Gas Prices'!AR638</f>
        <v>7.44</v>
      </c>
      <c r="AC365" s="4">
        <f>'[28]Predicted LPG Prices'!AS638</f>
        <v>24.95</v>
      </c>
      <c r="AD365" s="4">
        <f>'[29]Predicted Coal Prices'!AS638</f>
        <v>5</v>
      </c>
      <c r="AE365" s="4">
        <f>'[30]Predicted Coke Prices'!AS596</f>
        <v>0</v>
      </c>
      <c r="AF365" s="4">
        <f>'[31]Predicted Other Prices'!AT596</f>
        <v>8</v>
      </c>
      <c r="AH365" s="115">
        <f t="shared" si="200"/>
        <v>8.3692779783393494</v>
      </c>
      <c r="AI365" s="4">
        <f>'[32]Quantity Shares_1998 forward'!AH365</f>
        <v>9.4796242763224186</v>
      </c>
      <c r="AK365" s="4">
        <f>MECS_data!S138</f>
        <v>18.71</v>
      </c>
      <c r="AL365" s="4">
        <f>MECS_data!T138</f>
        <v>30.56</v>
      </c>
      <c r="AM365" s="4">
        <f>MECS_data!U138</f>
        <v>7.44</v>
      </c>
      <c r="AN365" s="4">
        <f>MECS_data!V138</f>
        <v>24.95</v>
      </c>
      <c r="AO365" s="4">
        <f>MECS_data!W138</f>
        <v>5</v>
      </c>
      <c r="AP365" s="4">
        <f>MECS_data!X138</f>
        <v>0</v>
      </c>
      <c r="AQ365" s="4">
        <f>MECS_data!Y138</f>
        <v>13</v>
      </c>
    </row>
    <row r="366" spans="15:43" x14ac:dyDescent="0.2">
      <c r="O366" s="17"/>
      <c r="P366">
        <v>2015</v>
      </c>
      <c r="Q366" s="17">
        <f>Q345</f>
        <v>5.1347881899871627E-3</v>
      </c>
      <c r="R366" s="17">
        <f t="shared" ref="R366:W366" si="217">R345</f>
        <v>2.5673940949935817E-2</v>
      </c>
      <c r="S366" s="17">
        <f t="shared" si="217"/>
        <v>0.73170731707317072</v>
      </c>
      <c r="T366" s="17">
        <f t="shared" si="217"/>
        <v>7.7021822849807449E-3</v>
      </c>
      <c r="U366" s="17">
        <f t="shared" si="217"/>
        <v>0.14120667522464697</v>
      </c>
      <c r="V366" s="17">
        <f t="shared" si="217"/>
        <v>1.2836970474967907E-3</v>
      </c>
      <c r="W366" s="17">
        <f t="shared" si="217"/>
        <v>8.7291399229781769E-2</v>
      </c>
      <c r="X366" s="26">
        <f t="shared" si="216"/>
        <v>0.99999999999999989</v>
      </c>
      <c r="Z366" s="4">
        <f>'[25]Predicted Residual Prices'!AS639</f>
        <v>12.003509985801589</v>
      </c>
      <c r="AA366" s="4">
        <f>'[26]Predicted Distillate Prices'!AS639</f>
        <v>11.390254386910723</v>
      </c>
      <c r="AB366" s="4">
        <f>'[27]Predicted Gas Prices'!AR639</f>
        <v>4.0734262451507934</v>
      </c>
      <c r="AC366" s="4">
        <f>'[28]Predicted LPG Prices'!AS639</f>
        <v>13.671239681981991</v>
      </c>
      <c r="AD366" s="4">
        <f>'[29]Predicted Coal Prices'!AS639</f>
        <v>2.3642630975355154</v>
      </c>
      <c r="AE366" s="4">
        <f>'[30]Predicted Coke Prices'!AS597</f>
        <v>16.925786956976829</v>
      </c>
      <c r="AF366" s="4">
        <f>'[31]Predicted Other Prices'!AT597</f>
        <v>6.4293999681594816</v>
      </c>
      <c r="AG366">
        <v>2015</v>
      </c>
      <c r="AH366" s="115">
        <f t="shared" si="200"/>
        <v>4.3567310026058967</v>
      </c>
      <c r="AI366" s="4">
        <f>'[32]Quantity Shares_1998 forward'!AH366</f>
        <v>4.5235772360942539</v>
      </c>
      <c r="AK366" s="4">
        <f>MECS_data!S139</f>
        <v>14.34</v>
      </c>
      <c r="AL366" s="4">
        <f>MECS_data!T139</f>
        <v>21.43</v>
      </c>
      <c r="AM366" s="4">
        <f>MECS_data!U139</f>
        <v>5.24</v>
      </c>
      <c r="AN366" s="4">
        <f>MECS_data!V139</f>
        <v>12.2</v>
      </c>
      <c r="AO366" s="4">
        <f>MECS_data!W139</f>
        <v>3.88</v>
      </c>
      <c r="AP366" s="4">
        <f>MECS_data!X139</f>
        <v>8.86</v>
      </c>
      <c r="AQ366" s="4">
        <f>MECS_data!Y139</f>
        <v>0</v>
      </c>
    </row>
    <row r="367" spans="15:43" x14ac:dyDescent="0.2">
      <c r="O367" s="17"/>
      <c r="Q367" s="17">
        <f t="shared" ref="Q367:W367" si="218">Q346</f>
        <v>8.130081300813009E-3</v>
      </c>
      <c r="R367" s="17">
        <f t="shared" si="218"/>
        <v>1.6260162601626018E-2</v>
      </c>
      <c r="S367" s="17">
        <f t="shared" si="218"/>
        <v>0.78048780487804881</v>
      </c>
      <c r="T367" s="17">
        <f t="shared" si="218"/>
        <v>1.6260162601626018E-2</v>
      </c>
      <c r="U367" s="17">
        <f t="shared" si="218"/>
        <v>0.11382113821138211</v>
      </c>
      <c r="V367" s="17">
        <f t="shared" si="218"/>
        <v>0</v>
      </c>
      <c r="W367" s="17">
        <f t="shared" si="218"/>
        <v>6.5040650406504072E-2</v>
      </c>
      <c r="X367" s="26">
        <f t="shared" si="216"/>
        <v>1</v>
      </c>
      <c r="Z367" s="4">
        <f>'[25]Predicted Residual Prices'!AS640</f>
        <v>5.4304437355983355</v>
      </c>
      <c r="AA367" s="4">
        <f>'[26]Predicted Distillate Prices'!AS640</f>
        <v>15.336890349986341</v>
      </c>
      <c r="AB367" s="4">
        <f>'[27]Predicted Gas Prices'!AR640</f>
        <v>4.3113647511588571</v>
      </c>
      <c r="AC367" s="4">
        <f>'[28]Predicted LPG Prices'!AS640</f>
        <v>13.756324034514403</v>
      </c>
      <c r="AD367" s="4">
        <f>'[29]Predicted Coal Prices'!AS640</f>
        <v>4.1584092884660881</v>
      </c>
      <c r="AE367" s="4">
        <f>'[30]Predicted Coke Prices'!AS598</f>
        <v>0</v>
      </c>
      <c r="AF367" s="4">
        <f>'[31]Predicted Other Prices'!AT598</f>
        <v>6.0762391551026429</v>
      </c>
      <c r="AH367" s="115">
        <f t="shared" si="200"/>
        <v>4.7506953812617603</v>
      </c>
      <c r="AI367" s="4">
        <f>'[32]Quantity Shares_1998 forward'!AH367</f>
        <v>5.3370293214450015</v>
      </c>
    </row>
    <row r="368" spans="15:43" x14ac:dyDescent="0.2">
      <c r="O368" s="17"/>
      <c r="Q368" s="17">
        <f t="shared" ref="Q368:W368" si="219">Q347</f>
        <v>1.8050541516245488E-3</v>
      </c>
      <c r="R368" s="17">
        <f t="shared" si="219"/>
        <v>5.415162454873646E-3</v>
      </c>
      <c r="S368" s="17">
        <f t="shared" si="219"/>
        <v>0.64981949458483756</v>
      </c>
      <c r="T368" s="17">
        <f t="shared" si="219"/>
        <v>1.8050541516245487E-2</v>
      </c>
      <c r="U368" s="17">
        <f t="shared" si="219"/>
        <v>0.10830324909747292</v>
      </c>
      <c r="V368" s="17">
        <f t="shared" si="219"/>
        <v>0</v>
      </c>
      <c r="W368" s="17">
        <f t="shared" si="219"/>
        <v>0.21660649819494585</v>
      </c>
      <c r="X368" s="26">
        <f t="shared" si="216"/>
        <v>1</v>
      </c>
      <c r="Z368" s="4">
        <f>'[25]Predicted Residual Prices'!AS641</f>
        <v>7.7637887257260854</v>
      </c>
      <c r="AA368" s="4">
        <f>'[26]Predicted Distillate Prices'!AS641</f>
        <v>14.523464508173136</v>
      </c>
      <c r="AB368" s="4">
        <f>'[27]Predicted Gas Prices'!AR641</f>
        <v>4.5888588207357603</v>
      </c>
      <c r="AC368" s="4">
        <f>'[28]Predicted LPG Prices'!AS641</f>
        <v>10.54092781026597</v>
      </c>
      <c r="AD368" s="4">
        <f>'[29]Predicted Coal Prices'!AS641</f>
        <v>4.0409297694538466</v>
      </c>
      <c r="AE368" s="4">
        <f>'[30]Predicted Coke Prices'!AS599</f>
        <v>0</v>
      </c>
      <c r="AF368" s="4">
        <f>'[31]Predicted Other Prices'!AT599</f>
        <v>1.3661338988303378</v>
      </c>
      <c r="AH368" s="115">
        <f t="shared" si="200"/>
        <v>3.9984196567592964</v>
      </c>
      <c r="AI368" s="4">
        <f>'[32]Quantity Shares_1998 forward'!AH368</f>
        <v>5.3514881011804558</v>
      </c>
    </row>
    <row r="369" spans="15:35" x14ac:dyDescent="0.2">
      <c r="O369" s="17"/>
      <c r="Q369" s="17">
        <f t="shared" ref="Q369:W369" si="220">Q348</f>
        <v>4.8309178743961359E-3</v>
      </c>
      <c r="R369" s="17">
        <f t="shared" si="220"/>
        <v>0.14492753623188406</v>
      </c>
      <c r="S369" s="17">
        <f t="shared" si="220"/>
        <v>0.77294685990338163</v>
      </c>
      <c r="T369" s="17">
        <f t="shared" si="220"/>
        <v>1.9323671497584544E-2</v>
      </c>
      <c r="U369" s="17">
        <f t="shared" si="220"/>
        <v>4.8309178743961352E-2</v>
      </c>
      <c r="V369" s="17">
        <f t="shared" si="220"/>
        <v>0</v>
      </c>
      <c r="W369" s="17">
        <f t="shared" si="220"/>
        <v>9.6618357487922718E-3</v>
      </c>
      <c r="X369" s="26">
        <f t="shared" si="216"/>
        <v>1</v>
      </c>
      <c r="Z369" s="4">
        <f>'[25]Predicted Residual Prices'!AS642</f>
        <v>7.0409737563447177</v>
      </c>
      <c r="AA369" s="4">
        <f>'[26]Predicted Distillate Prices'!AS642</f>
        <v>19.990326868598324</v>
      </c>
      <c r="AB369" s="4">
        <f>'[27]Predicted Gas Prices'!AR642</f>
        <v>4.7893987688598232</v>
      </c>
      <c r="AC369" s="4">
        <f>'[28]Predicted LPG Prices'!AS642</f>
        <v>10.61992186419414</v>
      </c>
      <c r="AD369" s="4">
        <f>'[29]Predicted Coal Prices'!AS642</f>
        <v>5.2822406926385099</v>
      </c>
      <c r="AE369" s="4">
        <f>'[30]Predicted Coke Prices'!AS600</f>
        <v>0</v>
      </c>
      <c r="AF369" s="4">
        <f>'[31]Predicted Other Prices'!AT600</f>
        <v>6.2277592387094431</v>
      </c>
      <c r="AH369" s="115">
        <f t="shared" si="200"/>
        <v>7.153682104794429</v>
      </c>
      <c r="AI369" s="4">
        <f>'[32]Quantity Shares_1998 forward'!AH369</f>
        <v>4.8754598874897832</v>
      </c>
    </row>
    <row r="370" spans="15:35" x14ac:dyDescent="0.2">
      <c r="O370" s="17"/>
      <c r="Q370" s="17">
        <f t="shared" ref="Q370:W370" si="221">Q349</f>
        <v>0</v>
      </c>
      <c r="R370" s="17">
        <f t="shared" si="221"/>
        <v>4.3478260869565216E-2</v>
      </c>
      <c r="S370" s="17">
        <f t="shared" si="221"/>
        <v>0.86956521739130421</v>
      </c>
      <c r="T370" s="17">
        <f t="shared" si="221"/>
        <v>4.3478260869565216E-2</v>
      </c>
      <c r="U370" s="17">
        <f t="shared" si="221"/>
        <v>0</v>
      </c>
      <c r="V370" s="17">
        <f t="shared" si="221"/>
        <v>0</v>
      </c>
      <c r="W370" s="17">
        <f t="shared" si="221"/>
        <v>4.3478260869565216E-2</v>
      </c>
      <c r="X370" s="26">
        <f t="shared" si="216"/>
        <v>0.99999999999999978</v>
      </c>
      <c r="Z370" s="4">
        <f>'[25]Predicted Residual Prices'!AS643</f>
        <v>10.547526267117986</v>
      </c>
      <c r="AA370" s="4">
        <f>'[26]Predicted Distillate Prices'!AS643</f>
        <v>24.480000000000004</v>
      </c>
      <c r="AB370" s="4">
        <f>'[27]Predicted Gas Prices'!AR643</f>
        <v>5.0775093166922405</v>
      </c>
      <c r="AC370" s="4">
        <f>'[28]Predicted LPG Prices'!AS643</f>
        <v>14.502351475078541</v>
      </c>
      <c r="AD370" s="4">
        <f>'[29]Predicted Coal Prices'!AS643</f>
        <v>5.2869303674300907</v>
      </c>
      <c r="AE370" s="4">
        <f>'[30]Predicted Coke Prices'!AS601</f>
        <v>0</v>
      </c>
      <c r="AF370" s="4">
        <f>'[31]Predicted Other Prices'!AT601</f>
        <v>4.6494976107375683</v>
      </c>
      <c r="AH370" s="115">
        <f t="shared" si="200"/>
        <v>6.312262409550474</v>
      </c>
      <c r="AI370" s="4">
        <f>'[32]Quantity Shares_1998 forward'!AH370</f>
        <v>6.7125792176134622</v>
      </c>
    </row>
    <row r="371" spans="15:35" x14ac:dyDescent="0.2">
      <c r="O371" s="17"/>
      <c r="Q371" s="17">
        <f t="shared" ref="Q371:W371" si="222">Q350</f>
        <v>5.8823529411764712E-2</v>
      </c>
      <c r="R371" s="17">
        <f t="shared" si="222"/>
        <v>0.11764705882352942</v>
      </c>
      <c r="S371" s="17">
        <f t="shared" si="222"/>
        <v>0.58823529411764708</v>
      </c>
      <c r="T371" s="17">
        <f t="shared" si="222"/>
        <v>0.11764705882352942</v>
      </c>
      <c r="U371" s="17">
        <f t="shared" si="222"/>
        <v>0</v>
      </c>
      <c r="V371" s="17">
        <f t="shared" si="222"/>
        <v>0</v>
      </c>
      <c r="W371" s="17">
        <f t="shared" si="222"/>
        <v>0.11764705882352942</v>
      </c>
      <c r="X371" s="26">
        <f t="shared" si="216"/>
        <v>1</v>
      </c>
      <c r="Z371" s="4">
        <f>'[25]Predicted Residual Prices'!AS644</f>
        <v>11.04795400823115</v>
      </c>
      <c r="AA371" s="4">
        <f>'[26]Predicted Distillate Prices'!AS644</f>
        <v>14.169711792907963</v>
      </c>
      <c r="AB371" s="4">
        <f>'[27]Predicted Gas Prices'!AR644</f>
        <v>4.6917697183355864</v>
      </c>
      <c r="AC371" s="4">
        <f>'[28]Predicted LPG Prices'!AS644</f>
        <v>20.09279280716693</v>
      </c>
      <c r="AD371" s="4">
        <f>'[29]Predicted Coal Prices'!AS644</f>
        <v>4.6692063022936079</v>
      </c>
      <c r="AE371" s="4">
        <f>'[30]Predicted Coke Prices'!AS602</f>
        <v>0</v>
      </c>
      <c r="AF371" s="4">
        <f>'[31]Predicted Other Prices'!AT602</f>
        <v>4.8247488053687846</v>
      </c>
      <c r="AH371" s="115">
        <f t="shared" si="200"/>
        <v>8.0082445883808457</v>
      </c>
      <c r="AI371" s="4">
        <f>'[32]Quantity Shares_1998 forward'!AH371</f>
        <v>7.6084322478407929</v>
      </c>
    </row>
    <row r="372" spans="15:35" x14ac:dyDescent="0.2">
      <c r="O372" s="17"/>
      <c r="Q372" s="17">
        <f t="shared" ref="Q372:W372" si="223">Q351</f>
        <v>9.3370681605975739E-4</v>
      </c>
      <c r="R372" s="17">
        <f t="shared" si="223"/>
        <v>9.3370681605975725E-2</v>
      </c>
      <c r="S372" s="17">
        <f t="shared" si="223"/>
        <v>0.45751633986928109</v>
      </c>
      <c r="T372" s="17">
        <f t="shared" si="223"/>
        <v>2.8011204481792718E-2</v>
      </c>
      <c r="U372" s="17">
        <f t="shared" si="223"/>
        <v>9.3370681605975722E-3</v>
      </c>
      <c r="V372" s="17">
        <f t="shared" si="223"/>
        <v>0</v>
      </c>
      <c r="W372" s="17">
        <f t="shared" si="223"/>
        <v>0.41083099906629322</v>
      </c>
      <c r="X372" s="26">
        <f t="shared" si="216"/>
        <v>1</v>
      </c>
      <c r="Z372" s="4">
        <f>'[25]Predicted Residual Prices'!AS645</f>
        <v>13.333659970190654</v>
      </c>
      <c r="AA372" s="4">
        <f>'[26]Predicted Distillate Prices'!AS645</f>
        <v>15.135092911206176</v>
      </c>
      <c r="AB372" s="4">
        <f>'[27]Predicted Gas Prices'!AR645</f>
        <v>4.3466666061734776</v>
      </c>
      <c r="AC372" s="4">
        <f>'[28]Predicted LPG Prices'!AS645</f>
        <v>17.213451398825036</v>
      </c>
      <c r="AD372" s="4">
        <f>'[29]Predicted Coal Prices'!AS645</f>
        <v>4.2714910344954893</v>
      </c>
      <c r="AE372" s="4">
        <f>'[30]Predicted Coke Prices'!AS603</f>
        <v>0</v>
      </c>
      <c r="AF372" s="4">
        <f>'[31]Predicted Other Prices'!AT603</f>
        <v>4.7313940141955104</v>
      </c>
      <c r="AH372" s="115">
        <f t="shared" si="200"/>
        <v>5.8801507065093777</v>
      </c>
      <c r="AI372" s="4">
        <f>'[32]Quantity Shares_1998 forward'!AH372</f>
        <v>4.1970570680321977</v>
      </c>
    </row>
    <row r="373" spans="15:35" x14ac:dyDescent="0.2">
      <c r="O373" s="17"/>
      <c r="Q373" s="17">
        <f t="shared" ref="Q373:W373" si="224">Q352</f>
        <v>1.8888888888888889E-2</v>
      </c>
      <c r="R373" s="17">
        <f t="shared" si="224"/>
        <v>5.5555555555555558E-3</v>
      </c>
      <c r="S373" s="17">
        <f t="shared" si="224"/>
        <v>0.48444444444444446</v>
      </c>
      <c r="T373" s="17">
        <f t="shared" si="224"/>
        <v>3.3333333333333335E-3</v>
      </c>
      <c r="U373" s="17">
        <f t="shared" si="224"/>
        <v>0.16222222222222221</v>
      </c>
      <c r="V373" s="17">
        <f t="shared" si="224"/>
        <v>0</v>
      </c>
      <c r="W373" s="17">
        <f t="shared" si="224"/>
        <v>0.32555555555555554</v>
      </c>
      <c r="X373" s="26">
        <f t="shared" si="216"/>
        <v>1</v>
      </c>
      <c r="Z373" s="4">
        <f>'[25]Predicted Residual Prices'!AS646</f>
        <v>8.0752692237779584</v>
      </c>
      <c r="AA373" s="4">
        <f>'[26]Predicted Distillate Prices'!AS646</f>
        <v>13.792959122468528</v>
      </c>
      <c r="AB373" s="4">
        <f>'[27]Predicted Gas Prices'!AR646</f>
        <v>4.1987807092256126</v>
      </c>
      <c r="AC373" s="4">
        <f>'[28]Predicted LPG Prices'!AS646</f>
        <v>13.196874361840255</v>
      </c>
      <c r="AD373" s="4">
        <f>'[29]Predicted Coal Prices'!AS646</f>
        <v>3.7100851754923898</v>
      </c>
      <c r="AE373" s="4">
        <f>'[30]Predicted Coke Prices'!AS604</f>
        <v>6.415</v>
      </c>
      <c r="AF373" s="4">
        <f>'[31]Predicted Other Prices'!AT604</f>
        <v>3.0421133232680759</v>
      </c>
      <c r="AH373" s="115">
        <f t="shared" si="200"/>
        <v>3.8994611378487676</v>
      </c>
      <c r="AI373" s="4">
        <f>'[32]Quantity Shares_1998 forward'!AH373</f>
        <v>3.9604608497292153</v>
      </c>
    </row>
    <row r="374" spans="15:35" x14ac:dyDescent="0.2">
      <c r="O374" s="17"/>
      <c r="Q374" s="17">
        <f t="shared" ref="Q374:W374" si="225">Q353</f>
        <v>2.4630541871921183E-3</v>
      </c>
      <c r="R374" s="17">
        <f t="shared" si="225"/>
        <v>7.3891625615763543E-3</v>
      </c>
      <c r="S374" s="17">
        <f t="shared" si="225"/>
        <v>0.96059113300492605</v>
      </c>
      <c r="T374" s="17">
        <f t="shared" si="225"/>
        <v>2.463054187192118E-2</v>
      </c>
      <c r="U374" s="17">
        <f t="shared" si="225"/>
        <v>0</v>
      </c>
      <c r="V374" s="17">
        <f t="shared" si="225"/>
        <v>0</v>
      </c>
      <c r="W374" s="17">
        <f t="shared" si="225"/>
        <v>4.9261083743842365E-3</v>
      </c>
      <c r="X374" s="26">
        <f t="shared" si="216"/>
        <v>0.99999999999999989</v>
      </c>
      <c r="Z374" s="4">
        <f>'[25]Predicted Residual Prices'!AS647</f>
        <v>13.945632855109334</v>
      </c>
      <c r="AA374" s="4">
        <f>'[26]Predicted Distillate Prices'!AS647</f>
        <v>11.68149107473478</v>
      </c>
      <c r="AB374" s="4">
        <f>'[27]Predicted Gas Prices'!AR647</f>
        <v>4.8065868509324519</v>
      </c>
      <c r="AC374" s="4">
        <f>'[28]Predicted LPG Prices'!AS647</f>
        <v>17.893301302100149</v>
      </c>
      <c r="AD374" s="4">
        <f>'[29]Predicted Coal Prices'!AS647</f>
        <v>4.679296176590471</v>
      </c>
      <c r="AE374" s="4">
        <f>'[30]Predicted Coke Prices'!AS605</f>
        <v>0</v>
      </c>
      <c r="AF374" s="4">
        <f>'[31]Predicted Other Prices'!AT605</f>
        <v>3.0412670121001866</v>
      </c>
      <c r="AH374" s="115">
        <f t="shared" si="200"/>
        <v>5.1935333127787482</v>
      </c>
      <c r="AI374" s="4">
        <f>'[32]Quantity Shares_1998 forward'!AH374</f>
        <v>5.1222147749737328</v>
      </c>
    </row>
    <row r="375" spans="15:35" x14ac:dyDescent="0.2">
      <c r="O375" s="17"/>
      <c r="Q375" s="17">
        <f t="shared" ref="Q375:W375" si="226">Q354</f>
        <v>2.6542800265428003E-3</v>
      </c>
      <c r="R375" s="17">
        <f t="shared" si="226"/>
        <v>5.3085600530856005E-3</v>
      </c>
      <c r="S375" s="17">
        <f t="shared" si="226"/>
        <v>0.71068347710683477</v>
      </c>
      <c r="T375" s="17">
        <f t="shared" si="226"/>
        <v>5.3085600530856005E-3</v>
      </c>
      <c r="U375" s="17">
        <f t="shared" si="226"/>
        <v>5.3085600530856005E-3</v>
      </c>
      <c r="V375" s="17">
        <f t="shared" si="226"/>
        <v>0</v>
      </c>
      <c r="W375" s="17">
        <f t="shared" si="226"/>
        <v>0.27073656270736562</v>
      </c>
      <c r="X375" s="26">
        <f t="shared" si="216"/>
        <v>1</v>
      </c>
      <c r="Z375" s="4">
        <f>'[25]Predicted Residual Prices'!AS648</f>
        <v>14.298459881478468</v>
      </c>
      <c r="AA375" s="4">
        <f>'[26]Predicted Distillate Prices'!AS648</f>
        <v>8.7314149046168072</v>
      </c>
      <c r="AB375" s="4">
        <f>'[27]Predicted Gas Prices'!AR648</f>
        <v>3.6722183355861602</v>
      </c>
      <c r="AC375" s="4">
        <f>'[28]Predicted LPG Prices'!AS648</f>
        <v>10.673355671732516</v>
      </c>
      <c r="AD375" s="4">
        <f>'[29]Predicted Coal Prices'!AS648</f>
        <v>4.1824520229415976</v>
      </c>
      <c r="AE375" s="4">
        <f>'[30]Predicted Coke Prices'!AS606</f>
        <v>0</v>
      </c>
      <c r="AF375" s="4">
        <f>'[31]Predicted Other Prices'!AT606</f>
        <v>10.90393988343618</v>
      </c>
      <c r="AH375" s="115">
        <f t="shared" si="200"/>
        <v>5.7250464035666759</v>
      </c>
      <c r="AI375" s="4">
        <f>'[32]Quantity Shares_1998 forward'!AH375</f>
        <v>3.857972818370087</v>
      </c>
    </row>
    <row r="376" spans="15:35" x14ac:dyDescent="0.2">
      <c r="O376" s="17"/>
      <c r="Q376" s="17">
        <f t="shared" ref="Q376:W376" si="227">Q355</f>
        <v>3.7678975131876413E-4</v>
      </c>
      <c r="R376" s="17">
        <f t="shared" si="227"/>
        <v>3.7678975131876413E-3</v>
      </c>
      <c r="S376" s="17">
        <f t="shared" si="227"/>
        <v>0.74943481537302181</v>
      </c>
      <c r="T376" s="17">
        <f t="shared" si="227"/>
        <v>1.5071590052750565E-3</v>
      </c>
      <c r="U376" s="17">
        <f t="shared" si="227"/>
        <v>8.9299171062547103E-2</v>
      </c>
      <c r="V376" s="17">
        <f t="shared" si="227"/>
        <v>0</v>
      </c>
      <c r="W376" s="17">
        <f t="shared" si="227"/>
        <v>0.15561416729464958</v>
      </c>
      <c r="X376" s="26">
        <f t="shared" si="216"/>
        <v>1</v>
      </c>
      <c r="Z376" s="4">
        <f>'[25]Predicted Residual Prices'!AS649</f>
        <v>7.6832037197689491</v>
      </c>
      <c r="AA376" s="4">
        <f>'[26]Predicted Distillate Prices'!AS649</f>
        <v>13.480468361406103</v>
      </c>
      <c r="AB376" s="4">
        <f>'[27]Predicted Gas Prices'!AR649</f>
        <v>3.4335664071307423</v>
      </c>
      <c r="AC376" s="4">
        <f>'[28]Predicted LPG Prices'!AS649</f>
        <v>6.2856356170396586</v>
      </c>
      <c r="AD376" s="4">
        <f>'[29]Predicted Coal Prices'!AS649</f>
        <v>2.5365201846693841</v>
      </c>
      <c r="AE376" s="4">
        <f>'[30]Predicted Coke Prices'!AS607</f>
        <v>5.6410328260041496</v>
      </c>
      <c r="AF376" s="4">
        <f>'[31]Predicted Other Prices'!AT607</f>
        <v>5.2630643377234296</v>
      </c>
      <c r="AH376" s="115">
        <f t="shared" si="200"/>
        <v>3.681912158564979</v>
      </c>
      <c r="AI376" s="4">
        <f>'[32]Quantity Shares_1998 forward'!AH376</f>
        <v>4.0867972725071624</v>
      </c>
    </row>
    <row r="377" spans="15:35" x14ac:dyDescent="0.2">
      <c r="O377" s="17"/>
      <c r="Q377" s="17">
        <f t="shared" ref="Q377:W377" si="228">Q356</f>
        <v>0</v>
      </c>
      <c r="R377" s="17">
        <f t="shared" si="228"/>
        <v>1.0604453870625666E-3</v>
      </c>
      <c r="S377" s="17">
        <f t="shared" si="228"/>
        <v>0.95440084835630978</v>
      </c>
      <c r="T377" s="17">
        <f t="shared" si="228"/>
        <v>4.241781548250266E-2</v>
      </c>
      <c r="U377" s="17">
        <f t="shared" si="228"/>
        <v>1.0604453870625666E-3</v>
      </c>
      <c r="V377" s="17">
        <f t="shared" si="228"/>
        <v>0</v>
      </c>
      <c r="W377" s="17">
        <f t="shared" si="228"/>
        <v>1.0604453870625666E-3</v>
      </c>
      <c r="X377" s="26">
        <f t="shared" si="216"/>
        <v>1</v>
      </c>
      <c r="Z377" s="4">
        <f>'[25]Predicted Residual Prices'!AS650</f>
        <v>7.0720237388819616</v>
      </c>
      <c r="AA377" s="4">
        <f>'[26]Predicted Distillate Prices'!AS650</f>
        <v>12.779028842066287</v>
      </c>
      <c r="AB377" s="4">
        <f>'[27]Predicted Gas Prices'!AR650</f>
        <v>5.465485597609729</v>
      </c>
      <c r="AC377" s="4">
        <f>'[28]Predicted LPG Prices'!AS650</f>
        <v>21.284445142115565</v>
      </c>
      <c r="AD377" s="4">
        <f>'[29]Predicted Coal Prices'!AS650</f>
        <v>6.6435931241122468</v>
      </c>
      <c r="AE377" s="4">
        <f>'[30]Predicted Coke Prices'!AS608</f>
        <v>0</v>
      </c>
      <c r="AF377" s="4">
        <f>'[31]Predicted Other Prices'!AT608</f>
        <v>6.4490478388447094</v>
      </c>
      <c r="AH377" s="115">
        <f t="shared" si="200"/>
        <v>6.1465392506239693</v>
      </c>
      <c r="AI377" s="4">
        <f>'[32]Quantity Shares_1998 forward'!AH377</f>
        <v>5.411948122681558</v>
      </c>
    </row>
    <row r="378" spans="15:35" x14ac:dyDescent="0.2">
      <c r="O378" s="17"/>
      <c r="Q378" s="17">
        <f t="shared" ref="Q378:W378" si="229">Q357</f>
        <v>2.8645087367516471E-4</v>
      </c>
      <c r="R378" s="17">
        <f t="shared" si="229"/>
        <v>2.7212832999140645E-2</v>
      </c>
      <c r="S378" s="17">
        <f t="shared" si="229"/>
        <v>0.47694070466914923</v>
      </c>
      <c r="T378" s="17">
        <f t="shared" si="229"/>
        <v>4.2967631051274704E-3</v>
      </c>
      <c r="U378" s="17">
        <f t="shared" si="229"/>
        <v>0.3365797765683185</v>
      </c>
      <c r="V378" s="17">
        <f t="shared" si="229"/>
        <v>2.0051561157261529E-2</v>
      </c>
      <c r="W378" s="17">
        <f t="shared" si="229"/>
        <v>0.13463191062732741</v>
      </c>
      <c r="X378" s="26">
        <f t="shared" si="216"/>
        <v>0.99999999999999989</v>
      </c>
      <c r="Z378" s="4">
        <f>'[25]Predicted Residual Prices'!AS651</f>
        <v>7.5631574903149517</v>
      </c>
      <c r="AA378" s="4">
        <f>'[26]Predicted Distillate Prices'!AS651</f>
        <v>9.9674028456102093</v>
      </c>
      <c r="AB378" s="4">
        <f>'[27]Predicted Gas Prices'!AR651</f>
        <v>4.0407541504225062</v>
      </c>
      <c r="AC378" s="4">
        <f>'[28]Predicted LPG Prices'!AS651</f>
        <v>20.722454335381833</v>
      </c>
      <c r="AD378" s="4">
        <f>'[29]Predicted Coal Prices'!AS651</f>
        <v>3.2343682303153427</v>
      </c>
      <c r="AE378" s="4">
        <f>'[30]Predicted Coke Prices'!AS609</f>
        <v>2.2299780536579479</v>
      </c>
      <c r="AF378" s="4">
        <f>'[31]Predicted Other Prices'!AT609</f>
        <v>1.7894027580744793</v>
      </c>
      <c r="AH378" s="115">
        <f t="shared" si="200"/>
        <v>3.6638955410997065</v>
      </c>
      <c r="AI378" s="4">
        <f>'[32]Quantity Shares_1998 forward'!AH378</f>
        <v>4.1364225259591461</v>
      </c>
    </row>
    <row r="379" spans="15:35" x14ac:dyDescent="0.2">
      <c r="O379" s="17"/>
      <c r="Q379" s="17">
        <f t="shared" ref="Q379:W379" si="230">Q358</f>
        <v>1.6277807921866521E-3</v>
      </c>
      <c r="R379" s="17">
        <f t="shared" si="230"/>
        <v>6.5111231687466084E-3</v>
      </c>
      <c r="S379" s="17">
        <f t="shared" si="230"/>
        <v>0.69777536625067826</v>
      </c>
      <c r="T379" s="17">
        <f t="shared" si="230"/>
        <v>3.2555615843733042E-3</v>
      </c>
      <c r="U379" s="17">
        <f t="shared" si="230"/>
        <v>1.9533369506239826E-2</v>
      </c>
      <c r="V379" s="17">
        <f t="shared" si="230"/>
        <v>0.23982637004883342</v>
      </c>
      <c r="W379" s="17">
        <f t="shared" si="230"/>
        <v>3.1470428648941944E-2</v>
      </c>
      <c r="X379" s="26">
        <f t="shared" si="216"/>
        <v>1.0000000000000002</v>
      </c>
      <c r="Z379" s="4">
        <f>'[25]Predicted Residual Prices'!AS652</f>
        <v>11.403773731372056</v>
      </c>
      <c r="AA379" s="4">
        <f>'[26]Predicted Distillate Prices'!AS652</f>
        <v>17.618628582589135</v>
      </c>
      <c r="AB379" s="4">
        <f>'[27]Predicted Gas Prices'!AR652</f>
        <v>4.2642286474602908</v>
      </c>
      <c r="AC379" s="4">
        <f>'[28]Predicted LPG Prices'!AS652</f>
        <v>15.826564830256027</v>
      </c>
      <c r="AD379" s="4">
        <f>'[29]Predicted Coal Prices'!AS652</f>
        <v>4.5161181299750925</v>
      </c>
      <c r="AE379" s="4">
        <f>'[30]Predicted Coke Prices'!AS610</f>
        <v>8.7142707209224</v>
      </c>
      <c r="AF379" s="4">
        <f>'[31]Predicted Other Prices'!AT610</f>
        <v>2.4120745892330215</v>
      </c>
      <c r="AH379" s="115">
        <f t="shared" si="200"/>
        <v>5.4143139073808877</v>
      </c>
      <c r="AI379" s="4">
        <f>'[32]Quantity Shares_1998 forward'!AH379</f>
        <v>7.4961793639581442</v>
      </c>
    </row>
    <row r="380" spans="15:35" x14ac:dyDescent="0.2">
      <c r="O380" s="17"/>
      <c r="Q380" s="17">
        <f t="shared" ref="Q380:W380" si="231">Q359</f>
        <v>0</v>
      </c>
      <c r="R380" s="17">
        <f t="shared" si="231"/>
        <v>9.9502487562189053E-3</v>
      </c>
      <c r="S380" s="17">
        <f t="shared" si="231"/>
        <v>0.95024875621890548</v>
      </c>
      <c r="T380" s="17">
        <f t="shared" si="231"/>
        <v>3.482587064676617E-2</v>
      </c>
      <c r="U380" s="17">
        <f t="shared" si="231"/>
        <v>0</v>
      </c>
      <c r="V380" s="17">
        <f t="shared" si="231"/>
        <v>0</v>
      </c>
      <c r="W380" s="17">
        <f t="shared" si="231"/>
        <v>4.9751243781094526E-3</v>
      </c>
      <c r="X380" s="26">
        <f t="shared" si="216"/>
        <v>0.99999999999999989</v>
      </c>
      <c r="Z380" s="4">
        <f>'[25]Predicted Residual Prices'!AS653</f>
        <v>12.97749609554789</v>
      </c>
      <c r="AA380" s="4">
        <f>'[26]Predicted Distillate Prices'!AS653</f>
        <v>15.464204251747752</v>
      </c>
      <c r="AB380" s="4">
        <f>'[27]Predicted Gas Prices'!AR653</f>
        <v>4.6183178796152129</v>
      </c>
      <c r="AC380" s="4">
        <f>'[28]Predicted LPG Prices'!AS653</f>
        <v>18.560973237792957</v>
      </c>
      <c r="AD380" s="4">
        <f>'[29]Predicted Coal Prices'!AS653</f>
        <v>4.6513617534647231</v>
      </c>
      <c r="AE380" s="4">
        <f>'[30]Predicted Coke Prices'!AS611</f>
        <v>8.8305965657044716</v>
      </c>
      <c r="AF380" s="4">
        <f>'[31]Predicted Other Prices'!AT611</f>
        <v>7.1958499714065915</v>
      </c>
      <c r="AH380" s="115">
        <f t="shared" si="200"/>
        <v>5.224625801721186</v>
      </c>
      <c r="AI380" s="4">
        <f>'[32]Quantity Shares_1998 forward'!AH380</f>
        <v>5.4107293271052734</v>
      </c>
    </row>
    <row r="381" spans="15:35" x14ac:dyDescent="0.2">
      <c r="O381" s="17"/>
      <c r="Q381" s="17">
        <f t="shared" ref="Q381:W381" si="232">Q360</f>
        <v>1.2033694344163659E-3</v>
      </c>
      <c r="R381" s="17">
        <f t="shared" si="232"/>
        <v>6.0168471720818295E-2</v>
      </c>
      <c r="S381" s="17">
        <f t="shared" si="232"/>
        <v>0.86642599277978349</v>
      </c>
      <c r="T381" s="17">
        <f t="shared" si="232"/>
        <v>3.6101083032490974E-2</v>
      </c>
      <c r="U381" s="17">
        <f t="shared" si="232"/>
        <v>2.4067388688327317E-2</v>
      </c>
      <c r="V381" s="17">
        <f t="shared" si="232"/>
        <v>0</v>
      </c>
      <c r="W381" s="17">
        <f t="shared" si="232"/>
        <v>1.2033694344163659E-2</v>
      </c>
      <c r="X381" s="26">
        <f t="shared" si="216"/>
        <v>1</v>
      </c>
      <c r="Z381" s="4">
        <f>'[25]Predicted Residual Prices'!AS654</f>
        <v>10.364649586178627</v>
      </c>
      <c r="AA381" s="4">
        <f>'[26]Predicted Distillate Prices'!AS654</f>
        <v>26.542829793652537</v>
      </c>
      <c r="AB381" s="4">
        <f>'[27]Predicted Gas Prices'!AR654</f>
        <v>5.1009391419489098</v>
      </c>
      <c r="AC381" s="4">
        <f>'[28]Predicted LPG Prices'!AS654</f>
        <v>20.020858893886079</v>
      </c>
      <c r="AD381" s="4">
        <f>'[29]Predicted Coal Prices'!AS654</f>
        <v>3.2666624857637125</v>
      </c>
      <c r="AE381" s="4">
        <f>'[30]Predicted Coke Prices'!AS612</f>
        <v>0</v>
      </c>
      <c r="AF381" s="4">
        <f>'[31]Predicted Other Prices'!AT612</f>
        <v>14.7476076423089</v>
      </c>
      <c r="AH381" s="115">
        <f t="shared" si="200"/>
        <v>7.0079631942562779</v>
      </c>
      <c r="AI381" s="4">
        <f>'[32]Quantity Shares_1998 forward'!AH381</f>
        <v>6.1123652780141482</v>
      </c>
    </row>
    <row r="382" spans="15:35" x14ac:dyDescent="0.2">
      <c r="O382" s="17"/>
      <c r="Q382" s="17">
        <f t="shared" ref="Q382:W382" si="233">Q361</f>
        <v>3.968253968253968E-3</v>
      </c>
      <c r="R382" s="17">
        <f t="shared" si="233"/>
        <v>1.984126984126984E-2</v>
      </c>
      <c r="S382" s="17">
        <f t="shared" si="233"/>
        <v>0.93253968253968245</v>
      </c>
      <c r="T382" s="17">
        <f t="shared" si="233"/>
        <v>3.968253968253968E-3</v>
      </c>
      <c r="U382" s="17">
        <f t="shared" si="233"/>
        <v>0</v>
      </c>
      <c r="V382" s="17">
        <f t="shared" si="233"/>
        <v>0</v>
      </c>
      <c r="W382" s="17">
        <f t="shared" si="233"/>
        <v>3.968253968253968E-2</v>
      </c>
      <c r="X382" s="26">
        <f t="shared" si="216"/>
        <v>0.99999999999999989</v>
      </c>
      <c r="Z382" s="4">
        <f>'[25]Predicted Residual Prices'!AS655</f>
        <v>17.234201366065776</v>
      </c>
      <c r="AA382" s="4">
        <f>'[26]Predicted Distillate Prices'!AS655</f>
        <v>14.760380790316358</v>
      </c>
      <c r="AB382" s="4">
        <f>'[27]Predicted Gas Prices'!AR655</f>
        <v>5.4782087683181775</v>
      </c>
      <c r="AC382" s="4">
        <f>'[28]Predicted LPG Prices'!AS655</f>
        <v>14.148118048699278</v>
      </c>
      <c r="AD382" s="4">
        <f>'[29]Predicted Coal Prices'!AS655</f>
        <v>4.6867234708439645</v>
      </c>
      <c r="AE382" s="4">
        <f>'[30]Predicted Coke Prices'!AS613</f>
        <v>0</v>
      </c>
      <c r="AF382" s="4">
        <f>'[31]Predicted Other Prices'!AT613</f>
        <v>16.863619926513898</v>
      </c>
      <c r="AH382" s="115">
        <f t="shared" si="200"/>
        <v>6.1952360443899099</v>
      </c>
      <c r="AI382" s="4">
        <f>'[32]Quantity Shares_1998 forward'!AH382</f>
        <v>5.622927566792713</v>
      </c>
    </row>
    <row r="383" spans="15:35" x14ac:dyDescent="0.2">
      <c r="O383" s="17"/>
      <c r="Q383" s="17">
        <f t="shared" ref="Q383:W383" si="234">Q362</f>
        <v>0</v>
      </c>
      <c r="R383" s="17">
        <f t="shared" si="234"/>
        <v>9.8039215686274508E-3</v>
      </c>
      <c r="S383" s="17">
        <f t="shared" si="234"/>
        <v>0.88235294117647056</v>
      </c>
      <c r="T383" s="17">
        <f t="shared" si="234"/>
        <v>3.2679738562091505E-2</v>
      </c>
      <c r="U383" s="17">
        <f t="shared" si="234"/>
        <v>0</v>
      </c>
      <c r="V383" s="17">
        <f t="shared" si="234"/>
        <v>9.8039215686274508E-3</v>
      </c>
      <c r="W383" s="17">
        <f t="shared" si="234"/>
        <v>6.535947712418301E-2</v>
      </c>
      <c r="X383" s="26">
        <f t="shared" si="216"/>
        <v>0.99999999999999989</v>
      </c>
      <c r="Z383" s="4">
        <f>'[25]Predicted Residual Prices'!AS656</f>
        <v>24.469507851636028</v>
      </c>
      <c r="AA383" s="4">
        <f>'[26]Predicted Distillate Prices'!AS656</f>
        <v>24.811874475744258</v>
      </c>
      <c r="AB383" s="4">
        <f>'[27]Predicted Gas Prices'!AR656</f>
        <v>4.7534424044878456</v>
      </c>
      <c r="AC383" s="4">
        <f>'[28]Predicted LPG Prices'!AS656</f>
        <v>7.4693945705728382</v>
      </c>
      <c r="AD383" s="4">
        <f>'[29]Predicted Coal Prices'!AS656</f>
        <v>4.6757702040578994</v>
      </c>
      <c r="AE383" s="4">
        <f>'[30]Predicted Coke Prices'!AS614</f>
        <v>0</v>
      </c>
      <c r="AF383" s="4">
        <f>'[31]Predicted Other Prices'!AT614</f>
        <v>6.4889970231762311</v>
      </c>
      <c r="AH383" s="115">
        <f t="shared" si="200"/>
        <v>5.1056828719222356</v>
      </c>
      <c r="AI383" s="4">
        <f>'[32]Quantity Shares_1998 forward'!AH383</f>
        <v>5.2265378072298585</v>
      </c>
    </row>
    <row r="384" spans="15:35" x14ac:dyDescent="0.2">
      <c r="O384" s="17"/>
      <c r="Q384" s="17">
        <f t="shared" ref="Q384:W384" si="235">Q363</f>
        <v>6.1274509803921576E-3</v>
      </c>
      <c r="R384" s="17">
        <f t="shared" si="235"/>
        <v>2.4509803921568631E-2</v>
      </c>
      <c r="S384" s="17">
        <f t="shared" si="235"/>
        <v>0.88848039215686281</v>
      </c>
      <c r="T384" s="17">
        <f t="shared" si="235"/>
        <v>2.4509803921568631E-2</v>
      </c>
      <c r="U384" s="17">
        <f t="shared" si="235"/>
        <v>6.1274509803921576E-3</v>
      </c>
      <c r="V384" s="17">
        <f t="shared" si="235"/>
        <v>1.2254901960784316E-3</v>
      </c>
      <c r="W384" s="17">
        <f t="shared" si="235"/>
        <v>4.9019607843137261E-2</v>
      </c>
      <c r="X384" s="26">
        <f t="shared" si="216"/>
        <v>1</v>
      </c>
      <c r="Z384" s="4">
        <f>'[25]Predicted Residual Prices'!AS657</f>
        <v>11.32232018817094</v>
      </c>
      <c r="AA384" s="4">
        <f>'[26]Predicted Distillate Prices'!AS657</f>
        <v>8.8482981637187024</v>
      </c>
      <c r="AB384" s="4">
        <f>'[27]Predicted Gas Prices'!AR657</f>
        <v>4.650046122091112</v>
      </c>
      <c r="AC384" s="4">
        <f>'[28]Predicted LPG Prices'!AS657</f>
        <v>22.268381827535904</v>
      </c>
      <c r="AD384" s="4">
        <f>'[29]Predicted Coal Prices'!AS657</f>
        <v>5.0907500484716266</v>
      </c>
      <c r="AE384" s="4">
        <f>'[30]Predicted Coke Prices'!AS615</f>
        <v>0</v>
      </c>
      <c r="AF384" s="4">
        <f>'[31]Predicted Other Prices'!AT615</f>
        <v>6.2784420936790379</v>
      </c>
      <c r="AH384" s="115">
        <f t="shared" si="200"/>
        <v>5.3024755799896122</v>
      </c>
      <c r="AI384" s="4">
        <f>'[32]Quantity Shares_1998 forward'!AH384</f>
        <v>5.6998611346803871</v>
      </c>
    </row>
    <row r="385" spans="15:35" x14ac:dyDescent="0.2">
      <c r="O385" s="17"/>
      <c r="Q385" s="17">
        <f t="shared" ref="Q385:W385" si="236">Q364</f>
        <v>0</v>
      </c>
      <c r="R385" s="17">
        <f t="shared" si="236"/>
        <v>1.7647058823529412E-2</v>
      </c>
      <c r="S385" s="17">
        <f t="shared" si="236"/>
        <v>0.88235294117647056</v>
      </c>
      <c r="T385" s="17">
        <f t="shared" si="236"/>
        <v>5.8823529411764705E-2</v>
      </c>
      <c r="U385" s="17">
        <f t="shared" si="236"/>
        <v>1.1764705882352941E-2</v>
      </c>
      <c r="V385" s="17">
        <f t="shared" si="236"/>
        <v>0</v>
      </c>
      <c r="W385" s="17">
        <f t="shared" si="236"/>
        <v>2.9411764705882353E-2</v>
      </c>
      <c r="X385" s="26">
        <f t="shared" si="216"/>
        <v>1</v>
      </c>
      <c r="Z385" s="4">
        <f>'[25]Predicted Residual Prices'!AS658</f>
        <v>12.673860697186083</v>
      </c>
      <c r="AA385" s="4">
        <f>'[26]Predicted Distillate Prices'!AS658</f>
        <v>23.370509649512421</v>
      </c>
      <c r="AB385" s="4">
        <f>'[27]Predicted Gas Prices'!AR658</f>
        <v>5.4366170147264414</v>
      </c>
      <c r="AC385" s="4">
        <f>'[28]Predicted LPG Prices'!AS658</f>
        <v>18.952632178653445</v>
      </c>
      <c r="AD385" s="4">
        <f>'[29]Predicted Coal Prices'!AS658</f>
        <v>3.6158670402583422</v>
      </c>
      <c r="AE385" s="4">
        <f>'[30]Predicted Coke Prices'!AS616</f>
        <v>0</v>
      </c>
      <c r="AF385" s="4">
        <f>'[31]Predicted Other Prices'!AT616</f>
        <v>2.7201964410170931</v>
      </c>
      <c r="AH385" s="115">
        <f t="shared" si="200"/>
        <v>6.446841877821412</v>
      </c>
      <c r="AI385" s="4">
        <f>'[32]Quantity Shares_1998 forward'!AH385</f>
        <v>6.2575409810577822</v>
      </c>
    </row>
    <row r="386" spans="15:35" x14ac:dyDescent="0.2">
      <c r="O386" s="17"/>
      <c r="Q386" s="17">
        <f t="shared" ref="Q386:W386" si="237">Q365</f>
        <v>3.6101083032490976E-3</v>
      </c>
      <c r="R386" s="17">
        <f t="shared" si="237"/>
        <v>1.0830324909747292E-2</v>
      </c>
      <c r="S386" s="17">
        <f t="shared" si="237"/>
        <v>0.93862815884476536</v>
      </c>
      <c r="T386" s="17">
        <f t="shared" si="237"/>
        <v>3.6101083032490974E-2</v>
      </c>
      <c r="U386" s="17">
        <f t="shared" si="237"/>
        <v>0</v>
      </c>
      <c r="V386" s="17">
        <f t="shared" si="237"/>
        <v>0</v>
      </c>
      <c r="W386" s="17">
        <f t="shared" si="237"/>
        <v>1.0830324909747292E-2</v>
      </c>
      <c r="X386" s="26">
        <f t="shared" si="216"/>
        <v>1</v>
      </c>
      <c r="Z386" s="4">
        <f>'[25]Predicted Residual Prices'!AS659</f>
        <v>9.534667681029255</v>
      </c>
      <c r="AA386" s="4">
        <f>'[26]Predicted Distillate Prices'!AS659</f>
        <v>25.373369463672507</v>
      </c>
      <c r="AB386" s="4">
        <f>'[27]Predicted Gas Prices'!AR659</f>
        <v>5.2455540146899091</v>
      </c>
      <c r="AC386" s="4">
        <f>'[28]Predicted LPG Prices'!AS659</f>
        <v>23.147160781433538</v>
      </c>
      <c r="AD386" s="4">
        <f>'[29]Predicted Coal Prices'!AS659</f>
        <v>4.6905939027265591</v>
      </c>
      <c r="AE386" s="4">
        <f>'[30]Predicted Coke Prices'!AS617</f>
        <v>0</v>
      </c>
      <c r="AF386" s="4">
        <f>'[31]Predicted Other Prices'!AT617</f>
        <v>7.5444756474759016</v>
      </c>
      <c r="AH386" s="115">
        <f t="shared" si="200"/>
        <v>6.1501944211125856</v>
      </c>
      <c r="AI386" s="4">
        <f>'[32]Quantity Shares_1998 forward'!AH386</f>
        <v>6.9896585150022892</v>
      </c>
    </row>
    <row r="387" spans="15:35" x14ac:dyDescent="0.2">
      <c r="O387" s="17"/>
      <c r="P387">
        <v>2016</v>
      </c>
      <c r="Q387" s="17">
        <f>Q345</f>
        <v>5.1347881899871627E-3</v>
      </c>
      <c r="R387" s="17">
        <f t="shared" ref="R387:W387" si="238">R345</f>
        <v>2.5673940949935817E-2</v>
      </c>
      <c r="S387" s="17">
        <f t="shared" si="238"/>
        <v>0.73170731707317072</v>
      </c>
      <c r="T387" s="17">
        <f t="shared" si="238"/>
        <v>7.7021822849807449E-3</v>
      </c>
      <c r="U387" s="17">
        <f t="shared" si="238"/>
        <v>0.14120667522464697</v>
      </c>
      <c r="V387" s="17">
        <f t="shared" si="238"/>
        <v>1.2836970474967907E-3</v>
      </c>
      <c r="W387" s="17">
        <f t="shared" si="238"/>
        <v>8.7291399229781769E-2</v>
      </c>
      <c r="X387" s="26">
        <f t="shared" si="216"/>
        <v>0.99999999999999989</v>
      </c>
      <c r="Z387" s="4">
        <f>'[25]Predicted Residual Prices'!AS660</f>
        <v>7.6327382878510299</v>
      </c>
      <c r="AA387" s="4">
        <f>'[26]Predicted Distillate Prices'!AS660</f>
        <v>10.561843339126694</v>
      </c>
      <c r="AB387" s="4">
        <f>'[27]Predicted Gas Prices'!AR660</f>
        <v>3.5213492876067067</v>
      </c>
      <c r="AC387" s="4">
        <f>'[28]Predicted LPG Prices'!AS660</f>
        <v>11.38820243100883</v>
      </c>
      <c r="AD387" s="4">
        <f>'[29]Predicted Coal Prices'!AS660</f>
        <v>2.2195691241112252</v>
      </c>
      <c r="AE387" s="4">
        <f>'[30]Predicted Coke Prices'!AS618</f>
        <v>15.218780289060673</v>
      </c>
      <c r="AF387" s="4">
        <f>'[31]Predicted Other Prices'!AT618</f>
        <v>6.3022311141983121</v>
      </c>
      <c r="AH387" s="115">
        <f t="shared" si="200"/>
        <v>3.8577525393614818</v>
      </c>
    </row>
    <row r="388" spans="15:35" x14ac:dyDescent="0.2">
      <c r="Q388" s="17">
        <f t="shared" ref="Q388:W407" si="239">Q346</f>
        <v>8.130081300813009E-3</v>
      </c>
      <c r="R388" s="17">
        <f t="shared" si="239"/>
        <v>1.6260162601626018E-2</v>
      </c>
      <c r="S388" s="17">
        <f t="shared" si="239"/>
        <v>0.78048780487804881</v>
      </c>
      <c r="T388" s="17">
        <f t="shared" si="239"/>
        <v>1.6260162601626018E-2</v>
      </c>
      <c r="U388" s="17">
        <f t="shared" si="239"/>
        <v>0.11382113821138211</v>
      </c>
      <c r="V388" s="17">
        <f t="shared" si="239"/>
        <v>0</v>
      </c>
      <c r="W388" s="17">
        <f t="shared" si="239"/>
        <v>6.5040650406504072E-2</v>
      </c>
      <c r="X388" s="26">
        <f t="shared" si="216"/>
        <v>1</v>
      </c>
      <c r="Z388" s="4">
        <f>'[25]Predicted Residual Prices'!AS661</f>
        <v>3.9655804383096305</v>
      </c>
      <c r="AA388" s="4">
        <f>'[26]Predicted Distillate Prices'!AS661</f>
        <v>9.8633417159443102</v>
      </c>
      <c r="AB388" s="4">
        <f>'[27]Predicted Gas Prices'!AR661</f>
        <v>3.4551064705256636</v>
      </c>
      <c r="AC388" s="4">
        <f>'[28]Predicted LPG Prices'!AS661</f>
        <v>12.653315967101559</v>
      </c>
      <c r="AD388" s="4">
        <f>'[29]Predicted Coal Prices'!AS661</f>
        <v>3.9168057175786379</v>
      </c>
      <c r="AE388" s="4">
        <f>'[30]Predicted Coke Prices'!AS619</f>
        <v>0</v>
      </c>
      <c r="AF388" s="4">
        <f>'[31]Predicted Other Prices'!AT619</f>
        <v>5.7687423582185273</v>
      </c>
      <c r="AH388" s="115">
        <f t="shared" si="200"/>
        <v>3.9160515112740995</v>
      </c>
    </row>
    <row r="389" spans="15:35" x14ac:dyDescent="0.2">
      <c r="Q389" s="17">
        <f t="shared" si="239"/>
        <v>1.8050541516245488E-3</v>
      </c>
      <c r="R389" s="17">
        <f t="shared" si="239"/>
        <v>5.415162454873646E-3</v>
      </c>
      <c r="S389" s="17">
        <f t="shared" si="239"/>
        <v>0.64981949458483756</v>
      </c>
      <c r="T389" s="17">
        <f t="shared" si="239"/>
        <v>1.8050541516245487E-2</v>
      </c>
      <c r="U389" s="17">
        <f t="shared" si="239"/>
        <v>0.10830324909747292</v>
      </c>
      <c r="V389" s="17">
        <f t="shared" si="239"/>
        <v>0</v>
      </c>
      <c r="W389" s="17">
        <f t="shared" si="239"/>
        <v>0.21660649819494585</v>
      </c>
      <c r="X389" s="26">
        <f t="shared" si="216"/>
        <v>1</v>
      </c>
      <c r="Z389" s="4">
        <f>'[25]Predicted Residual Prices'!AS662</f>
        <v>4.682641996411899</v>
      </c>
      <c r="AA389" s="4">
        <f>'[26]Predicted Distillate Prices'!AS662</f>
        <v>12.316378220389456</v>
      </c>
      <c r="AB389" s="4">
        <f>'[27]Predicted Gas Prices'!AR662</f>
        <v>4.10154495194889</v>
      </c>
      <c r="AC389" s="4">
        <f>'[28]Predicted LPG Prices'!AS662</f>
        <v>10.755621132840471</v>
      </c>
      <c r="AD389" s="4">
        <f>'[29]Predicted Coal Prices'!AS662</f>
        <v>5</v>
      </c>
      <c r="AE389" s="4">
        <f>'[30]Predicted Coke Prices'!AS620</f>
        <v>0</v>
      </c>
      <c r="AF389" s="4">
        <f>'[31]Predicted Other Prices'!AT620</f>
        <v>1.1480560264144168</v>
      </c>
      <c r="AH389" s="115">
        <f t="shared" si="200"/>
        <v>3.7247489058796308</v>
      </c>
    </row>
    <row r="390" spans="15:35" x14ac:dyDescent="0.2">
      <c r="Q390" s="17">
        <f t="shared" si="239"/>
        <v>4.8309178743961359E-3</v>
      </c>
      <c r="R390" s="17">
        <f t="shared" si="239"/>
        <v>0.14492753623188406</v>
      </c>
      <c r="S390" s="17">
        <f t="shared" si="239"/>
        <v>0.77294685990338163</v>
      </c>
      <c r="T390" s="17">
        <f t="shared" si="239"/>
        <v>1.9323671497584544E-2</v>
      </c>
      <c r="U390" s="17">
        <f t="shared" si="239"/>
        <v>4.8309178743961352E-2</v>
      </c>
      <c r="V390" s="17">
        <f t="shared" si="239"/>
        <v>0</v>
      </c>
      <c r="W390" s="17">
        <f t="shared" si="239"/>
        <v>9.6618357487922718E-3</v>
      </c>
      <c r="X390" s="26">
        <f t="shared" si="216"/>
        <v>1</v>
      </c>
      <c r="Z390" s="4">
        <f>'[25]Predicted Residual Prices'!AS663</f>
        <v>4.3924594973745474</v>
      </c>
      <c r="AA390" s="4">
        <f>'[26]Predicted Distillate Prices'!AS663</f>
        <v>13.567079686384133</v>
      </c>
      <c r="AB390" s="4">
        <f>'[27]Predicted Gas Prices'!AR663</f>
        <v>4.2997342205159006</v>
      </c>
      <c r="AC390" s="4">
        <f>'[28]Predicted LPG Prices'!AS663</f>
        <v>10.402557581651955</v>
      </c>
      <c r="AD390" s="4">
        <f>'[29]Predicted Coal Prices'!AS663</f>
        <v>5.0234066825956711</v>
      </c>
      <c r="AE390" s="4">
        <f>'[30]Predicted Coke Prices'!AS621</f>
        <v>0</v>
      </c>
      <c r="AF390" s="4">
        <f>'[31]Predicted Other Prices'!AT621</f>
        <v>5.8811507165077002</v>
      </c>
      <c r="AH390" s="115">
        <f t="shared" si="200"/>
        <v>5.8114440770870655</v>
      </c>
    </row>
    <row r="391" spans="15:35" x14ac:dyDescent="0.2">
      <c r="Q391" s="17">
        <f t="shared" si="239"/>
        <v>0</v>
      </c>
      <c r="R391" s="17">
        <f t="shared" si="239"/>
        <v>4.3478260869565216E-2</v>
      </c>
      <c r="S391" s="17">
        <f t="shared" si="239"/>
        <v>0.86956521739130421</v>
      </c>
      <c r="T391" s="17">
        <f t="shared" si="239"/>
        <v>4.3478260869565216E-2</v>
      </c>
      <c r="U391" s="17">
        <f t="shared" si="239"/>
        <v>0</v>
      </c>
      <c r="V391" s="17">
        <f t="shared" si="239"/>
        <v>0</v>
      </c>
      <c r="W391" s="17">
        <f t="shared" si="239"/>
        <v>4.3478260869565216E-2</v>
      </c>
      <c r="X391" s="26">
        <f t="shared" si="216"/>
        <v>0.99999999999999978</v>
      </c>
      <c r="Z391" s="4">
        <f>'[25]Predicted Residual Prices'!AS664</f>
        <v>7.46402700097841</v>
      </c>
      <c r="AA391" s="4">
        <f>'[26]Predicted Distillate Prices'!AS664</f>
        <v>22.37</v>
      </c>
      <c r="AB391" s="4">
        <f>'[27]Predicted Gas Prices'!AR664</f>
        <v>4.5302237529612217</v>
      </c>
      <c r="AC391" s="4">
        <f>'[28]Predicted LPG Prices'!AS664</f>
        <v>12.319808476529328</v>
      </c>
      <c r="AD391" s="4">
        <f>'[29]Predicted Coal Prices'!AS664</f>
        <v>5.0317998283563021</v>
      </c>
      <c r="AE391" s="4">
        <f>'[30]Predicted Coke Prices'!AS622</f>
        <v>0</v>
      </c>
      <c r="AF391" s="4">
        <f>'[31]Predicted Other Prices'!AT622</f>
        <v>4.3951599028152302</v>
      </c>
      <c r="AH391" s="115">
        <f t="shared" si="200"/>
        <v>5.6386714538508249</v>
      </c>
    </row>
    <row r="392" spans="15:35" x14ac:dyDescent="0.2">
      <c r="Q392" s="17">
        <f t="shared" si="239"/>
        <v>5.8823529411764712E-2</v>
      </c>
      <c r="R392" s="17">
        <f t="shared" si="239"/>
        <v>0.11764705882352942</v>
      </c>
      <c r="S392" s="17">
        <f t="shared" si="239"/>
        <v>0.58823529411764708</v>
      </c>
      <c r="T392" s="17">
        <f t="shared" si="239"/>
        <v>0.11764705882352942</v>
      </c>
      <c r="U392" s="17">
        <f t="shared" si="239"/>
        <v>0</v>
      </c>
      <c r="V392" s="17">
        <f t="shared" si="239"/>
        <v>0</v>
      </c>
      <c r="W392" s="17">
        <f t="shared" si="239"/>
        <v>0.11764705882352942</v>
      </c>
      <c r="X392" s="26">
        <f t="shared" si="216"/>
        <v>1</v>
      </c>
      <c r="Z392" s="4">
        <f>'[25]Predicted Residual Prices'!AS665</f>
        <v>8.1179133641925905</v>
      </c>
      <c r="AA392" s="4">
        <f>'[26]Predicted Distillate Prices'!AS665</f>
        <v>12.096064746849255</v>
      </c>
      <c r="AB392" s="4">
        <f>'[27]Predicted Gas Prices'!AR665</f>
        <v>4.1703912847098845</v>
      </c>
      <c r="AC392" s="4">
        <f>'[28]Predicted LPG Prices'!AS665</f>
        <v>11.390209592619348</v>
      </c>
      <c r="AD392" s="4">
        <f>'[29]Predicted Coal Prices'!AS665</f>
        <v>4.3862188108612834</v>
      </c>
      <c r="AE392" s="4">
        <f>'[30]Predicted Coke Prices'!AS623</f>
        <v>0</v>
      </c>
      <c r="AF392" s="4">
        <f>'[31]Predicted Other Prices'!AT623</f>
        <v>4.6975799514076151</v>
      </c>
      <c r="AH392" s="115">
        <f t="shared" si="200"/>
        <v>6.2464432231202274</v>
      </c>
    </row>
    <row r="393" spans="15:35" x14ac:dyDescent="0.2">
      <c r="Q393" s="17">
        <f t="shared" si="239"/>
        <v>9.3370681605975739E-4</v>
      </c>
      <c r="R393" s="17">
        <f t="shared" si="239"/>
        <v>9.3370681605975725E-2</v>
      </c>
      <c r="S393" s="17">
        <f t="shared" si="239"/>
        <v>0.45751633986928109</v>
      </c>
      <c r="T393" s="17">
        <f t="shared" si="239"/>
        <v>2.8011204481792718E-2</v>
      </c>
      <c r="U393" s="17">
        <f t="shared" si="239"/>
        <v>9.3370681605975722E-3</v>
      </c>
      <c r="V393" s="17">
        <f t="shared" si="239"/>
        <v>0</v>
      </c>
      <c r="W393" s="17">
        <f t="shared" si="239"/>
        <v>0.41083099906629322</v>
      </c>
      <c r="X393" s="26">
        <f t="shared" si="216"/>
        <v>1</v>
      </c>
      <c r="Z393" s="4">
        <f>'[25]Predicted Residual Prices'!AS666</f>
        <v>8.4212818372335221</v>
      </c>
      <c r="AA393" s="4">
        <f>'[26]Predicted Distillate Prices'!AS666</f>
        <v>10.930082008274738</v>
      </c>
      <c r="AB393" s="4">
        <f>'[27]Predicted Gas Prices'!AR666</f>
        <v>3.8786867931620392</v>
      </c>
      <c r="AC393" s="4">
        <f>'[28]Predicted LPG Prices'!AS666</f>
        <v>13.466037210037875</v>
      </c>
      <c r="AD393" s="4">
        <f>'[29]Predicted Coal Prices'!AS666</f>
        <v>4.033112581514966</v>
      </c>
      <c r="AE393" s="4">
        <f>'[30]Predicted Coke Prices'!AS624</f>
        <v>0</v>
      </c>
      <c r="AF393" s="4">
        <f>'[31]Predicted Other Prices'!AT624</f>
        <v>4.484832761626782</v>
      </c>
      <c r="AH393" s="115">
        <f t="shared" ref="AH393:AH428" si="240">SUMPRODUCT(Q393:W393,Z393:AF393)</f>
        <v>5.0603404935071676</v>
      </c>
    </row>
    <row r="394" spans="15:35" x14ac:dyDescent="0.2">
      <c r="Q394" s="17">
        <f t="shared" si="239"/>
        <v>1.8888888888888889E-2</v>
      </c>
      <c r="R394" s="17">
        <f t="shared" si="239"/>
        <v>5.5555555555555558E-3</v>
      </c>
      <c r="S394" s="17">
        <f t="shared" si="239"/>
        <v>0.48444444444444446</v>
      </c>
      <c r="T394" s="17">
        <f t="shared" si="239"/>
        <v>3.3333333333333335E-3</v>
      </c>
      <c r="U394" s="17">
        <f t="shared" si="239"/>
        <v>0.16222222222222221</v>
      </c>
      <c r="V394" s="17">
        <f t="shared" si="239"/>
        <v>0</v>
      </c>
      <c r="W394" s="17">
        <f t="shared" si="239"/>
        <v>0.32555555555555554</v>
      </c>
      <c r="X394" s="26">
        <f t="shared" si="216"/>
        <v>1</v>
      </c>
      <c r="Z394" s="4">
        <f>'[25]Predicted Residual Prices'!AS667</f>
        <v>5.8489681586001128</v>
      </c>
      <c r="AA394" s="4">
        <f>'[26]Predicted Distillate Prices'!AS667</f>
        <v>10.813030606252713</v>
      </c>
      <c r="AB394" s="4">
        <f>'[27]Predicted Gas Prices'!AR667</f>
        <v>3.5447136203270535</v>
      </c>
      <c r="AC394" s="4">
        <f>'[28]Predicted LPG Prices'!AS667</f>
        <v>11.785438709181289</v>
      </c>
      <c r="AD394" s="4">
        <f>'[29]Predicted Coal Prices'!AS667</f>
        <v>3.4890343167684286</v>
      </c>
      <c r="AE394" s="4">
        <f>'[30]Predicted Coke Prices'!AS625</f>
        <v>5.6349999999999998</v>
      </c>
      <c r="AF394" s="4">
        <f>'[31]Predicted Other Prices'!AT625</f>
        <v>2.8432611377015835</v>
      </c>
      <c r="AH394" s="115">
        <f t="shared" si="240"/>
        <v>3.4186928776803991</v>
      </c>
    </row>
    <row r="395" spans="15:35" x14ac:dyDescent="0.2">
      <c r="Q395" s="17">
        <f t="shared" si="239"/>
        <v>2.4630541871921183E-3</v>
      </c>
      <c r="R395" s="17">
        <f t="shared" si="239"/>
        <v>7.3891625615763543E-3</v>
      </c>
      <c r="S395" s="17">
        <f t="shared" si="239"/>
        <v>0.96059113300492605</v>
      </c>
      <c r="T395" s="17">
        <f t="shared" si="239"/>
        <v>2.463054187192118E-2</v>
      </c>
      <c r="U395" s="17">
        <f t="shared" si="239"/>
        <v>0</v>
      </c>
      <c r="V395" s="17">
        <f t="shared" si="239"/>
        <v>0</v>
      </c>
      <c r="W395" s="17">
        <f t="shared" si="239"/>
        <v>4.9261083743842365E-3</v>
      </c>
      <c r="X395" s="26">
        <f t="shared" si="216"/>
        <v>0.99999999999999989</v>
      </c>
      <c r="Z395" s="4">
        <f>'[25]Predicted Residual Prices'!AS668</f>
        <v>8.987096574475725</v>
      </c>
      <c r="AA395" s="4">
        <f>'[26]Predicted Distillate Prices'!AS668</f>
        <v>9.5604496688761351</v>
      </c>
      <c r="AB395" s="4">
        <f>'[27]Predicted Gas Prices'!AR668</f>
        <v>4.3187084320732438</v>
      </c>
      <c r="AC395" s="4">
        <f>'[28]Predicted LPG Prices'!AS668</f>
        <v>11.217667777895684</v>
      </c>
      <c r="AD395" s="4">
        <f>'[29]Predicted Coal Prices'!AS668</f>
        <v>4.4260339331703387</v>
      </c>
      <c r="AE395" s="4">
        <f>'[30]Predicted Coke Prices'!AS626</f>
        <v>0</v>
      </c>
      <c r="AF395" s="4">
        <f>'[31]Predicted Other Prices'!AT626</f>
        <v>2.8418007113401207</v>
      </c>
      <c r="AH395" s="115">
        <f t="shared" si="240"/>
        <v>4.5315887026879462</v>
      </c>
    </row>
    <row r="396" spans="15:35" x14ac:dyDescent="0.2">
      <c r="Q396" s="17">
        <f t="shared" si="239"/>
        <v>2.6542800265428003E-3</v>
      </c>
      <c r="R396" s="17">
        <f t="shared" si="239"/>
        <v>5.3085600530856005E-3</v>
      </c>
      <c r="S396" s="17">
        <f t="shared" si="239"/>
        <v>0.71068347710683477</v>
      </c>
      <c r="T396" s="17">
        <f t="shared" si="239"/>
        <v>5.3085600530856005E-3</v>
      </c>
      <c r="U396" s="17">
        <f t="shared" si="239"/>
        <v>5.3085600530856005E-3</v>
      </c>
      <c r="V396" s="17">
        <f t="shared" si="239"/>
        <v>0</v>
      </c>
      <c r="W396" s="17">
        <f t="shared" si="239"/>
        <v>0.27073656270736562</v>
      </c>
      <c r="X396" s="26">
        <f t="shared" si="216"/>
        <v>1</v>
      </c>
      <c r="Z396" s="4">
        <f>'[25]Predicted Residual Prices'!AS669</f>
        <v>9.7033172767787388</v>
      </c>
      <c r="AA396" s="4">
        <f>'[26]Predicted Distillate Prices'!AS669</f>
        <v>8.0395863543786952</v>
      </c>
      <c r="AB396" s="4">
        <f>'[27]Predicted Gas Prices'!AR669</f>
        <v>3.317436225034843</v>
      </c>
      <c r="AC396" s="4">
        <f>'[28]Predicted LPG Prices'!AS669</f>
        <v>10.882108784356872</v>
      </c>
      <c r="AD396" s="4">
        <f>'[29]Predicted Coal Prices'!AS669</f>
        <v>3.9662740349163106</v>
      </c>
      <c r="AE396" s="4">
        <f>'[30]Predicted Coke Prices'!AS627</f>
        <v>0</v>
      </c>
      <c r="AF396" s="4">
        <f>'[31]Predicted Other Prices'!AT627</f>
        <v>10.459966229153292</v>
      </c>
      <c r="AH396" s="115">
        <f t="shared" si="240"/>
        <v>5.3367998944944848</v>
      </c>
    </row>
    <row r="397" spans="15:35" x14ac:dyDescent="0.2">
      <c r="Q397" s="17">
        <f t="shared" si="239"/>
        <v>3.7678975131876413E-4</v>
      </c>
      <c r="R397" s="17">
        <f t="shared" si="239"/>
        <v>3.7678975131876413E-3</v>
      </c>
      <c r="S397" s="17">
        <f t="shared" si="239"/>
        <v>0.74943481537302181</v>
      </c>
      <c r="T397" s="17">
        <f t="shared" si="239"/>
        <v>1.5071590052750565E-3</v>
      </c>
      <c r="U397" s="17">
        <f t="shared" si="239"/>
        <v>8.9299171062547103E-2</v>
      </c>
      <c r="V397" s="17">
        <f t="shared" si="239"/>
        <v>0</v>
      </c>
      <c r="W397" s="17">
        <f t="shared" si="239"/>
        <v>0.15561416729464958</v>
      </c>
      <c r="X397" s="26">
        <f t="shared" si="216"/>
        <v>1</v>
      </c>
      <c r="Z397" s="4">
        <f>'[25]Predicted Residual Prices'!AS670</f>
        <v>5.3534874468533831</v>
      </c>
      <c r="AA397" s="4">
        <f>'[26]Predicted Distillate Prices'!AS670</f>
        <v>10.869402173943456</v>
      </c>
      <c r="AB397" s="4">
        <f>'[27]Predicted Gas Prices'!AR670</f>
        <v>3.0456885121070996</v>
      </c>
      <c r="AC397" s="4">
        <f>'[28]Predicted LPG Prices'!AS670</f>
        <v>6.4393130041216864</v>
      </c>
      <c r="AD397" s="4">
        <f>'[29]Predicted Coal Prices'!AS670</f>
        <v>2.3740888387811419</v>
      </c>
      <c r="AE397" s="4">
        <f>'[30]Predicted Coke Prices'!AS628</f>
        <v>4.6355099273430165</v>
      </c>
      <c r="AF397" s="4">
        <f>'[31]Predicted Other Prices'!AT628</f>
        <v>4.9164908987866234</v>
      </c>
      <c r="AH397" s="115">
        <f t="shared" si="240"/>
        <v>3.3123018115198946</v>
      </c>
    </row>
    <row r="398" spans="15:35" x14ac:dyDescent="0.2">
      <c r="Q398" s="17">
        <f t="shared" si="239"/>
        <v>0</v>
      </c>
      <c r="R398" s="17">
        <f t="shared" si="239"/>
        <v>1.0604453870625666E-3</v>
      </c>
      <c r="S398" s="17">
        <f t="shared" si="239"/>
        <v>0.95440084835630978</v>
      </c>
      <c r="T398" s="17">
        <f t="shared" si="239"/>
        <v>4.241781548250266E-2</v>
      </c>
      <c r="U398" s="17">
        <f t="shared" si="239"/>
        <v>1.0604453870625666E-3</v>
      </c>
      <c r="V398" s="17">
        <f t="shared" si="239"/>
        <v>0</v>
      </c>
      <c r="W398" s="17">
        <f t="shared" si="239"/>
        <v>1.0604453870625666E-3</v>
      </c>
      <c r="X398" s="26">
        <f t="shared" si="216"/>
        <v>1</v>
      </c>
      <c r="Z398" s="4">
        <f>'[25]Predicted Residual Prices'!AS671</f>
        <v>4.9375047594316506</v>
      </c>
      <c r="AA398" s="4">
        <f>'[26]Predicted Distillate Prices'!AS671</f>
        <v>10.534514371382345</v>
      </c>
      <c r="AB398" s="4">
        <f>'[27]Predicted Gas Prices'!AR671</f>
        <v>4.7394429056650011</v>
      </c>
      <c r="AC398" s="4">
        <f>'[28]Predicted LPG Prices'!AS671</f>
        <v>13.607269385990982</v>
      </c>
      <c r="AD398" s="4">
        <f>'[29]Predicted Coal Prices'!AS671</f>
        <v>6.2617008364370967</v>
      </c>
      <c r="AE398" s="4">
        <f>'[30]Predicted Coke Prices'!AS629</f>
        <v>0</v>
      </c>
      <c r="AF398" s="4">
        <f>'[31]Predicted Other Prices'!AT629</f>
        <v>5.993310333645776</v>
      </c>
      <c r="AH398" s="115">
        <f t="shared" si="240"/>
        <v>5.1246860191724357</v>
      </c>
    </row>
    <row r="399" spans="15:35" x14ac:dyDescent="0.2">
      <c r="Q399" s="17">
        <f t="shared" si="239"/>
        <v>2.8645087367516471E-4</v>
      </c>
      <c r="R399" s="17">
        <f t="shared" si="239"/>
        <v>2.7212832999140645E-2</v>
      </c>
      <c r="S399" s="17">
        <f t="shared" si="239"/>
        <v>0.47694070466914923</v>
      </c>
      <c r="T399" s="17">
        <f t="shared" si="239"/>
        <v>4.2967631051274704E-3</v>
      </c>
      <c r="U399" s="17">
        <f t="shared" si="239"/>
        <v>0.3365797765683185</v>
      </c>
      <c r="V399" s="17">
        <f t="shared" si="239"/>
        <v>2.0051561157261529E-2</v>
      </c>
      <c r="W399" s="17">
        <f t="shared" si="239"/>
        <v>0.13463191062732741</v>
      </c>
      <c r="X399" s="26">
        <f t="shared" si="216"/>
        <v>0.99999999999999989</v>
      </c>
      <c r="Z399" s="4">
        <f>'[25]Predicted Residual Prices'!AS672</f>
        <v>5.5632001401046471</v>
      </c>
      <c r="AA399" s="4">
        <f>'[26]Predicted Distillate Prices'!AS672</f>
        <v>7.9342011200694902</v>
      </c>
      <c r="AB399" s="4">
        <f>'[27]Predicted Gas Prices'!AR672</f>
        <v>3.4126549100122245</v>
      </c>
      <c r="AC399" s="4">
        <f>'[28]Predicted LPG Prices'!AS672</f>
        <v>14.600529057666735</v>
      </c>
      <c r="AD399" s="4">
        <f>'[29]Predicted Coal Prices'!AS672</f>
        <v>3.0403909610277577</v>
      </c>
      <c r="AE399" s="4">
        <f>'[30]Predicted Coke Prices'!AS630</f>
        <v>1.5697154585352107</v>
      </c>
      <c r="AF399" s="4">
        <f>'[31]Predicted Other Prices'!AT630</f>
        <v>1.6824152259767808</v>
      </c>
      <c r="AH399" s="115">
        <f t="shared" si="240"/>
        <v>3.1891908579479309</v>
      </c>
    </row>
    <row r="400" spans="15:35" x14ac:dyDescent="0.2">
      <c r="Q400" s="17">
        <f t="shared" si="239"/>
        <v>1.6277807921866521E-3</v>
      </c>
      <c r="R400" s="17">
        <f t="shared" si="239"/>
        <v>6.5111231687466084E-3</v>
      </c>
      <c r="S400" s="17">
        <f t="shared" si="239"/>
        <v>0.69777536625067826</v>
      </c>
      <c r="T400" s="17">
        <f t="shared" si="239"/>
        <v>3.2555615843733042E-3</v>
      </c>
      <c r="U400" s="17">
        <f t="shared" si="239"/>
        <v>1.9533369506239826E-2</v>
      </c>
      <c r="V400" s="17">
        <f t="shared" si="239"/>
        <v>0.23982637004883342</v>
      </c>
      <c r="W400" s="17">
        <f t="shared" si="239"/>
        <v>3.1470428648941944E-2</v>
      </c>
      <c r="X400" s="26">
        <f t="shared" si="216"/>
        <v>1.0000000000000002</v>
      </c>
      <c r="Z400" s="4">
        <f>'[25]Predicted Residual Prices'!AS673</f>
        <v>7.242080658150793</v>
      </c>
      <c r="AA400" s="4">
        <f>'[26]Predicted Distillate Prices'!AS673</f>
        <v>11.871023982416418</v>
      </c>
      <c r="AB400" s="4">
        <f>'[27]Predicted Gas Prices'!AR673</f>
        <v>3.4604077175555412</v>
      </c>
      <c r="AC400" s="4">
        <f>'[28]Predicted LPG Prices'!AS673</f>
        <v>11.454782884573067</v>
      </c>
      <c r="AD400" s="4">
        <f>'[29]Predicted Coal Prices'!AS673</f>
        <v>4.2956100231290053</v>
      </c>
      <c r="AE400" s="4">
        <f>'[30]Predicted Coke Prices'!AS631</f>
        <v>7.6162130354801567</v>
      </c>
      <c r="AF400" s="4">
        <f>'[31]Predicted Other Prices'!AT631</f>
        <v>2.2185053006692104</v>
      </c>
      <c r="AH400" s="115">
        <f t="shared" si="240"/>
        <v>4.5212550091161159</v>
      </c>
    </row>
    <row r="401" spans="16:34" x14ac:dyDescent="0.2">
      <c r="Q401" s="17">
        <f t="shared" si="239"/>
        <v>0</v>
      </c>
      <c r="R401" s="17">
        <f t="shared" si="239"/>
        <v>9.9502487562189053E-3</v>
      </c>
      <c r="S401" s="17">
        <f t="shared" si="239"/>
        <v>0.95024875621890548</v>
      </c>
      <c r="T401" s="17">
        <f t="shared" si="239"/>
        <v>3.482587064676617E-2</v>
      </c>
      <c r="U401" s="17">
        <f t="shared" si="239"/>
        <v>0</v>
      </c>
      <c r="V401" s="17">
        <f t="shared" si="239"/>
        <v>0</v>
      </c>
      <c r="W401" s="17">
        <f t="shared" si="239"/>
        <v>4.9751243781094526E-3</v>
      </c>
      <c r="X401" s="26">
        <f t="shared" si="216"/>
        <v>0.99999999999999989</v>
      </c>
      <c r="Z401" s="4">
        <f>'[25]Predicted Residual Prices'!AS674</f>
        <v>9.1191485794848894</v>
      </c>
      <c r="AA401" s="4">
        <f>'[26]Predicted Distillate Prices'!AS674</f>
        <v>12.940900149394757</v>
      </c>
      <c r="AB401" s="4">
        <f>'[27]Predicted Gas Prices'!AR674</f>
        <v>3.9944919496146412</v>
      </c>
      <c r="AC401" s="4">
        <f>'[28]Predicted LPG Prices'!AS674</f>
        <v>11.397155039584128</v>
      </c>
      <c r="AD401" s="4">
        <f>'[29]Predicted Coal Prices'!AS674</f>
        <v>4.3981107455857726</v>
      </c>
      <c r="AE401" s="4">
        <f>'[30]Predicted Coke Prices'!AS632</f>
        <v>7.8245657068330772</v>
      </c>
      <c r="AF401" s="4">
        <f>'[31]Predicted Other Prices'!AT632</f>
        <v>6.5608065991569511</v>
      </c>
      <c r="AH401" s="115">
        <f t="shared" si="240"/>
        <v>4.3540828584648343</v>
      </c>
    </row>
    <row r="402" spans="16:34" x14ac:dyDescent="0.2">
      <c r="Q402" s="17">
        <f t="shared" si="239"/>
        <v>1.2033694344163659E-3</v>
      </c>
      <c r="R402" s="17">
        <f t="shared" si="239"/>
        <v>6.0168471720818295E-2</v>
      </c>
      <c r="S402" s="17">
        <f t="shared" si="239"/>
        <v>0.86642599277978349</v>
      </c>
      <c r="T402" s="17">
        <f t="shared" si="239"/>
        <v>3.6101083032490974E-2</v>
      </c>
      <c r="U402" s="17">
        <f t="shared" si="239"/>
        <v>2.4067388688327317E-2</v>
      </c>
      <c r="V402" s="17">
        <f t="shared" si="239"/>
        <v>0</v>
      </c>
      <c r="W402" s="17">
        <f t="shared" si="239"/>
        <v>1.2033694344163659E-2</v>
      </c>
      <c r="X402" s="26">
        <f t="shared" si="216"/>
        <v>1</v>
      </c>
      <c r="Z402" s="4">
        <f>'[25]Predicted Residual Prices'!AS675</f>
        <v>6.8037179035124433</v>
      </c>
      <c r="AA402" s="4">
        <f>'[26]Predicted Distillate Prices'!AS675</f>
        <v>22.255264456215194</v>
      </c>
      <c r="AB402" s="4">
        <f>'[27]Predicted Gas Prices'!AR675</f>
        <v>4.4588177577261652</v>
      </c>
      <c r="AC402" s="4">
        <f>'[28]Predicted LPG Prices'!AS675</f>
        <v>13.509261169503544</v>
      </c>
      <c r="AD402" s="4">
        <f>'[29]Predicted Coal Prices'!AS675</f>
        <v>3.0973440150165166</v>
      </c>
      <c r="AE402" s="4">
        <f>'[30]Predicted Coke Prices'!AS633</f>
        <v>0</v>
      </c>
      <c r="AF402" s="4">
        <f>'[31]Predicted Other Prices'!AT633</f>
        <v>14.550585042073052</v>
      </c>
      <c r="AH402" s="115">
        <f t="shared" si="240"/>
        <v>5.9478294730244023</v>
      </c>
    </row>
    <row r="403" spans="16:34" x14ac:dyDescent="0.2">
      <c r="Q403" s="17">
        <f t="shared" si="239"/>
        <v>3.968253968253968E-3</v>
      </c>
      <c r="R403" s="17">
        <f t="shared" si="239"/>
        <v>1.984126984126984E-2</v>
      </c>
      <c r="S403" s="17">
        <f t="shared" si="239"/>
        <v>0.93253968253968245</v>
      </c>
      <c r="T403" s="17">
        <f t="shared" si="239"/>
        <v>3.968253968253968E-3</v>
      </c>
      <c r="U403" s="17">
        <f t="shared" si="239"/>
        <v>0</v>
      </c>
      <c r="V403" s="17">
        <f t="shared" si="239"/>
        <v>0</v>
      </c>
      <c r="W403" s="17">
        <f t="shared" si="239"/>
        <v>3.968253968253968E-2</v>
      </c>
      <c r="X403" s="26">
        <f t="shared" si="216"/>
        <v>0.99999999999999989</v>
      </c>
      <c r="Z403" s="4">
        <f>'[25]Predicted Residual Prices'!AS676</f>
        <v>11.165602328063192</v>
      </c>
      <c r="AA403" s="4">
        <f>'[26]Predicted Distillate Prices'!AS676</f>
        <v>12.538935641186638</v>
      </c>
      <c r="AB403" s="4">
        <f>'[27]Predicted Gas Prices'!AR676</f>
        <v>4.548631614483492</v>
      </c>
      <c r="AC403" s="4">
        <f>'[28]Predicted LPG Prices'!AS676</f>
        <v>14.394666824846775</v>
      </c>
      <c r="AD403" s="4">
        <f>'[29]Predicted Coal Prices'!AS676</f>
        <v>4.4593982462168817</v>
      </c>
      <c r="AE403" s="4">
        <f>'[30]Predicted Coke Prices'!AS634</f>
        <v>0</v>
      </c>
      <c r="AF403" s="4">
        <f>'[31]Predicted Other Prices'!AT634</f>
        <v>15.891469161432079</v>
      </c>
      <c r="AH403" s="115">
        <f t="shared" si="240"/>
        <v>5.2226113824475568</v>
      </c>
    </row>
    <row r="404" spans="16:34" x14ac:dyDescent="0.2">
      <c r="Q404" s="17">
        <f t="shared" si="239"/>
        <v>0</v>
      </c>
      <c r="R404" s="17">
        <f t="shared" si="239"/>
        <v>9.8039215686274508E-3</v>
      </c>
      <c r="S404" s="17">
        <f t="shared" si="239"/>
        <v>0.88235294117647056</v>
      </c>
      <c r="T404" s="17">
        <f t="shared" si="239"/>
        <v>3.2679738562091505E-2</v>
      </c>
      <c r="U404" s="17">
        <f t="shared" si="239"/>
        <v>0</v>
      </c>
      <c r="V404" s="17">
        <f t="shared" si="239"/>
        <v>9.8039215686274508E-3</v>
      </c>
      <c r="W404" s="17">
        <f t="shared" si="239"/>
        <v>6.535947712418301E-2</v>
      </c>
      <c r="X404" s="26">
        <f t="shared" si="216"/>
        <v>0.99999999999999989</v>
      </c>
      <c r="Z404" s="4">
        <f>'[25]Predicted Residual Prices'!AS677</f>
        <v>14.333607020018015</v>
      </c>
      <c r="AA404" s="4">
        <f>'[26]Predicted Distillate Prices'!AS677</f>
        <v>16.905653803843627</v>
      </c>
      <c r="AB404" s="4">
        <f>'[27]Predicted Gas Prices'!AR677</f>
        <v>3.9897031258454181</v>
      </c>
      <c r="AC404" s="4">
        <f>'[28]Predicted LPG Prices'!AS677</f>
        <v>6.5348010233177849</v>
      </c>
      <c r="AD404" s="4">
        <f>'[29]Predicted Coal Prices'!AS677</f>
        <v>4.4348210091552778</v>
      </c>
      <c r="AE404" s="4">
        <f>'[30]Predicted Coke Prices'!AS635</f>
        <v>0</v>
      </c>
      <c r="AF404" s="4">
        <f>'[31]Predicted Other Prices'!AT635</f>
        <v>6.2633215735770653</v>
      </c>
      <c r="AH404" s="115">
        <f t="shared" si="240"/>
        <v>4.30899100357684</v>
      </c>
    </row>
    <row r="405" spans="16:34" x14ac:dyDescent="0.2">
      <c r="Q405" s="17">
        <f t="shared" si="239"/>
        <v>6.1274509803921576E-3</v>
      </c>
      <c r="R405" s="17">
        <f t="shared" si="239"/>
        <v>2.4509803921568631E-2</v>
      </c>
      <c r="S405" s="17">
        <f t="shared" si="239"/>
        <v>0.88848039215686281</v>
      </c>
      <c r="T405" s="17">
        <f t="shared" si="239"/>
        <v>2.4509803921568631E-2</v>
      </c>
      <c r="U405" s="17">
        <f t="shared" si="239"/>
        <v>6.1274509803921576E-3</v>
      </c>
      <c r="V405" s="17">
        <f t="shared" si="239"/>
        <v>1.2254901960784316E-3</v>
      </c>
      <c r="W405" s="17">
        <f t="shared" si="239"/>
        <v>4.9019607843137261E-2</v>
      </c>
      <c r="X405" s="26">
        <f t="shared" si="216"/>
        <v>1</v>
      </c>
      <c r="Z405" s="4">
        <f>'[25]Predicted Residual Prices'!AS678</f>
        <v>7.0195383073697339</v>
      </c>
      <c r="AA405" s="4">
        <f>'[26]Predicted Distillate Prices'!AS678</f>
        <v>7.4032048799748171</v>
      </c>
      <c r="AB405" s="4">
        <f>'[27]Predicted Gas Prices'!AR678</f>
        <v>4.2027848554592069</v>
      </c>
      <c r="AC405" s="4">
        <f>'[28]Predicted LPG Prices'!AS678</f>
        <v>16.014389291938045</v>
      </c>
      <c r="AD405" s="4">
        <f>'[29]Predicted Coal Prices'!AS678</f>
        <v>4.8149447153477745</v>
      </c>
      <c r="AE405" s="4">
        <f>'[30]Predicted Coke Prices'!AS636</f>
        <v>0</v>
      </c>
      <c r="AF405" s="4">
        <f>'[31]Predicted Other Prices'!AT636</f>
        <v>5.8997140811578381</v>
      </c>
      <c r="AH405" s="115">
        <f t="shared" si="240"/>
        <v>4.6697694632427496</v>
      </c>
    </row>
    <row r="406" spans="16:34" x14ac:dyDescent="0.2">
      <c r="Q406" s="17">
        <f t="shared" si="239"/>
        <v>0</v>
      </c>
      <c r="R406" s="17">
        <f t="shared" si="239"/>
        <v>1.7647058823529412E-2</v>
      </c>
      <c r="S406" s="17">
        <f t="shared" si="239"/>
        <v>0.88235294117647056</v>
      </c>
      <c r="T406" s="17">
        <f t="shared" si="239"/>
        <v>5.8823529411764705E-2</v>
      </c>
      <c r="U406" s="17">
        <f t="shared" si="239"/>
        <v>1.1764705882352941E-2</v>
      </c>
      <c r="V406" s="17">
        <f t="shared" si="239"/>
        <v>0</v>
      </c>
      <c r="W406" s="17">
        <f t="shared" si="239"/>
        <v>2.9411764705882353E-2</v>
      </c>
      <c r="X406" s="26">
        <f t="shared" si="216"/>
        <v>1</v>
      </c>
      <c r="Z406" s="4">
        <f>'[25]Predicted Residual Prices'!AS679</f>
        <v>7.1634604236420829</v>
      </c>
      <c r="AA406" s="4">
        <f>'[26]Predicted Distillate Prices'!AS679</f>
        <v>16.902237251809982</v>
      </c>
      <c r="AB406" s="4">
        <f>'[27]Predicted Gas Prices'!AR679</f>
        <v>4.8642612426281637</v>
      </c>
      <c r="AC406" s="4">
        <f>'[28]Predicted LPG Prices'!AS679</f>
        <v>14.186086878069569</v>
      </c>
      <c r="AD406" s="4">
        <f>'[29]Predicted Coal Prices'!AS679</f>
        <v>3.4742734840961593</v>
      </c>
      <c r="AE406" s="4">
        <f>'[30]Predicted Coke Prices'!AS637</f>
        <v>0</v>
      </c>
      <c r="AF406" s="4">
        <f>'[31]Predicted Other Prices'!AT637</f>
        <v>2.4808300087077053</v>
      </c>
      <c r="AH406" s="115">
        <f t="shared" si="240"/>
        <v>5.5385850820122409</v>
      </c>
    </row>
    <row r="407" spans="16:34" x14ac:dyDescent="0.2">
      <c r="Q407" s="17">
        <f t="shared" si="239"/>
        <v>3.6101083032490976E-3</v>
      </c>
      <c r="R407" s="17">
        <f t="shared" si="239"/>
        <v>1.0830324909747292E-2</v>
      </c>
      <c r="S407" s="17">
        <f t="shared" si="239"/>
        <v>0.93862815884476536</v>
      </c>
      <c r="T407" s="17">
        <f t="shared" si="239"/>
        <v>3.6101083032490974E-2</v>
      </c>
      <c r="U407" s="17">
        <f t="shared" si="239"/>
        <v>0</v>
      </c>
      <c r="V407" s="17">
        <f t="shared" si="239"/>
        <v>0</v>
      </c>
      <c r="W407" s="17">
        <f t="shared" si="239"/>
        <v>1.0830324909747292E-2</v>
      </c>
      <c r="X407" s="26">
        <f t="shared" si="216"/>
        <v>1</v>
      </c>
      <c r="Z407" s="4">
        <f>'[25]Predicted Residual Prices'!AS680</f>
        <v>6.5415749444989117</v>
      </c>
      <c r="AA407" s="4">
        <f>'[26]Predicted Distillate Prices'!AS680</f>
        <v>17.987914301817614</v>
      </c>
      <c r="AB407" s="4">
        <f>'[27]Predicted Gas Prices'!AR680</f>
        <v>4.7002674365219477</v>
      </c>
      <c r="AC407" s="4">
        <f>'[28]Predicted LPG Prices'!AS680</f>
        <v>15.096216708119648</v>
      </c>
      <c r="AD407" s="4">
        <f>'[29]Predicted Coal Prices'!AS680</f>
        <v>4.4462535653669928</v>
      </c>
      <c r="AE407" s="4">
        <f>'[30]Predicted Coke Prices'!AS638</f>
        <v>0</v>
      </c>
      <c r="AF407" s="4">
        <f>'[31]Predicted Other Prices'!AT638</f>
        <v>7.1847446116600127</v>
      </c>
      <c r="AH407" s="115">
        <f t="shared" si="240"/>
        <v>5.253037011775576</v>
      </c>
    </row>
    <row r="408" spans="16:34" x14ac:dyDescent="0.2">
      <c r="P408">
        <v>2017</v>
      </c>
      <c r="Q408" s="17">
        <f>Q345</f>
        <v>5.1347881899871627E-3</v>
      </c>
      <c r="R408" s="17">
        <f t="shared" ref="R408:W408" si="241">R345</f>
        <v>2.5673940949935817E-2</v>
      </c>
      <c r="S408" s="17">
        <f t="shared" si="241"/>
        <v>0.73170731707317072</v>
      </c>
      <c r="T408" s="17">
        <f t="shared" si="241"/>
        <v>7.7021822849807449E-3</v>
      </c>
      <c r="U408" s="17">
        <f t="shared" si="241"/>
        <v>0.14120667522464697</v>
      </c>
      <c r="V408" s="17">
        <f t="shared" si="241"/>
        <v>1.2836970474967907E-3</v>
      </c>
      <c r="W408" s="17">
        <f t="shared" si="241"/>
        <v>8.7291399229781769E-2</v>
      </c>
      <c r="X408" s="26">
        <f t="shared" si="216"/>
        <v>0.99999999999999989</v>
      </c>
      <c r="Z408" s="4">
        <f>'[25]Predicted Residual Prices'!AS681</f>
        <v>8.1840593432836979</v>
      </c>
      <c r="AA408" s="4">
        <f>'[26]Predicted Distillate Prices'!AS681</f>
        <v>13.489536217079671</v>
      </c>
      <c r="AB408" s="4">
        <f>'[27]Predicted Gas Prices'!AR681</f>
        <v>3.9893261762010823</v>
      </c>
      <c r="AC408" s="4">
        <f>'[28]Predicted LPG Prices'!AS681</f>
        <v>14.084118410047306</v>
      </c>
      <c r="AD408" s="4">
        <f>'[29]Predicted Coal Prices'!AS681</f>
        <v>2.5809307682830891</v>
      </c>
      <c r="AE408" s="4">
        <f>'[30]Predicted Coke Prices'!AS639</f>
        <v>15.306318748235023</v>
      </c>
      <c r="AF408" s="4">
        <f>'[31]Predicted Other Prices'!AT639</f>
        <v>6.6763096437662934</v>
      </c>
      <c r="AH408" s="115">
        <f t="shared" si="240"/>
        <v>4.3827283076317229</v>
      </c>
    </row>
    <row r="409" spans="16:34" x14ac:dyDescent="0.2">
      <c r="Q409" s="17">
        <f t="shared" ref="Q409:W409" si="242">Q346</f>
        <v>8.130081300813009E-3</v>
      </c>
      <c r="R409" s="17">
        <f t="shared" si="242"/>
        <v>1.6260162601626018E-2</v>
      </c>
      <c r="S409" s="17">
        <f t="shared" si="242"/>
        <v>0.78048780487804881</v>
      </c>
      <c r="T409" s="17">
        <f t="shared" si="242"/>
        <v>1.6260162601626018E-2</v>
      </c>
      <c r="U409" s="17">
        <f t="shared" si="242"/>
        <v>0.11382113821138211</v>
      </c>
      <c r="V409" s="17">
        <f t="shared" si="242"/>
        <v>0</v>
      </c>
      <c r="W409" s="17">
        <f t="shared" si="242"/>
        <v>6.5040650406504072E-2</v>
      </c>
      <c r="X409" s="26">
        <f t="shared" si="216"/>
        <v>1</v>
      </c>
      <c r="Z409" s="4">
        <f>'[25]Predicted Residual Prices'!AS682</f>
        <v>5.9476041137405948</v>
      </c>
      <c r="AA409" s="4">
        <f>'[26]Predicted Distillate Prices'!AS682</f>
        <v>9.8923461387566149</v>
      </c>
      <c r="AB409" s="4">
        <f>'[27]Predicted Gas Prices'!AR682</f>
        <v>3.7798379080924747</v>
      </c>
      <c r="AC409" s="4">
        <f>'[28]Predicted LPG Prices'!AS682</f>
        <v>16.03029252977327</v>
      </c>
      <c r="AD409" s="4">
        <f>'[29]Predicted Coal Prices'!AS682</f>
        <v>4.2529558853209588</v>
      </c>
      <c r="AE409" s="4">
        <f>'[30]Predicted Coke Prices'!AS640</f>
        <v>0</v>
      </c>
      <c r="AF409" s="4">
        <f>'[31]Predicted Other Prices'!AT640</f>
        <v>6.6732716202373377</v>
      </c>
      <c r="AH409" s="115">
        <f t="shared" si="240"/>
        <v>4.3380884226347165</v>
      </c>
    </row>
    <row r="410" spans="16:34" x14ac:dyDescent="0.2">
      <c r="Q410" s="17">
        <f t="shared" ref="Q410:W410" si="243">Q347</f>
        <v>1.8050541516245488E-3</v>
      </c>
      <c r="R410" s="17">
        <f t="shared" si="243"/>
        <v>5.415162454873646E-3</v>
      </c>
      <c r="S410" s="17">
        <f t="shared" si="243"/>
        <v>0.64981949458483756</v>
      </c>
      <c r="T410" s="17">
        <f t="shared" si="243"/>
        <v>1.8050541516245487E-2</v>
      </c>
      <c r="U410" s="17">
        <f t="shared" si="243"/>
        <v>0.10830324909747292</v>
      </c>
      <c r="V410" s="17">
        <f t="shared" si="243"/>
        <v>0</v>
      </c>
      <c r="W410" s="17">
        <f t="shared" si="243"/>
        <v>0.21660649819494585</v>
      </c>
      <c r="X410" s="26">
        <f t="shared" si="216"/>
        <v>1</v>
      </c>
      <c r="Z410" s="4">
        <f>'[25]Predicted Residual Prices'!AS683</f>
        <v>7.0248859283348626</v>
      </c>
      <c r="AA410" s="4">
        <f>'[26]Predicted Distillate Prices'!AS683</f>
        <v>14.481624009826524</v>
      </c>
      <c r="AB410" s="4">
        <f>'[27]Predicted Gas Prices'!AR683</f>
        <v>4.7671443824870554</v>
      </c>
      <c r="AC410" s="4">
        <f>'[28]Predicted LPG Prices'!AS683</f>
        <v>14.33384317574879</v>
      </c>
      <c r="AD410" s="4">
        <f>'[29]Predicted Coal Prices'!AS683</f>
        <v>5</v>
      </c>
      <c r="AE410" s="4">
        <f>'[30]Predicted Coke Prices'!AS641</f>
        <v>0</v>
      </c>
      <c r="AF410" s="4">
        <f>'[31]Predicted Other Prices'!AT641</f>
        <v>1.7895515444095027</v>
      </c>
      <c r="AH410" s="115">
        <f t="shared" si="240"/>
        <v>4.3767623695663946</v>
      </c>
    </row>
    <row r="411" spans="16:34" x14ac:dyDescent="0.2">
      <c r="Q411" s="17">
        <f t="shared" ref="Q411:W411" si="244">Q348</f>
        <v>4.8309178743961359E-3</v>
      </c>
      <c r="R411" s="17">
        <f t="shared" si="244"/>
        <v>0.14492753623188406</v>
      </c>
      <c r="S411" s="17">
        <f t="shared" si="244"/>
        <v>0.77294685990338163</v>
      </c>
      <c r="T411" s="17">
        <f t="shared" si="244"/>
        <v>1.9323671497584544E-2</v>
      </c>
      <c r="U411" s="17">
        <f t="shared" si="244"/>
        <v>4.8309178743961352E-2</v>
      </c>
      <c r="V411" s="17">
        <f t="shared" si="244"/>
        <v>0</v>
      </c>
      <c r="W411" s="17">
        <f t="shared" si="244"/>
        <v>9.6618357487922718E-3</v>
      </c>
      <c r="X411" s="26">
        <f t="shared" ref="X411:X429" si="245">SUM(Q411:W411)</f>
        <v>1</v>
      </c>
      <c r="Z411" s="4">
        <f>'[25]Predicted Residual Prices'!AS684</f>
        <v>7.0641048852440207</v>
      </c>
      <c r="AA411" s="4">
        <f>'[26]Predicted Distillate Prices'!AS684</f>
        <v>13.132754097967617</v>
      </c>
      <c r="AB411" s="4">
        <f>'[27]Predicted Gas Prices'!AR684</f>
        <v>4.9685443353271124</v>
      </c>
      <c r="AC411" s="4">
        <f>'[28]Predicted LPG Prices'!AS684</f>
        <v>13.790692827164349</v>
      </c>
      <c r="AD411" s="4">
        <f>'[29]Predicted Coal Prices'!AS684</f>
        <v>5.2774023241804713</v>
      </c>
      <c r="AE411" s="4">
        <f>'[30]Predicted Coke Prices'!AS642</f>
        <v>0</v>
      </c>
      <c r="AF411" s="4">
        <f>'[31]Predicted Other Prices'!AT642</f>
        <v>6.2212801373238964</v>
      </c>
      <c r="AH411" s="115">
        <f t="shared" si="240"/>
        <v>6.3593873251290836</v>
      </c>
    </row>
    <row r="412" spans="16:34" x14ac:dyDescent="0.2">
      <c r="Q412" s="17">
        <f t="shared" ref="Q412:W412" si="246">Q349</f>
        <v>0</v>
      </c>
      <c r="R412" s="17">
        <f t="shared" si="246"/>
        <v>4.3478260869565216E-2</v>
      </c>
      <c r="S412" s="17">
        <f t="shared" si="246"/>
        <v>0.86956521739130421</v>
      </c>
      <c r="T412" s="17">
        <f t="shared" si="246"/>
        <v>4.3478260869565216E-2</v>
      </c>
      <c r="U412" s="17">
        <f t="shared" si="246"/>
        <v>0</v>
      </c>
      <c r="V412" s="17">
        <f t="shared" si="246"/>
        <v>0</v>
      </c>
      <c r="W412" s="17">
        <f t="shared" si="246"/>
        <v>4.3478260869565216E-2</v>
      </c>
      <c r="X412" s="26">
        <f t="shared" si="245"/>
        <v>0.99999999999999978</v>
      </c>
      <c r="Z412" s="4">
        <f>'[25]Predicted Residual Prices'!AS685</f>
        <v>10.57445639171309</v>
      </c>
      <c r="AA412" s="4">
        <f>'[26]Predicted Distillate Prices'!AS685</f>
        <v>24.44</v>
      </c>
      <c r="AB412" s="4">
        <f>'[27]Predicted Gas Prices'!AR685</f>
        <v>5.2777357424474918</v>
      </c>
      <c r="AC412" s="4">
        <f>'[28]Predicted LPG Prices'!AS685</f>
        <v>15.468103515866769</v>
      </c>
      <c r="AD412" s="4">
        <f>'[29]Predicted Coal Prices'!AS685</f>
        <v>5.2821612106298712</v>
      </c>
      <c r="AE412" s="4">
        <f>'[30]Predicted Coke Prices'!AS643</f>
        <v>0</v>
      </c>
      <c r="AF412" s="4">
        <f>'[31]Predicted Other Prices'!AT643</f>
        <v>5.143316961951192</v>
      </c>
      <c r="AH412" s="115">
        <f t="shared" si="240"/>
        <v>6.5480928402942506</v>
      </c>
    </row>
    <row r="413" spans="16:34" x14ac:dyDescent="0.2">
      <c r="Q413" s="17">
        <f t="shared" ref="Q413:W413" si="247">Q350</f>
        <v>5.8823529411764712E-2</v>
      </c>
      <c r="R413" s="17">
        <f t="shared" si="247"/>
        <v>0.11764705882352942</v>
      </c>
      <c r="S413" s="17">
        <f t="shared" si="247"/>
        <v>0.58823529411764708</v>
      </c>
      <c r="T413" s="17">
        <f t="shared" si="247"/>
        <v>0.11764705882352942</v>
      </c>
      <c r="U413" s="17">
        <f t="shared" si="247"/>
        <v>0</v>
      </c>
      <c r="V413" s="17">
        <f t="shared" si="247"/>
        <v>0</v>
      </c>
      <c r="W413" s="17">
        <f t="shared" si="247"/>
        <v>0.11764705882352942</v>
      </c>
      <c r="X413" s="26">
        <f t="shared" si="245"/>
        <v>1</v>
      </c>
      <c r="Z413" s="4">
        <f>'[25]Predicted Residual Prices'!AS686</f>
        <v>11.073543882851572</v>
      </c>
      <c r="AA413" s="4">
        <f>'[26]Predicted Distillate Prices'!AS686</f>
        <v>14.130400948432914</v>
      </c>
      <c r="AB413" s="4">
        <f>'[27]Predicted Gas Prices'!AR686</f>
        <v>4.8825179257596245</v>
      </c>
      <c r="AC413" s="4">
        <f>'[28]Predicted LPG Prices'!AS686</f>
        <v>11.625124813665471</v>
      </c>
      <c r="AD413" s="4">
        <f>'[29]Predicted Coal Prices'!AS686</f>
        <v>4.1808724504754196</v>
      </c>
      <c r="AE413" s="4">
        <f>'[30]Predicted Coke Prices'!AS644</f>
        <v>0</v>
      </c>
      <c r="AF413" s="4">
        <f>'[31]Predicted Other Prices'!AT644</f>
        <v>5.0716584809755965</v>
      </c>
      <c r="AH413" s="115">
        <f t="shared" si="240"/>
        <v>7.1501818603879874</v>
      </c>
    </row>
    <row r="414" spans="16:34" x14ac:dyDescent="0.2">
      <c r="Q414" s="17">
        <f t="shared" ref="Q414:W414" si="248">Q351</f>
        <v>9.3370681605975739E-4</v>
      </c>
      <c r="R414" s="17">
        <f t="shared" si="248"/>
        <v>9.3370681605975725E-2</v>
      </c>
      <c r="S414" s="17">
        <f t="shared" si="248"/>
        <v>0.45751633986928109</v>
      </c>
      <c r="T414" s="17">
        <f t="shared" si="248"/>
        <v>2.8011204481792718E-2</v>
      </c>
      <c r="U414" s="17">
        <f t="shared" si="248"/>
        <v>9.3370681605975722E-3</v>
      </c>
      <c r="V414" s="17">
        <f t="shared" si="248"/>
        <v>0</v>
      </c>
      <c r="W414" s="17">
        <f t="shared" si="248"/>
        <v>0.41083099906629322</v>
      </c>
      <c r="X414" s="26">
        <f t="shared" si="245"/>
        <v>1</v>
      </c>
      <c r="Z414" s="4">
        <f>'[25]Predicted Residual Prices'!AS687</f>
        <v>8.6713711688785935</v>
      </c>
      <c r="AA414" s="4">
        <f>'[26]Predicted Distillate Prices'!AS687</f>
        <v>11.806096753149067</v>
      </c>
      <c r="AB414" s="4">
        <f>'[27]Predicted Gas Prices'!AR687</f>
        <v>4.5178787328849799</v>
      </c>
      <c r="AC414" s="4">
        <f>'[28]Predicted LPG Prices'!AS687</f>
        <v>15.44571472267887</v>
      </c>
      <c r="AD414" s="4">
        <f>'[29]Predicted Coal Prices'!AS687</f>
        <v>4.7343240684005279</v>
      </c>
      <c r="AE414" s="4">
        <f>'[30]Predicted Coke Prices'!AS645</f>
        <v>0</v>
      </c>
      <c r="AF414" s="4">
        <f>'[31]Predicted Other Prices'!AT645</f>
        <v>4.3059186493071699</v>
      </c>
      <c r="AH414" s="115">
        <f t="shared" si="240"/>
        <v>5.4233058017338482</v>
      </c>
    </row>
    <row r="415" spans="16:34" x14ac:dyDescent="0.2">
      <c r="Q415" s="17">
        <f t="shared" ref="Q415:W415" si="249">Q352</f>
        <v>1.8888888888888889E-2</v>
      </c>
      <c r="R415" s="17">
        <f t="shared" si="249"/>
        <v>5.5555555555555558E-3</v>
      </c>
      <c r="S415" s="17">
        <f t="shared" si="249"/>
        <v>0.48444444444444446</v>
      </c>
      <c r="T415" s="17">
        <f t="shared" si="249"/>
        <v>3.3333333333333335E-3</v>
      </c>
      <c r="U415" s="17">
        <f t="shared" si="249"/>
        <v>0.16222222222222221</v>
      </c>
      <c r="V415" s="17">
        <f t="shared" si="249"/>
        <v>0</v>
      </c>
      <c r="W415" s="17">
        <f t="shared" si="249"/>
        <v>0.32555555555555554</v>
      </c>
      <c r="X415" s="26">
        <f t="shared" si="245"/>
        <v>1</v>
      </c>
      <c r="Z415" s="4">
        <f>'[25]Predicted Residual Prices'!AS688</f>
        <v>8.0947129012030921</v>
      </c>
      <c r="AA415" s="4">
        <f>'[26]Predicted Distillate Prices'!AS688</f>
        <v>11.961675573910298</v>
      </c>
      <c r="AB415" s="4">
        <f>'[27]Predicted Gas Prices'!AR688</f>
        <v>3.9218520821229621</v>
      </c>
      <c r="AC415" s="4">
        <f>'[28]Predicted LPG Prices'!AS688</f>
        <v>14.921936362805829</v>
      </c>
      <c r="AD415" s="4">
        <f>'[29]Predicted Coal Prices'!AS688</f>
        <v>3.7059530954003632</v>
      </c>
      <c r="AE415" s="4">
        <f>'[30]Predicted Coke Prices'!AS646</f>
        <v>6.3500000000000005</v>
      </c>
      <c r="AF415" s="4">
        <f>'[31]Predicted Other Prices'!AT646</f>
        <v>3.4282025825683173</v>
      </c>
      <c r="AH415" s="115">
        <f t="shared" si="240"/>
        <v>3.8862714696722254</v>
      </c>
    </row>
    <row r="416" spans="16:34" x14ac:dyDescent="0.2">
      <c r="Q416" s="17">
        <f t="shared" ref="Q416:W416" si="250">Q353</f>
        <v>2.4630541871921183E-3</v>
      </c>
      <c r="R416" s="17">
        <f t="shared" si="250"/>
        <v>7.3891625615763543E-3</v>
      </c>
      <c r="S416" s="17">
        <f t="shared" si="250"/>
        <v>0.96059113300492605</v>
      </c>
      <c r="T416" s="17">
        <f t="shared" si="250"/>
        <v>2.463054187192118E-2</v>
      </c>
      <c r="U416" s="17">
        <f t="shared" si="250"/>
        <v>0</v>
      </c>
      <c r="V416" s="17">
        <f t="shared" si="250"/>
        <v>0</v>
      </c>
      <c r="W416" s="17">
        <f t="shared" si="250"/>
        <v>4.9261083743842365E-3</v>
      </c>
      <c r="X416" s="26">
        <f t="shared" si="245"/>
        <v>0.99999999999999989</v>
      </c>
      <c r="Z416" s="4">
        <f>'[25]Predicted Residual Prices'!AS689</f>
        <v>9.2317736231711738</v>
      </c>
      <c r="AA416" s="4">
        <f>'[26]Predicted Distillate Prices'!AS689</f>
        <v>11.641281758983904</v>
      </c>
      <c r="AB416" s="4">
        <f>'[27]Predicted Gas Prices'!AR689</f>
        <v>4.9850789553931385</v>
      </c>
      <c r="AC416" s="4">
        <f>'[28]Predicted LPG Prices'!AS689</f>
        <v>12.634335549901968</v>
      </c>
      <c r="AD416" s="4">
        <f>'[29]Predicted Coal Prices'!AS689</f>
        <v>4.6745619042645901</v>
      </c>
      <c r="AE416" s="4">
        <f>'[30]Predicted Coke Prices'!AS647</f>
        <v>0</v>
      </c>
      <c r="AF416" s="4">
        <f>'[31]Predicted Other Prices'!AT647</f>
        <v>3.4285486308383502</v>
      </c>
      <c r="AH416" s="115">
        <f t="shared" si="240"/>
        <v>5.2254602568082351</v>
      </c>
    </row>
    <row r="417" spans="16:34" x14ac:dyDescent="0.2">
      <c r="Q417" s="17">
        <f t="shared" ref="Q417:W417" si="251">Q354</f>
        <v>2.6542800265428003E-3</v>
      </c>
      <c r="R417" s="17">
        <f t="shared" si="251"/>
        <v>5.3085600530856005E-3</v>
      </c>
      <c r="S417" s="17">
        <f t="shared" si="251"/>
        <v>0.71068347710683477</v>
      </c>
      <c r="T417" s="17">
        <f t="shared" si="251"/>
        <v>5.3085600530856005E-3</v>
      </c>
      <c r="U417" s="17">
        <f t="shared" si="251"/>
        <v>5.3085600530856005E-3</v>
      </c>
      <c r="V417" s="17">
        <f t="shared" si="251"/>
        <v>0</v>
      </c>
      <c r="W417" s="17">
        <f t="shared" si="251"/>
        <v>0.27073656270736562</v>
      </c>
      <c r="X417" s="26">
        <f t="shared" si="245"/>
        <v>1</v>
      </c>
      <c r="Z417" s="4">
        <f>'[25]Predicted Residual Prices'!AS690</f>
        <v>9.9300632639942421</v>
      </c>
      <c r="AA417" s="4">
        <f>'[26]Predicted Distillate Prices'!AS690</f>
        <v>10.738590793153584</v>
      </c>
      <c r="AB417" s="4">
        <f>'[27]Predicted Gas Prices'!AR690</f>
        <v>3.8020166687146912</v>
      </c>
      <c r="AC417" s="4">
        <f>'[28]Predicted LPG Prices'!AS690</f>
        <v>14.361327328096106</v>
      </c>
      <c r="AD417" s="4">
        <f>'[29]Predicted Coal Prices'!AS690</f>
        <v>4.5957540146903062</v>
      </c>
      <c r="AE417" s="4">
        <f>'[30]Predicted Coke Prices'!AS648</f>
        <v>0</v>
      </c>
      <c r="AF417" s="4">
        <f>'[31]Predicted Other Prices'!AT648</f>
        <v>10.895640813572886</v>
      </c>
      <c r="AH417" s="115">
        <f t="shared" si="240"/>
        <v>5.8358771959354137</v>
      </c>
    </row>
    <row r="418" spans="16:34" x14ac:dyDescent="0.2">
      <c r="Q418" s="17">
        <f t="shared" ref="Q418:W418" si="252">Q355</f>
        <v>3.7678975131876413E-4</v>
      </c>
      <c r="R418" s="17">
        <f t="shared" si="252"/>
        <v>3.7678975131876413E-3</v>
      </c>
      <c r="S418" s="17">
        <f t="shared" si="252"/>
        <v>0.74943481537302181</v>
      </c>
      <c r="T418" s="17">
        <f t="shared" si="252"/>
        <v>1.5071590052750565E-3</v>
      </c>
      <c r="U418" s="17">
        <f t="shared" si="252"/>
        <v>8.9299171062547103E-2</v>
      </c>
      <c r="V418" s="17">
        <f t="shared" si="252"/>
        <v>0</v>
      </c>
      <c r="W418" s="17">
        <f t="shared" si="252"/>
        <v>0.15561416729464958</v>
      </c>
      <c r="X418" s="26">
        <f t="shared" si="245"/>
        <v>1</v>
      </c>
      <c r="Z418" s="4">
        <f>'[25]Predicted Residual Prices'!AS691</f>
        <v>7.2798895360823606</v>
      </c>
      <c r="AA418" s="4">
        <f>'[26]Predicted Distillate Prices'!AS691</f>
        <v>12.455617307355961</v>
      </c>
      <c r="AB418" s="4">
        <f>'[27]Predicted Gas Prices'!AR691</f>
        <v>3.5142218575253517</v>
      </c>
      <c r="AC418" s="4">
        <f>'[28]Predicted LPG Prices'!AS691</f>
        <v>9.0006027888221336</v>
      </c>
      <c r="AD418" s="4">
        <f>'[29]Predicted Coal Prices'!AS691</f>
        <v>2.8454682755874305</v>
      </c>
      <c r="AE418" s="4">
        <f>'[30]Predicted Coke Prices'!AS649</f>
        <v>5.5471142511157217</v>
      </c>
      <c r="AF418" s="4">
        <f>'[31]Predicted Other Prices'!AT649</f>
        <v>5.9295407309258019</v>
      </c>
      <c r="AH418" s="115">
        <f t="shared" si="240"/>
        <v>3.8737385273434177</v>
      </c>
    </row>
    <row r="419" spans="16:34" x14ac:dyDescent="0.2">
      <c r="Q419" s="17">
        <f t="shared" ref="Q419:W419" si="253">Q356</f>
        <v>0</v>
      </c>
      <c r="R419" s="17">
        <f t="shared" si="253"/>
        <v>1.0604453870625666E-3</v>
      </c>
      <c r="S419" s="17">
        <f t="shared" si="253"/>
        <v>0.95440084835630978</v>
      </c>
      <c r="T419" s="17">
        <f t="shared" si="253"/>
        <v>4.241781548250266E-2</v>
      </c>
      <c r="U419" s="17">
        <f t="shared" si="253"/>
        <v>1.0604453870625666E-3</v>
      </c>
      <c r="V419" s="17">
        <f t="shared" si="253"/>
        <v>0</v>
      </c>
      <c r="W419" s="17">
        <f t="shared" si="253"/>
        <v>1.0604453870625666E-3</v>
      </c>
      <c r="X419" s="26">
        <f t="shared" si="245"/>
        <v>1</v>
      </c>
      <c r="Z419" s="4">
        <f>'[25]Predicted Residual Prices'!AS692</f>
        <v>7.0906658260387321</v>
      </c>
      <c r="AA419" s="4">
        <f>'[26]Predicted Distillate Prices'!AS692</f>
        <v>12.73647880470735</v>
      </c>
      <c r="AB419" s="4">
        <f>'[27]Predicted Gas Prices'!AR692</f>
        <v>5.1705447725880092</v>
      </c>
      <c r="AC419" s="4">
        <f>'[28]Predicted LPG Prices'!AS692</f>
        <v>14.536602616638579</v>
      </c>
      <c r="AD419" s="4">
        <f>'[29]Predicted Coal Prices'!AS692</f>
        <v>5.9845854383797326</v>
      </c>
      <c r="AE419" s="4">
        <f>'[30]Predicted Coke Prices'!AS650</f>
        <v>0</v>
      </c>
      <c r="AF419" s="4">
        <f>'[31]Predicted Other Prices'!AT650</f>
        <v>5.9821461516736143</v>
      </c>
      <c r="AH419" s="115">
        <f t="shared" si="240"/>
        <v>5.5775796504660784</v>
      </c>
    </row>
    <row r="420" spans="16:34" x14ac:dyDescent="0.2">
      <c r="Q420" s="17">
        <f t="shared" ref="Q420:W420" si="254">Q357</f>
        <v>2.8645087367516471E-4</v>
      </c>
      <c r="R420" s="17">
        <f t="shared" si="254"/>
        <v>2.7212832999140645E-2</v>
      </c>
      <c r="S420" s="17">
        <f t="shared" si="254"/>
        <v>0.47694070466914923</v>
      </c>
      <c r="T420" s="17">
        <f t="shared" si="254"/>
        <v>4.2967631051274704E-3</v>
      </c>
      <c r="U420" s="17">
        <f t="shared" si="254"/>
        <v>0.3365797765683185</v>
      </c>
      <c r="V420" s="17">
        <f t="shared" si="254"/>
        <v>2.0051561157261529E-2</v>
      </c>
      <c r="W420" s="17">
        <f t="shared" si="254"/>
        <v>0.13463191062732741</v>
      </c>
      <c r="X420" s="26">
        <f t="shared" si="245"/>
        <v>0.99999999999999989</v>
      </c>
      <c r="Z420" s="4">
        <f>'[25]Predicted Residual Prices'!AS693</f>
        <v>7.5806243667360018</v>
      </c>
      <c r="AA420" s="4">
        <f>'[26]Predicted Distillate Prices'!AS693</f>
        <v>10.663886477804446</v>
      </c>
      <c r="AB420" s="4">
        <f>'[27]Predicted Gas Prices'!AR693</f>
        <v>3.8464556979570492</v>
      </c>
      <c r="AC420" s="4">
        <f>'[28]Predicted LPG Prices'!AS693</f>
        <v>15.921579945447428</v>
      </c>
      <c r="AD420" s="4">
        <f>'[29]Predicted Coal Prices'!AS693</f>
        <v>3.2307422599211013</v>
      </c>
      <c r="AE420" s="4">
        <f>'[30]Predicted Coke Prices'!AS651</f>
        <v>2.1648311707310532</v>
      </c>
      <c r="AF420" s="4">
        <f>'[31]Predicted Other Prices'!AT651</f>
        <v>1.9971285967635832</v>
      </c>
      <c r="AH420" s="115">
        <f t="shared" si="240"/>
        <v>3.594996578022259</v>
      </c>
    </row>
    <row r="421" spans="16:34" x14ac:dyDescent="0.2">
      <c r="Q421" s="17">
        <f t="shared" ref="Q421:W421" si="255">Q358</f>
        <v>1.6277807921866521E-3</v>
      </c>
      <c r="R421" s="17">
        <f t="shared" si="255"/>
        <v>6.5111231687466084E-3</v>
      </c>
      <c r="S421" s="17">
        <f t="shared" si="255"/>
        <v>0.69777536625067826</v>
      </c>
      <c r="T421" s="17">
        <f t="shared" si="255"/>
        <v>3.2555615843733042E-3</v>
      </c>
      <c r="U421" s="17">
        <f t="shared" si="255"/>
        <v>1.9533369506239826E-2</v>
      </c>
      <c r="V421" s="17">
        <f t="shared" si="255"/>
        <v>0.23982637004883342</v>
      </c>
      <c r="W421" s="17">
        <f t="shared" si="255"/>
        <v>3.1470428648941944E-2</v>
      </c>
      <c r="X421" s="26">
        <f t="shared" si="245"/>
        <v>1.0000000000000002</v>
      </c>
      <c r="Z421" s="4">
        <f>'[25]Predicted Residual Prices'!AS694</f>
        <v>7.5369992210401779</v>
      </c>
      <c r="AA421" s="4">
        <f>'[26]Predicted Distillate Prices'!AS694</f>
        <v>11.828583151418991</v>
      </c>
      <c r="AB421" s="4">
        <f>'[27]Predicted Gas Prices'!AR694</f>
        <v>3.7198918980624116</v>
      </c>
      <c r="AC421" s="4">
        <f>'[28]Predicted LPG Prices'!AS694</f>
        <v>12.975534302376683</v>
      </c>
      <c r="AD421" s="4">
        <f>'[29]Predicted Coal Prices'!AS694</f>
        <v>4.9442542925189841</v>
      </c>
      <c r="AE421" s="4">
        <f>'[30]Predicted Coke Prices'!AS652</f>
        <v>7.8417538097952288</v>
      </c>
      <c r="AF421" s="4">
        <f>'[31]Predicted Other Prices'!AT652</f>
        <v>2.787906632677605</v>
      </c>
      <c r="AH421" s="115">
        <f t="shared" si="240"/>
        <v>4.7921514407803292</v>
      </c>
    </row>
    <row r="422" spans="16:34" x14ac:dyDescent="0.2">
      <c r="Q422" s="17">
        <f t="shared" ref="Q422:W422" si="256">Q359</f>
        <v>0</v>
      </c>
      <c r="R422" s="17">
        <f t="shared" si="256"/>
        <v>9.9502487562189053E-3</v>
      </c>
      <c r="S422" s="17">
        <f t="shared" si="256"/>
        <v>0.95024875621890548</v>
      </c>
      <c r="T422" s="17">
        <f t="shared" si="256"/>
        <v>3.482587064676617E-2</v>
      </c>
      <c r="U422" s="17">
        <f t="shared" si="256"/>
        <v>0</v>
      </c>
      <c r="V422" s="17">
        <f t="shared" si="256"/>
        <v>0</v>
      </c>
      <c r="W422" s="17">
        <f t="shared" si="256"/>
        <v>4.9751243781094526E-3</v>
      </c>
      <c r="X422" s="26">
        <f t="shared" si="245"/>
        <v>0.99999999999999989</v>
      </c>
      <c r="Z422" s="4">
        <f>'[25]Predicted Residual Prices'!AS695</f>
        <v>9.8941441574448099</v>
      </c>
      <c r="AA422" s="4">
        <f>'[26]Predicted Distillate Prices'!AS695</f>
        <v>15.416369102887977</v>
      </c>
      <c r="AB422" s="4">
        <f>'[27]Predicted Gas Prices'!AR695</f>
        <v>4.5556816015385291</v>
      </c>
      <c r="AC422" s="4">
        <f>'[28]Predicted LPG Prices'!AS695</f>
        <v>12.650976122563661</v>
      </c>
      <c r="AD422" s="4">
        <f>'[29]Predicted Coal Prices'!AS695</f>
        <v>5.1366443208080508</v>
      </c>
      <c r="AE422" s="4">
        <f>'[30]Predicted Coke Prices'!AS653</f>
        <v>7.8761569431430694</v>
      </c>
      <c r="AF422" s="4">
        <f>'[31]Predicted Other Prices'!AT653</f>
        <v>7.1839791945347571</v>
      </c>
      <c r="AH422" s="115">
        <f t="shared" si="240"/>
        <v>4.9587499311050518</v>
      </c>
    </row>
    <row r="423" spans="16:34" x14ac:dyDescent="0.2">
      <c r="Q423" s="17">
        <f t="shared" ref="Q423:W423" si="257">Q360</f>
        <v>1.2033694344163659E-3</v>
      </c>
      <c r="R423" s="17">
        <f t="shared" si="257"/>
        <v>6.0168471720818295E-2</v>
      </c>
      <c r="S423" s="17">
        <f t="shared" si="257"/>
        <v>0.86642599277978349</v>
      </c>
      <c r="T423" s="17">
        <f t="shared" si="257"/>
        <v>3.6101083032490974E-2</v>
      </c>
      <c r="U423" s="17">
        <f t="shared" si="257"/>
        <v>2.4067388688327317E-2</v>
      </c>
      <c r="V423" s="17">
        <f t="shared" si="257"/>
        <v>0</v>
      </c>
      <c r="W423" s="17">
        <f t="shared" si="257"/>
        <v>1.2033694344163659E-2</v>
      </c>
      <c r="X423" s="26">
        <f t="shared" si="245"/>
        <v>1</v>
      </c>
      <c r="Z423" s="4">
        <f>'[25]Predicted Residual Prices'!AS696</f>
        <v>7.5189738662757524</v>
      </c>
      <c r="AA423" s="4">
        <f>'[26]Predicted Distillate Prices'!AS696</f>
        <v>23.740881079774692</v>
      </c>
      <c r="AB423" s="4">
        <f>'[27]Predicted Gas Prices'!AR696</f>
        <v>5.0884243846726331</v>
      </c>
      <c r="AC423" s="4">
        <f>'[28]Predicted LPG Prices'!AS696</f>
        <v>14.977078838980304</v>
      </c>
      <c r="AD423" s="4">
        <f>'[29]Predicted Coal Prices'!AS696</f>
        <v>3.5954094028287762</v>
      </c>
      <c r="AE423" s="4">
        <f>'[30]Predicted Coke Prices'!AS654</f>
        <v>0</v>
      </c>
      <c r="AF423" s="4">
        <f>'[31]Predicted Other Prices'!AT654</f>
        <v>14.794845302073236</v>
      </c>
      <c r="AH423" s="115">
        <f t="shared" si="240"/>
        <v>6.6515013129555038</v>
      </c>
    </row>
    <row r="424" spans="16:34" x14ac:dyDescent="0.2">
      <c r="Q424" s="17">
        <f t="shared" ref="Q424:W424" si="258">Q361</f>
        <v>3.968253968253968E-3</v>
      </c>
      <c r="R424" s="17">
        <f t="shared" si="258"/>
        <v>1.984126984126984E-2</v>
      </c>
      <c r="S424" s="17">
        <f t="shared" si="258"/>
        <v>0.93253968253968245</v>
      </c>
      <c r="T424" s="17">
        <f t="shared" si="258"/>
        <v>3.968253968253968E-3</v>
      </c>
      <c r="U424" s="17">
        <f t="shared" si="258"/>
        <v>0</v>
      </c>
      <c r="V424" s="17">
        <f t="shared" si="258"/>
        <v>0</v>
      </c>
      <c r="W424" s="17">
        <f t="shared" si="258"/>
        <v>3.968253968253968E-2</v>
      </c>
      <c r="X424" s="26">
        <f t="shared" si="245"/>
        <v>0.99999999999999989</v>
      </c>
      <c r="Z424" s="4">
        <f>'[25]Predicted Residual Prices'!AS697</f>
        <v>11.452982909973496</v>
      </c>
      <c r="AA424" s="4">
        <f>'[26]Predicted Distillate Prices'!AS697</f>
        <v>14.718268086067452</v>
      </c>
      <c r="AB424" s="4">
        <f>'[27]Predicted Gas Prices'!AR697</f>
        <v>4.9166873038763601</v>
      </c>
      <c r="AC424" s="4">
        <f>'[28]Predicted LPG Prices'!AS697</f>
        <v>18.503813093971722</v>
      </c>
      <c r="AD424" s="4">
        <f>'[29]Predicted Coal Prices'!AS697</f>
        <v>5.1280956757633991</v>
      </c>
      <c r="AE424" s="4">
        <f>'[30]Predicted Coke Prices'!AS655</f>
        <v>0</v>
      </c>
      <c r="AF424" s="4">
        <f>'[31]Predicted Other Prices'!AT655</f>
        <v>15.186040026223731</v>
      </c>
      <c r="AH424" s="115">
        <f t="shared" si="240"/>
        <v>5.598531956775652</v>
      </c>
    </row>
    <row r="425" spans="16:34" x14ac:dyDescent="0.2">
      <c r="Q425" s="17">
        <f t="shared" ref="Q425:W425" si="259">Q362</f>
        <v>0</v>
      </c>
      <c r="R425" s="17">
        <f t="shared" si="259"/>
        <v>9.8039215686274508E-3</v>
      </c>
      <c r="S425" s="17">
        <f t="shared" si="259"/>
        <v>0.88235294117647056</v>
      </c>
      <c r="T425" s="17">
        <f t="shared" si="259"/>
        <v>3.2679738562091505E-2</v>
      </c>
      <c r="U425" s="17">
        <f t="shared" si="259"/>
        <v>0</v>
      </c>
      <c r="V425" s="17">
        <f t="shared" si="259"/>
        <v>9.8039215686274508E-3</v>
      </c>
      <c r="W425" s="17">
        <f t="shared" si="259"/>
        <v>6.535947712418301E-2</v>
      </c>
      <c r="X425" s="26">
        <f t="shared" si="245"/>
        <v>0.99999999999999989</v>
      </c>
      <c r="Z425" s="4">
        <f>'[25]Predicted Residual Prices'!AS698</f>
        <v>11.027166435344901</v>
      </c>
      <c r="AA425" s="4">
        <f>'[26]Predicted Distillate Prices'!AS698</f>
        <v>16.018685434811225</v>
      </c>
      <c r="AB425" s="4">
        <f>'[27]Predicted Gas Prices'!AR698</f>
        <v>4.4548648303103899</v>
      </c>
      <c r="AC425" s="4">
        <f>'[28]Predicted LPG Prices'!AS698</f>
        <v>9.6784256721960631</v>
      </c>
      <c r="AD425" s="4">
        <f>'[29]Predicted Coal Prices'!AS698</f>
        <v>5.0064550803369539</v>
      </c>
      <c r="AE425" s="4">
        <f>'[30]Predicted Coke Prices'!AS656</f>
        <v>0</v>
      </c>
      <c r="AF425" s="4">
        <f>'[31]Predicted Other Prices'!AT656</f>
        <v>6.9271660426907591</v>
      </c>
      <c r="AH425" s="115">
        <f t="shared" si="240"/>
        <v>4.8568533923660615</v>
      </c>
    </row>
    <row r="426" spans="16:34" x14ac:dyDescent="0.2">
      <c r="Q426" s="17">
        <f t="shared" ref="Q426:W426" si="260">Q363</f>
        <v>6.1274509803921576E-3</v>
      </c>
      <c r="R426" s="17">
        <f t="shared" si="260"/>
        <v>2.4509803921568631E-2</v>
      </c>
      <c r="S426" s="17">
        <f t="shared" si="260"/>
        <v>0.88848039215686281</v>
      </c>
      <c r="T426" s="17">
        <f t="shared" si="260"/>
        <v>2.4509803921568631E-2</v>
      </c>
      <c r="U426" s="17">
        <f t="shared" si="260"/>
        <v>6.1274509803921576E-3</v>
      </c>
      <c r="V426" s="17">
        <f t="shared" si="260"/>
        <v>1.2254901960784316E-3</v>
      </c>
      <c r="W426" s="17">
        <f t="shared" si="260"/>
        <v>4.9019607843137261E-2</v>
      </c>
      <c r="X426" s="26">
        <f t="shared" si="245"/>
        <v>1</v>
      </c>
      <c r="Z426" s="4">
        <f>'[25]Predicted Residual Prices'!AS699</f>
        <v>7.231857889746129</v>
      </c>
      <c r="AA426" s="4">
        <f>'[26]Predicted Distillate Prices'!AS699</f>
        <v>9.9378567463288938</v>
      </c>
      <c r="AB426" s="4">
        <f>'[27]Predicted Gas Prices'!AR699</f>
        <v>4.8136782928101018</v>
      </c>
      <c r="AC426" s="4">
        <f>'[28]Predicted LPG Prices'!AS699</f>
        <v>17.374188173549925</v>
      </c>
      <c r="AD426" s="4">
        <f>'[29]Predicted Coal Prices'!AS699</f>
        <v>5.0855944706514302</v>
      </c>
      <c r="AE426" s="4">
        <f>'[30]Predicted Coke Prices'!AS657</f>
        <v>0</v>
      </c>
      <c r="AF426" s="4">
        <f>'[31]Predicted Other Prices'!AT657</f>
        <v>7.0073494602345408</v>
      </c>
      <c r="AH426" s="115">
        <f t="shared" si="240"/>
        <v>5.3652437510983706</v>
      </c>
    </row>
    <row r="427" spans="16:34" x14ac:dyDescent="0.2">
      <c r="Q427" s="17">
        <f t="shared" ref="Q427:W427" si="261">Q364</f>
        <v>0</v>
      </c>
      <c r="R427" s="17">
        <f t="shared" si="261"/>
        <v>1.7647058823529412E-2</v>
      </c>
      <c r="S427" s="17">
        <f t="shared" si="261"/>
        <v>0.88235294117647056</v>
      </c>
      <c r="T427" s="17">
        <f t="shared" si="261"/>
        <v>5.8823529411764705E-2</v>
      </c>
      <c r="U427" s="17">
        <f t="shared" si="261"/>
        <v>1.1764705882352941E-2</v>
      </c>
      <c r="V427" s="17">
        <f t="shared" si="261"/>
        <v>0</v>
      </c>
      <c r="W427" s="17">
        <f t="shared" si="261"/>
        <v>2.9411764705882353E-2</v>
      </c>
      <c r="X427" s="26">
        <f t="shared" si="245"/>
        <v>1</v>
      </c>
      <c r="Z427" s="4">
        <f>'[25]Predicted Residual Prices'!AS700</f>
        <v>6.2792681297215029</v>
      </c>
      <c r="AA427" s="4">
        <f>'[26]Predicted Distillate Prices'!AS700</f>
        <v>17.228624676214679</v>
      </c>
      <c r="AB427" s="4">
        <f>'[27]Predicted Gas Prices'!AR700</f>
        <v>5.6460154679331289</v>
      </c>
      <c r="AC427" s="4">
        <f>'[28]Predicted LPG Prices'!AS700</f>
        <v>16.346899897194568</v>
      </c>
      <c r="AD427" s="4">
        <f>'[29]Predicted Coal Prices'!AS700</f>
        <v>3.697977798605395</v>
      </c>
      <c r="AE427" s="4">
        <f>'[30]Predicted Coke Prices'!AS658</f>
        <v>0</v>
      </c>
      <c r="AF427" s="4">
        <f>'[31]Predicted Other Prices'!AT658</f>
        <v>2.3071367283987523</v>
      </c>
      <c r="AH427" s="115">
        <f t="shared" si="240"/>
        <v>6.3587578378221385</v>
      </c>
    </row>
    <row r="428" spans="16:34" x14ac:dyDescent="0.2">
      <c r="Q428" s="17">
        <f t="shared" ref="Q428:W428" si="262">Q365</f>
        <v>3.6101083032490976E-3</v>
      </c>
      <c r="R428" s="17">
        <f t="shared" si="262"/>
        <v>1.0830324909747292E-2</v>
      </c>
      <c r="S428" s="17">
        <f t="shared" si="262"/>
        <v>0.93862815884476536</v>
      </c>
      <c r="T428" s="17">
        <f t="shared" si="262"/>
        <v>3.6101083032490974E-2</v>
      </c>
      <c r="U428" s="17">
        <f t="shared" si="262"/>
        <v>0</v>
      </c>
      <c r="V428" s="17">
        <f t="shared" si="262"/>
        <v>0</v>
      </c>
      <c r="W428" s="17">
        <f t="shared" si="262"/>
        <v>1.0830324909747292E-2</v>
      </c>
      <c r="X428" s="26">
        <f t="shared" si="245"/>
        <v>1</v>
      </c>
      <c r="Z428" s="4">
        <f>'[25]Predicted Residual Prices'!AS701</f>
        <v>9.5608082289465504</v>
      </c>
      <c r="AA428" s="4">
        <f>'[26]Predicted Distillate Prices'!AS701</f>
        <v>17.726387653041964</v>
      </c>
      <c r="AB428" s="4">
        <f>'[27]Predicted Gas Prices'!AR701</f>
        <v>5.4450491042635543</v>
      </c>
      <c r="AC428" s="4">
        <f>'[28]Predicted LPG Prices'!AS701</f>
        <v>16.517946759050616</v>
      </c>
      <c r="AD428" s="4">
        <f>'[29]Predicted Coal Prices'!AS701</f>
        <v>4.6860265418869709</v>
      </c>
      <c r="AE428" s="4">
        <f>'[30]Predicted Coke Prices'!AS659</f>
        <v>0</v>
      </c>
      <c r="AF428" s="4">
        <f>'[31]Predicted Other Prices'!AT659</f>
        <v>7.5377511967468065</v>
      </c>
      <c r="AH428" s="115">
        <f t="shared" si="240"/>
        <v>6.0153265685102637</v>
      </c>
    </row>
    <row r="429" spans="16:34" x14ac:dyDescent="0.2">
      <c r="P429">
        <v>2018</v>
      </c>
      <c r="Q429" s="17">
        <f>Q345</f>
        <v>5.1347881899871627E-3</v>
      </c>
      <c r="R429" s="17">
        <f t="shared" ref="R429:W429" si="263">R345</f>
        <v>2.5673940949935817E-2</v>
      </c>
      <c r="S429" s="17">
        <f t="shared" si="263"/>
        <v>0.73170731707317072</v>
      </c>
      <c r="T429" s="17">
        <f t="shared" si="263"/>
        <v>7.7021822849807449E-3</v>
      </c>
      <c r="U429" s="17">
        <f t="shared" si="263"/>
        <v>0.14120667522464697</v>
      </c>
      <c r="V429" s="17">
        <f t="shared" si="263"/>
        <v>1.2836970474967907E-3</v>
      </c>
      <c r="W429" s="17">
        <f t="shared" si="263"/>
        <v>8.7291399229781769E-2</v>
      </c>
      <c r="X429" s="26">
        <f t="shared" si="245"/>
        <v>0.99999999999999989</v>
      </c>
      <c r="Z429" s="4">
        <f>'[25]Predicted Residual Prices'!AS702</f>
        <v>10.771216760926244</v>
      </c>
      <c r="AA429" s="4">
        <f>'[26]Predicted Distillate Prices'!AS702</f>
        <v>16.288028991119468</v>
      </c>
      <c r="AB429" s="4">
        <f>'[27]Predicted Gas Prices'!AR702</f>
        <v>4.168330465831291</v>
      </c>
      <c r="AC429" s="4">
        <f>'[28]Predicted LPG Prices'!AS702</f>
        <v>16.643772339289939</v>
      </c>
      <c r="AD429" s="4">
        <f>'[29]Predicted Coal Prices'!AS702</f>
        <v>2.8111342070942276</v>
      </c>
      <c r="AF429" s="4">
        <f>'[31]Predicted Other Prices'!AT660</f>
        <v>6.8691052296206339</v>
      </c>
    </row>
    <row r="430" spans="16:34" x14ac:dyDescent="0.2">
      <c r="Q430" s="17">
        <f t="shared" ref="Q430:W430" si="264">Q346</f>
        <v>8.130081300813009E-3</v>
      </c>
      <c r="R430" s="17">
        <f t="shared" si="264"/>
        <v>1.6260162601626018E-2</v>
      </c>
      <c r="S430" s="17">
        <f t="shared" si="264"/>
        <v>0.78048780487804881</v>
      </c>
      <c r="T430" s="17">
        <f t="shared" si="264"/>
        <v>1.6260162601626018E-2</v>
      </c>
      <c r="U430" s="17">
        <f t="shared" si="264"/>
        <v>0.11382113821138211</v>
      </c>
      <c r="V430" s="17">
        <f t="shared" si="264"/>
        <v>0</v>
      </c>
      <c r="W430" s="17">
        <f t="shared" si="264"/>
        <v>6.5040650406504072E-2</v>
      </c>
      <c r="X430" s="26">
        <f t="shared" ref="X430:X449" si="265">SUM(Q430:W430)</f>
        <v>1</v>
      </c>
      <c r="Z430" s="4">
        <f>'[25]Predicted Residual Prices'!AS703</f>
        <v>8.1183919487364147</v>
      </c>
      <c r="AA430" s="4">
        <f>'[26]Predicted Distillate Prices'!AS703</f>
        <v>12.183791463220013</v>
      </c>
      <c r="AB430" s="4">
        <f>'[27]Predicted Gas Prices'!AR703</f>
        <v>4.0630150150030691</v>
      </c>
      <c r="AC430" s="4">
        <f>'[28]Predicted LPG Prices'!AS703</f>
        <v>18.4821141077303</v>
      </c>
      <c r="AD430" s="4">
        <f>'[29]Predicted Coal Prices'!AS703</f>
        <v>4.6824079033257275</v>
      </c>
      <c r="AF430" s="4">
        <f>'[31]Predicted Other Prices'!AT661</f>
        <v>7.1394551491201925</v>
      </c>
    </row>
    <row r="431" spans="16:34" x14ac:dyDescent="0.2">
      <c r="Q431" s="17">
        <f t="shared" ref="Q431:W431" si="266">Q347</f>
        <v>1.8050541516245488E-3</v>
      </c>
      <c r="R431" s="17">
        <f t="shared" si="266"/>
        <v>5.415162454873646E-3</v>
      </c>
      <c r="S431" s="17">
        <f t="shared" si="266"/>
        <v>0.64981949458483756</v>
      </c>
      <c r="T431" s="17">
        <f t="shared" si="266"/>
        <v>1.8050541516245487E-2</v>
      </c>
      <c r="U431" s="17">
        <f t="shared" si="266"/>
        <v>0.10830324909747292</v>
      </c>
      <c r="V431" s="17">
        <f t="shared" si="266"/>
        <v>0</v>
      </c>
      <c r="W431" s="17">
        <f t="shared" si="266"/>
        <v>0.21660649819494585</v>
      </c>
      <c r="X431" s="26">
        <f t="shared" si="265"/>
        <v>1</v>
      </c>
      <c r="Z431" s="4">
        <f>'[25]Predicted Residual Prices'!AS704</f>
        <v>9.9839297566948009</v>
      </c>
      <c r="AA431" s="4">
        <f>'[26]Predicted Distillate Prices'!AS704</f>
        <v>17.211716526942826</v>
      </c>
      <c r="AB431" s="4">
        <f>'[27]Predicted Gas Prices'!AR704</f>
        <v>4.9216585360048439</v>
      </c>
      <c r="AC431" s="4">
        <f>'[28]Predicted LPG Prices'!AS704</f>
        <v>16.337647519777452</v>
      </c>
      <c r="AD431" s="4">
        <f>'[29]Predicted Coal Prices'!AS704</f>
        <v>5</v>
      </c>
      <c r="AF431" s="4">
        <f>'[31]Predicted Other Prices'!AT662</f>
        <v>2.120170637565236</v>
      </c>
    </row>
    <row r="432" spans="16:34" x14ac:dyDescent="0.2">
      <c r="Q432" s="17">
        <f t="shared" ref="Q432:W432" si="267">Q348</f>
        <v>4.8309178743961359E-3</v>
      </c>
      <c r="R432" s="17">
        <f t="shared" si="267"/>
        <v>0.14492753623188406</v>
      </c>
      <c r="S432" s="17">
        <f t="shared" si="267"/>
        <v>0.77294685990338163</v>
      </c>
      <c r="T432" s="17">
        <f t="shared" si="267"/>
        <v>1.9323671497584544E-2</v>
      </c>
      <c r="U432" s="17">
        <f t="shared" si="267"/>
        <v>4.8309178743961352E-2</v>
      </c>
      <c r="V432" s="17">
        <f t="shared" si="267"/>
        <v>0</v>
      </c>
      <c r="W432" s="17">
        <f t="shared" si="267"/>
        <v>9.6618357487922718E-3</v>
      </c>
      <c r="X432" s="26">
        <f t="shared" si="265"/>
        <v>1</v>
      </c>
      <c r="Z432" s="4">
        <f>'[25]Predicted Residual Prices'!AS705</f>
        <v>9.9901926910058254</v>
      </c>
      <c r="AA432" s="4">
        <f>'[26]Predicted Distillate Prices'!AS705</f>
        <v>15.428979425437145</v>
      </c>
      <c r="AB432" s="4">
        <f>'[27]Predicted Gas Prices'!AR705</f>
        <v>5.1238038262654291</v>
      </c>
      <c r="AC432" s="4">
        <f>'[28]Predicted LPG Prices'!AS705</f>
        <v>15.868702032414175</v>
      </c>
      <c r="AD432" s="4">
        <f>'[29]Predicted Coal Prices'!AS705</f>
        <v>5.7553797247880611</v>
      </c>
      <c r="AF432" s="4">
        <f>'[31]Predicted Other Prices'!AT663</f>
        <v>6.8613468700635245</v>
      </c>
    </row>
    <row r="433" spans="17:32" x14ac:dyDescent="0.2">
      <c r="Q433" s="17">
        <f t="shared" ref="Q433:W433" si="268">Q349</f>
        <v>0</v>
      </c>
      <c r="R433" s="17">
        <f t="shared" si="268"/>
        <v>4.3478260869565216E-2</v>
      </c>
      <c r="S433" s="17">
        <f t="shared" si="268"/>
        <v>0.86956521739130421</v>
      </c>
      <c r="T433" s="17">
        <f t="shared" si="268"/>
        <v>4.3478260869565216E-2</v>
      </c>
      <c r="U433" s="17">
        <f t="shared" si="268"/>
        <v>0</v>
      </c>
      <c r="V433" s="17">
        <f t="shared" si="268"/>
        <v>0</v>
      </c>
      <c r="W433" s="17">
        <f t="shared" si="268"/>
        <v>4.3478260869565216E-2</v>
      </c>
      <c r="X433" s="26">
        <f t="shared" si="265"/>
        <v>0.99999999999999978</v>
      </c>
      <c r="Z433" s="4">
        <f>'[25]Predicted Residual Prices'!AS706</f>
        <v>13.981117152993932</v>
      </c>
      <c r="AA433" s="4">
        <f>'[26]Predicted Distillate Prices'!AS706</f>
        <v>27.05</v>
      </c>
      <c r="AB433" s="4">
        <f>'[27]Predicted Gas Prices'!AR706</f>
        <v>5.4512653114353755</v>
      </c>
      <c r="AC433" s="4">
        <f>'[28]Predicted LPG Prices'!AS706</f>
        <v>18.249588164345447</v>
      </c>
      <c r="AD433" s="4">
        <f>'[29]Predicted Coal Prices'!AS706</f>
        <v>5.7532995769071018</v>
      </c>
      <c r="AF433" s="4">
        <f>'[31]Predicted Other Prices'!AT664</f>
        <v>5.5289081336598729</v>
      </c>
    </row>
    <row r="434" spans="17:32" x14ac:dyDescent="0.2">
      <c r="Q434" s="17">
        <f t="shared" ref="Q434:W434" si="269">Q350</f>
        <v>5.8823529411764712E-2</v>
      </c>
      <c r="R434" s="17">
        <f t="shared" si="269"/>
        <v>0.11764705882352942</v>
      </c>
      <c r="S434" s="17">
        <f t="shared" si="269"/>
        <v>0.58823529411764708</v>
      </c>
      <c r="T434" s="17">
        <f t="shared" si="269"/>
        <v>0.11764705882352942</v>
      </c>
      <c r="U434" s="17">
        <f t="shared" si="269"/>
        <v>0</v>
      </c>
      <c r="V434" s="17">
        <f t="shared" si="269"/>
        <v>0</v>
      </c>
      <c r="W434" s="17">
        <f t="shared" si="269"/>
        <v>0.11764705882352942</v>
      </c>
      <c r="X434" s="26">
        <f t="shared" si="265"/>
        <v>1</v>
      </c>
      <c r="Z434" s="4">
        <f>'[25]Predicted Residual Prices'!AS707</f>
        <v>14.31066302233522</v>
      </c>
      <c r="AA434" s="4">
        <f>'[26]Predicted Distillate Prices'!AS707</f>
        <v>16.695433550429701</v>
      </c>
      <c r="AB434" s="4">
        <f>'[27]Predicted Gas Prices'!AR707</f>
        <v>5.0478330388604569</v>
      </c>
      <c r="AC434" s="4">
        <f>'[28]Predicted LPG Prices'!AS707</f>
        <v>15.500143775228713</v>
      </c>
      <c r="AD434" s="4">
        <f>'[29]Predicted Coal Prices'!AS707</f>
        <v>4.7849170899650257</v>
      </c>
      <c r="AF434" s="4">
        <f>'[31]Predicted Other Prices'!AT665</f>
        <v>5.264454066829936</v>
      </c>
    </row>
    <row r="435" spans="17:32" x14ac:dyDescent="0.2">
      <c r="Q435" s="17">
        <f t="shared" ref="Q435:W435" si="270">Q351</f>
        <v>9.3370681605975739E-4</v>
      </c>
      <c r="R435" s="17">
        <f t="shared" si="270"/>
        <v>9.3370681605975725E-2</v>
      </c>
      <c r="S435" s="17">
        <f t="shared" si="270"/>
        <v>0.45751633986928109</v>
      </c>
      <c r="T435" s="17">
        <f t="shared" si="270"/>
        <v>2.8011204481792718E-2</v>
      </c>
      <c r="U435" s="17">
        <f t="shared" si="270"/>
        <v>9.3370681605975722E-3</v>
      </c>
      <c r="V435" s="17">
        <f t="shared" si="270"/>
        <v>0</v>
      </c>
      <c r="W435" s="17">
        <f t="shared" si="270"/>
        <v>0.41083099906629322</v>
      </c>
      <c r="X435" s="26">
        <f t="shared" si="265"/>
        <v>1</v>
      </c>
      <c r="Z435" s="4">
        <f>'[25]Predicted Residual Prices'!AS708</f>
        <v>11.364370575798928</v>
      </c>
      <c r="AA435" s="4">
        <f>'[26]Predicted Distillate Prices'!AS708</f>
        <v>14.282481470721422</v>
      </c>
      <c r="AB435" s="4">
        <f>'[27]Predicted Gas Prices'!AR708</f>
        <v>4.6662625760349483</v>
      </c>
      <c r="AC435" s="4">
        <f>'[28]Predicted LPG Prices'!AS708</f>
        <v>18.214710985657966</v>
      </c>
      <c r="AD435" s="4">
        <f>'[29]Predicted Coal Prices'!AS708</f>
        <v>5.0957200554357227</v>
      </c>
      <c r="AF435" s="4">
        <f>'[31]Predicted Other Prices'!AT666</f>
        <v>4.8322104729003703</v>
      </c>
    </row>
    <row r="436" spans="17:32" x14ac:dyDescent="0.2">
      <c r="Q436" s="17">
        <f t="shared" ref="Q436:W436" si="271">Q352</f>
        <v>1.8888888888888889E-2</v>
      </c>
      <c r="R436" s="17">
        <f t="shared" si="271"/>
        <v>5.5555555555555558E-3</v>
      </c>
      <c r="S436" s="17">
        <f t="shared" si="271"/>
        <v>0.48444444444444446</v>
      </c>
      <c r="T436" s="17">
        <f t="shared" si="271"/>
        <v>3.3333333333333335E-3</v>
      </c>
      <c r="U436" s="17">
        <f t="shared" si="271"/>
        <v>0.16222222222222221</v>
      </c>
      <c r="V436" s="17">
        <f t="shared" si="271"/>
        <v>0</v>
      </c>
      <c r="W436" s="17">
        <f t="shared" si="271"/>
        <v>0.32555555555555554</v>
      </c>
      <c r="X436" s="26">
        <f t="shared" si="265"/>
        <v>1</v>
      </c>
      <c r="Z436" s="4">
        <f>'[25]Predicted Residual Prices'!AS709</f>
        <v>10.554338095482548</v>
      </c>
      <c r="AA436" s="4">
        <f>'[26]Predicted Distillate Prices'!AS709</f>
        <v>14.159283281051803</v>
      </c>
      <c r="AB436" s="4">
        <f>'[27]Predicted Gas Prices'!AR709</f>
        <v>4.1363767814579706</v>
      </c>
      <c r="AC436" s="4">
        <f>'[28]Predicted LPG Prices'!AS709</f>
        <v>17.365350560483407</v>
      </c>
      <c r="AD436" s="4">
        <f>'[29]Predicted Coal Prices'!AS709</f>
        <v>4.1141580078530495</v>
      </c>
      <c r="AF436" s="4">
        <f>'[31]Predicted Other Prices'!AT667</f>
        <v>3.7296743849831944</v>
      </c>
    </row>
    <row r="437" spans="17:32" x14ac:dyDescent="0.2">
      <c r="Q437" s="17">
        <f t="shared" ref="Q437:W437" si="272">Q353</f>
        <v>2.4630541871921183E-3</v>
      </c>
      <c r="R437" s="17">
        <f t="shared" si="272"/>
        <v>7.3891625615763543E-3</v>
      </c>
      <c r="S437" s="17">
        <f t="shared" si="272"/>
        <v>0.96059113300492605</v>
      </c>
      <c r="T437" s="17">
        <f t="shared" si="272"/>
        <v>2.463054187192118E-2</v>
      </c>
      <c r="U437" s="17">
        <f t="shared" si="272"/>
        <v>0</v>
      </c>
      <c r="V437" s="17">
        <f t="shared" si="272"/>
        <v>0</v>
      </c>
      <c r="W437" s="17">
        <f t="shared" si="272"/>
        <v>4.9261083743842365E-3</v>
      </c>
      <c r="X437" s="26">
        <f t="shared" si="265"/>
        <v>0.99999999999999989</v>
      </c>
      <c r="Z437" s="4">
        <f>'[25]Predicted Residual Prices'!AS710</f>
        <v>11.945566588197867</v>
      </c>
      <c r="AA437" s="4">
        <f>'[26]Predicted Distillate Prices'!AS710</f>
        <v>14.264939611728479</v>
      </c>
      <c r="AB437" s="4">
        <f>'[27]Predicted Gas Prices'!AR710</f>
        <v>5.1397721125923992</v>
      </c>
      <c r="AC437" s="4">
        <f>'[28]Predicted LPG Prices'!AS710</f>
        <v>16.331092638098216</v>
      </c>
      <c r="AD437" s="4">
        <f>'[29]Predicted Coal Prices'!AS710</f>
        <v>5.142250177652846</v>
      </c>
      <c r="AF437" s="4">
        <f>'[31]Predicted Other Prices'!AT668</f>
        <v>3.7309514686037804</v>
      </c>
    </row>
    <row r="438" spans="17:32" x14ac:dyDescent="0.2">
      <c r="Q438" s="17">
        <f t="shared" ref="Q438:W438" si="273">Q354</f>
        <v>2.6542800265428003E-3</v>
      </c>
      <c r="R438" s="17">
        <f t="shared" si="273"/>
        <v>5.3085600530856005E-3</v>
      </c>
      <c r="S438" s="17">
        <f t="shared" si="273"/>
        <v>0.71068347710683477</v>
      </c>
      <c r="T438" s="17">
        <f t="shared" si="273"/>
        <v>5.3085600530856005E-3</v>
      </c>
      <c r="U438" s="17">
        <f t="shared" si="273"/>
        <v>5.3085600530856005E-3</v>
      </c>
      <c r="V438" s="17">
        <f t="shared" si="273"/>
        <v>0</v>
      </c>
      <c r="W438" s="17">
        <f t="shared" si="273"/>
        <v>0.27073656270736562</v>
      </c>
      <c r="X438" s="26">
        <f t="shared" si="265"/>
        <v>1</v>
      </c>
      <c r="Z438" s="4">
        <f>'[25]Predicted Residual Prices'!AS711</f>
        <v>12.444972158303987</v>
      </c>
      <c r="AA438" s="4">
        <f>'[26]Predicted Distillate Prices'!AS711</f>
        <v>13.780813781174095</v>
      </c>
      <c r="AB438" s="4">
        <f>'[27]Predicted Gas Prices'!AR711</f>
        <v>3.9145085574260845</v>
      </c>
      <c r="AC438" s="4">
        <f>'[28]Predicted LPG Prices'!AS711</f>
        <v>16.309689712590078</v>
      </c>
      <c r="AD438" s="4">
        <f>'[29]Predicted Coal Prices'!AS711</f>
        <v>4.9245766419232027</v>
      </c>
      <c r="AF438" s="4">
        <f>'[31]Predicted Other Prices'!AT669</f>
        <v>11.715507448148736</v>
      </c>
    </row>
    <row r="439" spans="17:32" x14ac:dyDescent="0.2">
      <c r="Q439" s="17">
        <f t="shared" ref="Q439:W439" si="274">Q355</f>
        <v>3.7678975131876413E-4</v>
      </c>
      <c r="R439" s="17">
        <f t="shared" si="274"/>
        <v>3.7678975131876413E-3</v>
      </c>
      <c r="S439" s="17">
        <f t="shared" si="274"/>
        <v>0.74943481537302181</v>
      </c>
      <c r="T439" s="17">
        <f t="shared" si="274"/>
        <v>1.5071590052750565E-3</v>
      </c>
      <c r="U439" s="17">
        <f t="shared" si="274"/>
        <v>8.9299171062547103E-2</v>
      </c>
      <c r="V439" s="17">
        <f t="shared" si="274"/>
        <v>0</v>
      </c>
      <c r="W439" s="17">
        <f t="shared" si="274"/>
        <v>0.15561416729464958</v>
      </c>
      <c r="X439" s="26">
        <f t="shared" si="265"/>
        <v>1</v>
      </c>
      <c r="Z439" s="4">
        <f>'[25]Predicted Residual Prices'!AS712</f>
        <v>9.6075764141056652</v>
      </c>
      <c r="AA439" s="4">
        <f>'[26]Predicted Distillate Prices'!AS712</f>
        <v>14.867420850260403</v>
      </c>
      <c r="AB439" s="4">
        <f>'[27]Predicted Gas Prices'!AR712</f>
        <v>3.6380544242942907</v>
      </c>
      <c r="AC439" s="4">
        <f>'[28]Predicted LPG Prices'!AS712</f>
        <v>10.434925068254387</v>
      </c>
      <c r="AD439" s="4">
        <f>'[29]Predicted Coal Prices'!AS712</f>
        <v>3.0928077799034601</v>
      </c>
      <c r="AF439" s="4">
        <f>'[31]Predicted Other Prices'!AT670</f>
        <v>6.4560506579035231</v>
      </c>
    </row>
    <row r="440" spans="17:32" x14ac:dyDescent="0.2">
      <c r="Q440" s="17">
        <f t="shared" ref="Q440:W440" si="275">Q356</f>
        <v>0</v>
      </c>
      <c r="R440" s="17">
        <f t="shared" si="275"/>
        <v>1.0604453870625666E-3</v>
      </c>
      <c r="S440" s="17">
        <f t="shared" si="275"/>
        <v>0.95440084835630978</v>
      </c>
      <c r="T440" s="17">
        <f t="shared" si="275"/>
        <v>4.241781548250266E-2</v>
      </c>
      <c r="U440" s="17">
        <f t="shared" si="275"/>
        <v>1.0604453870625666E-3</v>
      </c>
      <c r="V440" s="17">
        <f t="shared" si="275"/>
        <v>0</v>
      </c>
      <c r="W440" s="17">
        <f t="shared" si="275"/>
        <v>1.0604453870625666E-3</v>
      </c>
      <c r="X440" s="26">
        <f t="shared" si="265"/>
        <v>1</v>
      </c>
      <c r="Z440" s="4">
        <f>'[25]Predicted Residual Prices'!AS713</f>
        <v>9.4488898513702981</v>
      </c>
      <c r="AA440" s="4">
        <f>'[26]Predicted Distillate Prices'!AS713</f>
        <v>15.512868742378007</v>
      </c>
      <c r="AB440" s="4">
        <f>'[27]Predicted Gas Prices'!AR713</f>
        <v>5.4085041403052356</v>
      </c>
      <c r="AC440" s="4">
        <f>'[28]Predicted LPG Prices'!AS713</f>
        <v>18.378017453314122</v>
      </c>
      <c r="AD440" s="4">
        <f>'[29]Predicted Coal Prices'!AS713</f>
        <v>6.7997451052081992</v>
      </c>
      <c r="AF440" s="4">
        <f>'[31]Predicted Other Prices'!AT671</f>
        <v>6.9010415823225086</v>
      </c>
    </row>
    <row r="441" spans="17:32" x14ac:dyDescent="0.2">
      <c r="Q441" s="17">
        <f t="shared" ref="Q441:W441" si="276">Q357</f>
        <v>2.8645087367516471E-4</v>
      </c>
      <c r="R441" s="17">
        <f t="shared" si="276"/>
        <v>2.7212832999140645E-2</v>
      </c>
      <c r="S441" s="17">
        <f t="shared" si="276"/>
        <v>0.47694070466914923</v>
      </c>
      <c r="T441" s="17">
        <f t="shared" si="276"/>
        <v>4.2967631051274704E-3</v>
      </c>
      <c r="U441" s="17">
        <f t="shared" si="276"/>
        <v>0.3365797765683185</v>
      </c>
      <c r="V441" s="17">
        <f t="shared" si="276"/>
        <v>2.0051561157261529E-2</v>
      </c>
      <c r="W441" s="17">
        <f t="shared" si="276"/>
        <v>0.13463191062732741</v>
      </c>
      <c r="X441" s="26">
        <f t="shared" si="265"/>
        <v>0.99999999999999989</v>
      </c>
      <c r="Z441" s="4">
        <f>'[25]Predicted Residual Prices'!AS714</f>
        <v>9.7901842339989162</v>
      </c>
      <c r="AA441" s="4">
        <f>'[26]Predicted Distillate Prices'!AS714</f>
        <v>13.678889560108367</v>
      </c>
      <c r="AB441" s="4">
        <f>'[27]Predicted Gas Prices'!AR714</f>
        <v>4.05147283870292</v>
      </c>
      <c r="AC441" s="4">
        <f>'[28]Predicted LPG Prices'!AS714</f>
        <v>19.324532098642841</v>
      </c>
      <c r="AD441" s="4">
        <f>'[29]Predicted Coal Prices'!AS714</f>
        <v>3.5889515594272621</v>
      </c>
      <c r="AF441" s="4">
        <f>'[31]Predicted Other Prices'!AT672</f>
        <v>2.1593280920596891</v>
      </c>
    </row>
    <row r="442" spans="17:32" x14ac:dyDescent="0.2">
      <c r="Q442" s="17">
        <f t="shared" ref="Q442:W442" si="277">Q358</f>
        <v>1.6277807921866521E-3</v>
      </c>
      <c r="R442" s="17">
        <f t="shared" si="277"/>
        <v>6.5111231687466084E-3</v>
      </c>
      <c r="S442" s="17">
        <f t="shared" si="277"/>
        <v>0.69777536625067826</v>
      </c>
      <c r="T442" s="17">
        <f t="shared" si="277"/>
        <v>3.2555615843733042E-3</v>
      </c>
      <c r="U442" s="17">
        <f t="shared" si="277"/>
        <v>1.9533369506239826E-2</v>
      </c>
      <c r="V442" s="17">
        <f t="shared" si="277"/>
        <v>0.23982637004883342</v>
      </c>
      <c r="W442" s="17">
        <f t="shared" si="277"/>
        <v>3.1470428648941944E-2</v>
      </c>
      <c r="X442" s="26">
        <f t="shared" si="265"/>
        <v>1.0000000000000002</v>
      </c>
      <c r="Z442" s="4">
        <f>'[25]Predicted Residual Prices'!AS715</f>
        <v>9.8667267872234401</v>
      </c>
      <c r="AA442" s="4">
        <f>'[26]Predicted Distillate Prices'!AS715</f>
        <v>14.17362227365178</v>
      </c>
      <c r="AB442" s="4">
        <f>'[27]Predicted Gas Prices'!AR715</f>
        <v>3.9863543905598009</v>
      </c>
      <c r="AC442" s="4">
        <f>'[28]Predicted LPG Prices'!AS715</f>
        <v>15.743847631683826</v>
      </c>
      <c r="AD442" s="4">
        <f>'[29]Predicted Coal Prices'!AS715</f>
        <v>5.2785577663711916</v>
      </c>
      <c r="AF442" s="4">
        <f>'[31]Predicted Other Prices'!AT673</f>
        <v>3.0813692473793406</v>
      </c>
    </row>
    <row r="443" spans="17:32" x14ac:dyDescent="0.2">
      <c r="Q443" s="17">
        <f t="shared" ref="Q443:W443" si="278">Q359</f>
        <v>0</v>
      </c>
      <c r="R443" s="17">
        <f t="shared" si="278"/>
        <v>9.9502487562189053E-3</v>
      </c>
      <c r="S443" s="17">
        <f t="shared" si="278"/>
        <v>0.95024875621890548</v>
      </c>
      <c r="T443" s="17">
        <f t="shared" si="278"/>
        <v>3.482587064676617E-2</v>
      </c>
      <c r="U443" s="17">
        <f t="shared" si="278"/>
        <v>0</v>
      </c>
      <c r="V443" s="17">
        <f t="shared" si="278"/>
        <v>0</v>
      </c>
      <c r="W443" s="17">
        <f t="shared" si="278"/>
        <v>4.9751243781094526E-3</v>
      </c>
      <c r="X443" s="26">
        <f t="shared" si="265"/>
        <v>0.99999999999999989</v>
      </c>
      <c r="Z443" s="4">
        <f>'[25]Predicted Residual Prices'!AS716</f>
        <v>12.345525244304861</v>
      </c>
      <c r="AA443" s="4">
        <f>'[26]Predicted Distillate Prices'!AS716</f>
        <v>18.537612565988127</v>
      </c>
      <c r="AB443" s="4">
        <f>'[27]Predicted Gas Prices'!AR716</f>
        <v>4.757501737032678</v>
      </c>
      <c r="AC443" s="4">
        <f>'[28]Predicted LPG Prices'!AS716</f>
        <v>16.461998788141265</v>
      </c>
      <c r="AD443" s="4">
        <f>'[29]Predicted Coal Prices'!AS716</f>
        <v>5.5216718626834833</v>
      </c>
      <c r="AF443" s="4">
        <f>'[31]Predicted Other Prices'!AT674</f>
        <v>8.356685895988992</v>
      </c>
    </row>
    <row r="444" spans="17:32" x14ac:dyDescent="0.2">
      <c r="Q444" s="17">
        <f t="shared" ref="Q444:W444" si="279">Q360</f>
        <v>1.2033694344163659E-3</v>
      </c>
      <c r="R444" s="17">
        <f t="shared" si="279"/>
        <v>6.0168471720818295E-2</v>
      </c>
      <c r="S444" s="17">
        <f t="shared" si="279"/>
        <v>0.86642599277978349</v>
      </c>
      <c r="T444" s="17">
        <f t="shared" si="279"/>
        <v>3.6101083032490974E-2</v>
      </c>
      <c r="U444" s="17">
        <f t="shared" si="279"/>
        <v>2.4067388688327317E-2</v>
      </c>
      <c r="V444" s="17">
        <f t="shared" si="279"/>
        <v>0</v>
      </c>
      <c r="W444" s="17">
        <f t="shared" si="279"/>
        <v>1.2033694344163659E-2</v>
      </c>
      <c r="X444" s="26">
        <f t="shared" si="265"/>
        <v>1</v>
      </c>
      <c r="Z444" s="4">
        <f>'[25]Predicted Residual Prices'!AS717</f>
        <v>9.7813933094601673</v>
      </c>
      <c r="AA444" s="4">
        <f>'[26]Predicted Distillate Prices'!AS717</f>
        <v>26.762714360071655</v>
      </c>
      <c r="AB444" s="4">
        <f>'[27]Predicted Gas Prices'!AR717</f>
        <v>5.2954450565931834</v>
      </c>
      <c r="AC444" s="4">
        <f>'[28]Predicted LPG Prices'!AS717</f>
        <v>18.633351031121791</v>
      </c>
      <c r="AD444" s="4">
        <f>'[29]Predicted Coal Prices'!AS717</f>
        <v>3.8521063277977974</v>
      </c>
      <c r="AF444" s="4">
        <f>'[31]Predicted Other Prices'!AT675</f>
        <v>15.150090665989183</v>
      </c>
    </row>
    <row r="445" spans="17:32" x14ac:dyDescent="0.2">
      <c r="Q445" s="17">
        <f t="shared" ref="Q445:W445" si="280">Q361</f>
        <v>3.968253968253968E-3</v>
      </c>
      <c r="R445" s="17">
        <f t="shared" si="280"/>
        <v>1.984126984126984E-2</v>
      </c>
      <c r="S445" s="17">
        <f t="shared" si="280"/>
        <v>0.93253968253968245</v>
      </c>
      <c r="T445" s="17">
        <f t="shared" si="280"/>
        <v>3.968253968253968E-3</v>
      </c>
      <c r="U445" s="17">
        <f t="shared" si="280"/>
        <v>0</v>
      </c>
      <c r="V445" s="17">
        <f t="shared" si="280"/>
        <v>0</v>
      </c>
      <c r="W445" s="17">
        <f t="shared" si="280"/>
        <v>3.968253968253968E-2</v>
      </c>
      <c r="X445" s="26">
        <f t="shared" si="265"/>
        <v>0.99999999999999989</v>
      </c>
      <c r="Z445" s="4">
        <f>'[25]Predicted Residual Prices'!AS718</f>
        <v>14.767294946431051</v>
      </c>
      <c r="AA445" s="4">
        <f>'[26]Predicted Distillate Prices'!AS718</f>
        <v>17.466122038308477</v>
      </c>
      <c r="AB445" s="4">
        <f>'[27]Predicted Gas Prices'!AR718</f>
        <v>5.2238974648800349</v>
      </c>
      <c r="AC445" s="4">
        <f>'[28]Predicted LPG Prices'!AS718</f>
        <v>20.804935004681695</v>
      </c>
      <c r="AD445" s="4">
        <f>'[29]Predicted Coal Prices'!AS718</f>
        <v>5.4727343077576025</v>
      </c>
      <c r="AF445" s="4">
        <f>'[31]Predicted Other Prices'!AT676</f>
        <v>17.261122763807641</v>
      </c>
    </row>
    <row r="446" spans="17:32" x14ac:dyDescent="0.2">
      <c r="Q446" s="17">
        <f t="shared" ref="Q446:W446" si="281">Q362</f>
        <v>0</v>
      </c>
      <c r="R446" s="17">
        <f t="shared" si="281"/>
        <v>9.8039215686274508E-3</v>
      </c>
      <c r="S446" s="17">
        <f t="shared" si="281"/>
        <v>0.88235294117647056</v>
      </c>
      <c r="T446" s="17">
        <f t="shared" si="281"/>
        <v>3.2679738562091505E-2</v>
      </c>
      <c r="U446" s="17">
        <f t="shared" si="281"/>
        <v>0</v>
      </c>
      <c r="V446" s="17">
        <f t="shared" si="281"/>
        <v>9.8039215686274508E-3</v>
      </c>
      <c r="W446" s="17">
        <f t="shared" si="281"/>
        <v>6.535947712418301E-2</v>
      </c>
      <c r="X446" s="26">
        <f t="shared" si="265"/>
        <v>0.99999999999999989</v>
      </c>
      <c r="Z446" s="4">
        <f>'[25]Predicted Residual Prices'!AS719</f>
        <v>14.362484230364503</v>
      </c>
      <c r="AA446" s="4">
        <f>'[26]Predicted Distillate Prices'!AS719</f>
        <v>18.549534001557365</v>
      </c>
      <c r="AB446" s="4">
        <f>'[27]Predicted Gas Prices'!AR719</f>
        <v>4.7050177463405021</v>
      </c>
      <c r="AC446" s="4">
        <f>'[28]Predicted LPG Prices'!AS719</f>
        <v>11.921229921133394</v>
      </c>
      <c r="AD446" s="4">
        <f>'[29]Predicted Coal Prices'!AS719</f>
        <v>5.3948766697613344</v>
      </c>
      <c r="AF446" s="4">
        <f>'[31]Predicted Other Prices'!AT677</f>
        <v>7.2693035171048823</v>
      </c>
    </row>
    <row r="447" spans="17:32" x14ac:dyDescent="0.2">
      <c r="Q447" s="17">
        <f t="shared" ref="Q447:W447" si="282">Q363</f>
        <v>6.1274509803921576E-3</v>
      </c>
      <c r="R447" s="17">
        <f t="shared" si="282"/>
        <v>2.4509803921568631E-2</v>
      </c>
      <c r="S447" s="17">
        <f t="shared" si="282"/>
        <v>0.88848039215686281</v>
      </c>
      <c r="T447" s="17">
        <f t="shared" si="282"/>
        <v>2.4509803921568631E-2</v>
      </c>
      <c r="U447" s="17">
        <f t="shared" si="282"/>
        <v>6.1274509803921576E-3</v>
      </c>
      <c r="V447" s="17">
        <f t="shared" si="282"/>
        <v>1.2254901960784316E-3</v>
      </c>
      <c r="W447" s="17">
        <f t="shared" si="282"/>
        <v>4.9019607843137261E-2</v>
      </c>
      <c r="X447" s="26">
        <f t="shared" si="265"/>
        <v>1</v>
      </c>
      <c r="Z447" s="4">
        <f>'[25]Predicted Residual Prices'!AS720</f>
        <v>9.5867585944372369</v>
      </c>
      <c r="AA447" s="4">
        <f>'[26]Predicted Distillate Prices'!AS720</f>
        <v>13.00328736042751</v>
      </c>
      <c r="AB447" s="4">
        <f>'[27]Predicted Gas Prices'!AR720</f>
        <v>4.9554928407665599</v>
      </c>
      <c r="AC447" s="4">
        <f>'[28]Predicted LPG Prices'!AS720</f>
        <v>20.856555279174643</v>
      </c>
      <c r="AD447" s="4">
        <f>'[29]Predicted Coal Prices'!AS720</f>
        <v>5.5949120625328375</v>
      </c>
      <c r="AF447" s="4">
        <f>'[31]Predicted Other Prices'!AT678</f>
        <v>7.5826076432435094</v>
      </c>
    </row>
    <row r="448" spans="17:32" x14ac:dyDescent="0.2">
      <c r="Q448" s="17">
        <f t="shared" ref="Q448:W448" si="283">Q364</f>
        <v>0</v>
      </c>
      <c r="R448" s="17">
        <f t="shared" si="283"/>
        <v>1.7647058823529412E-2</v>
      </c>
      <c r="S448" s="17">
        <f t="shared" si="283"/>
        <v>0.88235294117647056</v>
      </c>
      <c r="T448" s="17">
        <f t="shared" si="283"/>
        <v>5.8823529411764705E-2</v>
      </c>
      <c r="U448" s="17">
        <f t="shared" si="283"/>
        <v>1.1764705882352941E-2</v>
      </c>
      <c r="V448" s="17">
        <f t="shared" si="283"/>
        <v>0</v>
      </c>
      <c r="W448" s="17">
        <f t="shared" si="283"/>
        <v>2.9411764705882353E-2</v>
      </c>
      <c r="X448" s="26">
        <f t="shared" si="265"/>
        <v>1</v>
      </c>
      <c r="Z448" s="4">
        <f>'[25]Predicted Residual Prices'!AS721</f>
        <v>8.6232780515163832</v>
      </c>
      <c r="AA448" s="4">
        <f>'[26]Predicted Distillate Prices'!AS721</f>
        <v>20.181486517167862</v>
      </c>
      <c r="AB448" s="4">
        <f>'[27]Predicted Gas Prices'!AR721</f>
        <v>5.827494127378924</v>
      </c>
      <c r="AC448" s="4">
        <f>'[28]Predicted LPG Prices'!AS721</f>
        <v>19.659675736840342</v>
      </c>
      <c r="AD448" s="4">
        <f>'[29]Predicted Coal Prices'!AS721</f>
        <v>3.9451582675738277</v>
      </c>
      <c r="AF448" s="4">
        <f>'[31]Predicted Other Prices'!AT679</f>
        <v>2.8180710088449086</v>
      </c>
    </row>
    <row r="449" spans="17:32" x14ac:dyDescent="0.2">
      <c r="Q449" s="17">
        <f t="shared" ref="Q449:W449" si="284">Q365</f>
        <v>3.6101083032490976E-3</v>
      </c>
      <c r="R449" s="17">
        <f t="shared" si="284"/>
        <v>1.0830324909747292E-2</v>
      </c>
      <c r="S449" s="17">
        <f t="shared" si="284"/>
        <v>0.93862815884476536</v>
      </c>
      <c r="T449" s="17">
        <f t="shared" si="284"/>
        <v>3.6101083032490974E-2</v>
      </c>
      <c r="U449" s="17">
        <f t="shared" si="284"/>
        <v>0</v>
      </c>
      <c r="V449" s="17">
        <f t="shared" si="284"/>
        <v>0</v>
      </c>
      <c r="W449" s="17">
        <f t="shared" si="284"/>
        <v>1.0830324909747292E-2</v>
      </c>
      <c r="X449" s="26">
        <f t="shared" si="265"/>
        <v>1</v>
      </c>
      <c r="Z449" s="4">
        <f>'[25]Predicted Residual Prices'!AS722</f>
        <v>12.867587540484442</v>
      </c>
      <c r="AA449" s="4">
        <f>'[26]Predicted Distillate Prices'!AS722</f>
        <v>20.566076671256436</v>
      </c>
      <c r="AB449" s="4">
        <f>'[27]Predicted Gas Prices'!AR722</f>
        <v>5.6179448485607129</v>
      </c>
      <c r="AC449" s="4">
        <f>'[28]Predicted LPG Prices'!AS722</f>
        <v>20.808310326443085</v>
      </c>
      <c r="AD449" s="4">
        <f>'[29]Predicted Coal Prices'!AS722</f>
        <v>5.1372391003857665</v>
      </c>
      <c r="AF449" s="4">
        <f>'[31]Predicted Other Prices'!AT680</f>
        <v>8.2020507077506934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6:X385"/>
  <sheetViews>
    <sheetView topLeftCell="A353" workbookViewId="0">
      <selection activeCell="D385" sqref="D385"/>
    </sheetView>
  </sheetViews>
  <sheetFormatPr defaultRowHeight="12.75" x14ac:dyDescent="0.2"/>
  <sheetData>
    <row r="6" spans="3:24" x14ac:dyDescent="0.2">
      <c r="G6">
        <f>1998</f>
        <v>1998</v>
      </c>
      <c r="H6">
        <v>1999</v>
      </c>
      <c r="I6">
        <f>H6+1</f>
        <v>2000</v>
      </c>
      <c r="J6">
        <f t="shared" ref="J6:U6" si="0">I6+1</f>
        <v>2001</v>
      </c>
      <c r="K6">
        <f t="shared" si="0"/>
        <v>2002</v>
      </c>
      <c r="L6">
        <f t="shared" si="0"/>
        <v>2003</v>
      </c>
      <c r="M6">
        <f t="shared" si="0"/>
        <v>2004</v>
      </c>
      <c r="N6">
        <f t="shared" si="0"/>
        <v>2005</v>
      </c>
      <c r="O6">
        <f t="shared" si="0"/>
        <v>2006</v>
      </c>
      <c r="P6">
        <f t="shared" si="0"/>
        <v>2007</v>
      </c>
      <c r="Q6">
        <f t="shared" si="0"/>
        <v>2008</v>
      </c>
      <c r="R6">
        <f t="shared" si="0"/>
        <v>2009</v>
      </c>
      <c r="S6">
        <f t="shared" si="0"/>
        <v>2010</v>
      </c>
      <c r="T6">
        <f t="shared" si="0"/>
        <v>2011</v>
      </c>
      <c r="U6">
        <f t="shared" si="0"/>
        <v>2012</v>
      </c>
      <c r="V6">
        <f t="shared" ref="V6" si="1">U6+1</f>
        <v>2013</v>
      </c>
      <c r="W6">
        <f t="shared" ref="W6" si="2">V6+1</f>
        <v>2014</v>
      </c>
      <c r="X6">
        <f t="shared" ref="X6" si="3">W6+1</f>
        <v>2015</v>
      </c>
    </row>
    <row r="7" spans="3:24" x14ac:dyDescent="0.2">
      <c r="C7">
        <v>1998</v>
      </c>
      <c r="D7" s="4">
        <f>'Quantity Shares_1998 forward'!AH9</f>
        <v>2.7294452083457879</v>
      </c>
      <c r="F7" t="s">
        <v>112</v>
      </c>
      <c r="G7" s="4">
        <f>D7</f>
        <v>2.7294452083457879</v>
      </c>
      <c r="H7" s="4">
        <f>D28</f>
        <v>2.7994195806250683</v>
      </c>
      <c r="I7" s="4">
        <f>D49</f>
        <v>3.8220914511698765</v>
      </c>
      <c r="J7" s="4">
        <f>D70</f>
        <v>4.4521757734570944</v>
      </c>
      <c r="K7" s="4">
        <f>D91</f>
        <v>3.827804014167651</v>
      </c>
      <c r="L7" s="4">
        <f>D112</f>
        <v>4.8238087276745976</v>
      </c>
      <c r="M7" s="4">
        <f>D133</f>
        <v>5.3899182289783134</v>
      </c>
      <c r="N7" s="4">
        <f>D154</f>
        <v>6.8405855608213697</v>
      </c>
      <c r="O7" s="4">
        <f>D175</f>
        <v>6.5919570728409669</v>
      </c>
      <c r="P7" s="4">
        <f>D196</f>
        <v>6.5807610718392775</v>
      </c>
      <c r="Q7" s="4">
        <f>D217</f>
        <v>8.2429815157465871</v>
      </c>
      <c r="R7" s="4">
        <f>D238</f>
        <v>5.4937762102127037</v>
      </c>
      <c r="S7" s="4">
        <f>D259</f>
        <v>5.5682827102803731</v>
      </c>
      <c r="T7" s="4">
        <f>D280</f>
        <v>5.7023292479005807</v>
      </c>
      <c r="U7" s="4">
        <f>D301</f>
        <v>4.8868718449331459</v>
      </c>
      <c r="V7" s="4">
        <f>D322</f>
        <v>5.1622985235510965</v>
      </c>
      <c r="W7" s="4">
        <f>D343</f>
        <v>5.7910221810908444</v>
      </c>
      <c r="X7" s="4">
        <f>D364</f>
        <v>4.3567310026058967</v>
      </c>
    </row>
    <row r="8" spans="3:24" x14ac:dyDescent="0.2">
      <c r="D8" s="4">
        <f>'Quantity Shares_1998 forward'!AH10</f>
        <v>2.7241463414634151</v>
      </c>
      <c r="F8" t="s">
        <v>113</v>
      </c>
      <c r="G8" s="4">
        <f>D8</f>
        <v>2.7241463414634151</v>
      </c>
      <c r="H8" s="4">
        <f>D29</f>
        <v>2.7331957504096063</v>
      </c>
      <c r="I8" s="4">
        <f>D50</f>
        <v>3.5309167656931333</v>
      </c>
      <c r="J8" s="4">
        <f>D71</f>
        <v>4.2583505211639867</v>
      </c>
      <c r="K8" s="4">
        <f>D92</f>
        <v>3.9507792207792205</v>
      </c>
      <c r="L8" s="4">
        <f>D113</f>
        <v>4.7446245952199524</v>
      </c>
      <c r="M8" s="4">
        <f>D134</f>
        <v>5.6315602764831585</v>
      </c>
      <c r="N8" s="4">
        <f>D155</f>
        <v>7.0791253308137776</v>
      </c>
      <c r="O8" s="4">
        <f>D176</f>
        <v>7.4080281690140843</v>
      </c>
      <c r="P8" s="4">
        <f>D197</f>
        <v>7.4567568079449895</v>
      </c>
      <c r="Q8" s="4">
        <f>D218</f>
        <v>8.9835321925092924</v>
      </c>
      <c r="R8" s="4">
        <f>D239</f>
        <v>7.1859147471645253</v>
      </c>
      <c r="S8" s="4">
        <f>D260</f>
        <v>6.58</v>
      </c>
      <c r="T8" s="4">
        <f>D281</f>
        <v>6.6278376759792259</v>
      </c>
      <c r="U8" s="4">
        <f>D302</f>
        <v>5.5827646623023375</v>
      </c>
      <c r="V8" s="4">
        <f t="shared" ref="V8:V10" si="4">D323</f>
        <v>5.3803188255245757</v>
      </c>
      <c r="W8" s="4">
        <f t="shared" ref="W8:W10" si="5">D344</f>
        <v>5.8639837398373986</v>
      </c>
      <c r="X8" s="4">
        <f t="shared" ref="X8:X10" si="6">D365</f>
        <v>4.7506953812617603</v>
      </c>
    </row>
    <row r="9" spans="3:24" x14ac:dyDescent="0.2">
      <c r="D9" s="4">
        <f>'Quantity Shares_1998 forward'!AH11</f>
        <v>3.0717419354838711</v>
      </c>
      <c r="F9" t="s">
        <v>114</v>
      </c>
      <c r="G9" s="4">
        <f>D9</f>
        <v>3.0717419354838711</v>
      </c>
      <c r="H9" s="4">
        <f>D30</f>
        <v>3.1871806133675178</v>
      </c>
      <c r="I9" s="4">
        <f>D51</f>
        <v>4.4254573520515423</v>
      </c>
      <c r="J9" s="4">
        <f>D72</f>
        <v>4.986890215890889</v>
      </c>
      <c r="K9" s="4">
        <f>D93</f>
        <v>4.1500280112044816</v>
      </c>
      <c r="L9" s="4">
        <f>D114</f>
        <v>5.4448237547124654</v>
      </c>
      <c r="M9" s="4">
        <f>D135</f>
        <v>5.9364584328250194</v>
      </c>
      <c r="N9" s="4">
        <f>D156</f>
        <v>7.4657007809800913</v>
      </c>
      <c r="O9" s="4">
        <f>D177</f>
        <v>6.9360304659498206</v>
      </c>
      <c r="P9" s="4">
        <f>D198</f>
        <v>7.252247419026995</v>
      </c>
      <c r="Q9" s="4">
        <f>D219</f>
        <v>9.5599844775701683</v>
      </c>
      <c r="R9" s="4">
        <f>D240</f>
        <v>6.4611611184161646</v>
      </c>
      <c r="S9" s="4">
        <f>D261</f>
        <v>7.1000291545189507</v>
      </c>
      <c r="T9" s="4">
        <f>D282</f>
        <v>7.0062376822063879</v>
      </c>
      <c r="U9" s="4">
        <f>D303</f>
        <v>5.5120366508695948</v>
      </c>
      <c r="V9" s="4">
        <f t="shared" si="4"/>
        <v>5.4317851209376258</v>
      </c>
      <c r="W9" s="4">
        <f t="shared" si="5"/>
        <v>5.5801474005094329</v>
      </c>
      <c r="X9" s="4">
        <f t="shared" si="6"/>
        <v>3.9984196567592964</v>
      </c>
    </row>
    <row r="10" spans="3:24" x14ac:dyDescent="0.2">
      <c r="D10" s="4">
        <f>'Quantity Shares_1998 forward'!AH12</f>
        <v>3.3820689655172407</v>
      </c>
      <c r="F10" t="s">
        <v>115</v>
      </c>
      <c r="G10" s="4">
        <f>D10</f>
        <v>3.3820689655172407</v>
      </c>
      <c r="H10" s="4">
        <f>D31</f>
        <v>3.3781627179885514</v>
      </c>
      <c r="I10" s="4">
        <f>D52</f>
        <v>4.6563802769741036</v>
      </c>
      <c r="J10" s="4">
        <f>D73</f>
        <v>5.185867611290008</v>
      </c>
      <c r="K10" s="4">
        <f>D94</f>
        <v>4.1221478060046186</v>
      </c>
      <c r="L10" s="4">
        <f>D115</f>
        <v>5.8535697998963547</v>
      </c>
      <c r="M10" s="4">
        <f>D136</f>
        <v>6.7431562519915458</v>
      </c>
      <c r="N10" s="4">
        <f>D157</f>
        <v>9.0891546198348703</v>
      </c>
      <c r="O10" s="4">
        <f>D178</f>
        <v>8.7536923076923081</v>
      </c>
      <c r="P10" s="4">
        <f>D199</f>
        <v>8.6128837241924234</v>
      </c>
      <c r="Q10" s="4">
        <f>D220</f>
        <v>10.700274786664229</v>
      </c>
      <c r="R10" s="4">
        <f>D241</f>
        <v>6.3411044128565841</v>
      </c>
      <c r="S10" s="4">
        <f>D262</f>
        <v>6.4473275862068959</v>
      </c>
      <c r="T10" s="4">
        <f>D283</f>
        <v>6.9079833274696218</v>
      </c>
      <c r="U10" s="4">
        <f>D304</f>
        <v>6.5596435812973368</v>
      </c>
      <c r="V10" s="4">
        <f t="shared" si="4"/>
        <v>7.9076391400911454</v>
      </c>
      <c r="W10" s="4">
        <f t="shared" si="5"/>
        <v>9.426731078904993</v>
      </c>
      <c r="X10" s="4">
        <f t="shared" si="6"/>
        <v>7.153682104794429</v>
      </c>
    </row>
    <row r="11" spans="3:24" x14ac:dyDescent="0.2">
      <c r="D11" s="4">
        <f>'Quantity Shares_1998 forward'!AH13</f>
        <v>3.6429032258064509</v>
      </c>
    </row>
    <row r="12" spans="3:24" x14ac:dyDescent="0.2">
      <c r="D12" s="4">
        <f>'Quantity Shares_1998 forward'!AH14</f>
        <v>3.9314000000000009</v>
      </c>
      <c r="G12">
        <f>G6</f>
        <v>1998</v>
      </c>
      <c r="H12">
        <f t="shared" ref="H12:X12" si="7">H6</f>
        <v>1999</v>
      </c>
      <c r="I12">
        <f t="shared" si="7"/>
        <v>2000</v>
      </c>
      <c r="J12">
        <f t="shared" si="7"/>
        <v>2001</v>
      </c>
      <c r="K12">
        <f t="shared" si="7"/>
        <v>2002</v>
      </c>
      <c r="L12">
        <f t="shared" si="7"/>
        <v>2003</v>
      </c>
      <c r="M12">
        <f t="shared" si="7"/>
        <v>2004</v>
      </c>
      <c r="N12">
        <f t="shared" si="7"/>
        <v>2005</v>
      </c>
      <c r="O12">
        <f t="shared" si="7"/>
        <v>2006</v>
      </c>
      <c r="P12">
        <f t="shared" si="7"/>
        <v>2007</v>
      </c>
      <c r="Q12">
        <f t="shared" si="7"/>
        <v>2008</v>
      </c>
      <c r="R12">
        <f t="shared" si="7"/>
        <v>2009</v>
      </c>
      <c r="S12">
        <f t="shared" si="7"/>
        <v>2010</v>
      </c>
      <c r="T12">
        <f t="shared" si="7"/>
        <v>2011</v>
      </c>
      <c r="U12">
        <f t="shared" si="7"/>
        <v>2012</v>
      </c>
      <c r="V12">
        <f t="shared" si="7"/>
        <v>2013</v>
      </c>
      <c r="W12">
        <f t="shared" si="7"/>
        <v>2014</v>
      </c>
      <c r="X12">
        <f t="shared" si="7"/>
        <v>2015</v>
      </c>
    </row>
    <row r="13" spans="3:24" x14ac:dyDescent="0.2">
      <c r="D13" s="4">
        <f>'Quantity Shares_1998 forward'!AH15</f>
        <v>2.65978955453149</v>
      </c>
      <c r="F13" t="s">
        <v>116</v>
      </c>
      <c r="G13" s="4">
        <f>D11</f>
        <v>3.6429032258064509</v>
      </c>
      <c r="H13" s="4">
        <f>D32</f>
        <v>3.8479699150972086</v>
      </c>
      <c r="I13" s="4">
        <f>D53</f>
        <v>5.6315030426329784</v>
      </c>
      <c r="J13" s="4">
        <f>D74</f>
        <v>6.5856603191599232</v>
      </c>
      <c r="K13" s="4">
        <f>D95</f>
        <v>5.2902259887005645</v>
      </c>
      <c r="L13" s="4">
        <f>D116</f>
        <v>7.2856196797952899</v>
      </c>
      <c r="M13" s="4">
        <f>D137</f>
        <v>7.9029834581573395</v>
      </c>
      <c r="N13" s="4">
        <f>D158</f>
        <v>10.247927654920282</v>
      </c>
      <c r="O13" s="4">
        <f>D179</f>
        <v>9.1531506849315072</v>
      </c>
      <c r="P13" s="4">
        <f>D200</f>
        <v>9.7782973859890046</v>
      </c>
      <c r="Q13" s="4">
        <f>D221</f>
        <v>13.31161963378265</v>
      </c>
      <c r="R13" s="4">
        <f>D242</f>
        <v>8.4132586271698617</v>
      </c>
      <c r="S13" s="4">
        <f>D263</f>
        <v>9.5801908223534742</v>
      </c>
      <c r="T13" s="4">
        <f>D284</f>
        <v>9.3374211920215267</v>
      </c>
      <c r="U13" s="4">
        <f>D305</f>
        <v>7.4930639129621799</v>
      </c>
      <c r="V13" s="4">
        <f>D326</f>
        <v>8.0216197494974377</v>
      </c>
      <c r="W13" s="4">
        <f>D347</f>
        <v>8.9356521739130432</v>
      </c>
      <c r="X13" s="4">
        <f>D368</f>
        <v>6.312262409550474</v>
      </c>
    </row>
    <row r="14" spans="3:24" x14ac:dyDescent="0.2">
      <c r="D14" s="4">
        <f>'Quantity Shares_1998 forward'!AH16</f>
        <v>2.3521324036124911</v>
      </c>
      <c r="F14" t="s">
        <v>117</v>
      </c>
      <c r="G14" s="4">
        <f>D12</f>
        <v>3.9314000000000009</v>
      </c>
      <c r="H14" s="4">
        <f>D33</f>
        <v>3.824227317749231</v>
      </c>
      <c r="I14" s="4">
        <f>D54</f>
        <v>5.3759140306829094</v>
      </c>
      <c r="J14" s="4">
        <f>D75</f>
        <v>6.0537798557122171</v>
      </c>
      <c r="K14" s="4">
        <f>D96</f>
        <v>4.6800000000000006</v>
      </c>
      <c r="L14" s="4">
        <f>D117</f>
        <v>6.5737856573996876</v>
      </c>
      <c r="M14" s="4">
        <f>D138</f>
        <v>7.4002675729956247</v>
      </c>
      <c r="N14" s="4">
        <f>D159</f>
        <v>9.8257522146320753</v>
      </c>
      <c r="O14" s="4">
        <f>D180</f>
        <v>9.7142857142857153</v>
      </c>
      <c r="P14" s="4">
        <f>D201</f>
        <v>10.96044675126684</v>
      </c>
      <c r="Q14" s="4">
        <f>D222</f>
        <v>14.766221233329473</v>
      </c>
      <c r="R14" s="4">
        <f>D243</f>
        <v>10.023609471589982</v>
      </c>
      <c r="S14" s="4">
        <f>D264</f>
        <v>10.378170637970793</v>
      </c>
      <c r="T14" s="4">
        <f>D285</f>
        <v>11.143954004501609</v>
      </c>
      <c r="U14" s="4">
        <f>D306</f>
        <v>10.613677665996866</v>
      </c>
      <c r="V14" s="4">
        <f t="shared" ref="V14:V16" si="8">D327</f>
        <v>10.353618229063867</v>
      </c>
      <c r="W14" s="4">
        <f t="shared" ref="W14:W16" si="9">D348</f>
        <v>10.75</v>
      </c>
      <c r="X14" s="4">
        <f t="shared" ref="X14:X16" si="10">D369</f>
        <v>8.0082445883808457</v>
      </c>
    </row>
    <row r="15" spans="3:24" x14ac:dyDescent="0.2">
      <c r="D15" s="4">
        <f>'Quantity Shares_1998 forward'!AH17</f>
        <v>3.9250810810810819</v>
      </c>
      <c r="F15" t="s">
        <v>118</v>
      </c>
      <c r="G15" s="4">
        <f>D13</f>
        <v>2.65978955453149</v>
      </c>
      <c r="H15" s="4">
        <f>D34</f>
        <v>2.678796543318327</v>
      </c>
      <c r="I15" s="4">
        <f>D55</f>
        <v>3.5426786202987874</v>
      </c>
      <c r="J15" s="4">
        <f>D76</f>
        <v>4.1374017415407565</v>
      </c>
      <c r="K15" s="4">
        <f>D97</f>
        <v>3.6885996701793897</v>
      </c>
      <c r="L15" s="4">
        <f>D118</f>
        <v>4.6138724998934997</v>
      </c>
      <c r="M15" s="4">
        <f>D139</f>
        <v>5.0651760356189106</v>
      </c>
      <c r="N15" s="4">
        <f>D160</f>
        <v>6.3922669692286798</v>
      </c>
      <c r="O15" s="4">
        <f>D181</f>
        <v>6.3688024997702417</v>
      </c>
      <c r="P15" s="4">
        <f>D202</f>
        <v>6.3287747538354928</v>
      </c>
      <c r="Q15" s="4">
        <f>D223</f>
        <v>7.3138946468568298</v>
      </c>
      <c r="R15" s="4">
        <f>D244</f>
        <v>5.1795336679925787</v>
      </c>
      <c r="S15" s="4">
        <f>D265</f>
        <v>4.5584223027878483</v>
      </c>
      <c r="T15" s="4">
        <f>D286</f>
        <v>5.9518868083542413</v>
      </c>
      <c r="U15" s="4">
        <f>D307</f>
        <v>6.5663824859436506</v>
      </c>
      <c r="V15" s="4">
        <f t="shared" si="8"/>
        <v>7.0308668500110931</v>
      </c>
      <c r="W15" s="4">
        <f t="shared" si="9"/>
        <v>7.5970564434924288</v>
      </c>
      <c r="X15" s="4">
        <f t="shared" si="10"/>
        <v>5.8801507065093777</v>
      </c>
    </row>
    <row r="16" spans="3:24" x14ac:dyDescent="0.2">
      <c r="D16" s="4">
        <f>'Quantity Shares_1998 forward'!AH18</f>
        <v>2.604663258596597</v>
      </c>
      <c r="F16" t="s">
        <v>119</v>
      </c>
      <c r="G16" s="4">
        <f>D14</f>
        <v>2.3521324036124911</v>
      </c>
      <c r="H16" s="4">
        <f>D35</f>
        <v>2.4286740689793174</v>
      </c>
      <c r="I16" s="4">
        <f>D56</f>
        <v>3.1329415459364163</v>
      </c>
      <c r="J16" s="4">
        <f>D77</f>
        <v>3.5584885145303184</v>
      </c>
      <c r="K16" s="4">
        <f>D98</f>
        <v>3.3328254564629884</v>
      </c>
      <c r="L16" s="4">
        <f>D119</f>
        <v>4.1172131089186452</v>
      </c>
      <c r="M16" s="4">
        <f>D140</f>
        <v>4.7888293242942241</v>
      </c>
      <c r="N16" s="4">
        <f>D161</f>
        <v>6.1042376315324827</v>
      </c>
      <c r="O16" s="4">
        <f>D182</f>
        <v>6.4217463235294119</v>
      </c>
      <c r="P16" s="4">
        <f>D203</f>
        <v>6.3519899124589738</v>
      </c>
      <c r="Q16" s="4">
        <f>D224</f>
        <v>7.4890157850663917</v>
      </c>
      <c r="R16" s="4">
        <f>D245</f>
        <v>5.4075638542156641</v>
      </c>
      <c r="S16" s="4">
        <f>D266</f>
        <v>4.6964345272883952</v>
      </c>
      <c r="T16" s="4">
        <f>D287</f>
        <v>5.0891264608729401</v>
      </c>
      <c r="U16" s="4">
        <f>D308</f>
        <v>4.6126823551069087</v>
      </c>
      <c r="V16" s="4">
        <f t="shared" si="8"/>
        <v>4.5405975007142194</v>
      </c>
      <c r="W16" s="4">
        <f t="shared" si="9"/>
        <v>4.7850470026727763</v>
      </c>
      <c r="X16" s="4">
        <f t="shared" si="10"/>
        <v>3.8994611378487676</v>
      </c>
    </row>
    <row r="17" spans="3:24" x14ac:dyDescent="0.2">
      <c r="D17" s="4">
        <f>'Quantity Shares_1998 forward'!AH19</f>
        <v>2.5221103459932728</v>
      </c>
    </row>
    <row r="18" spans="3:24" x14ac:dyDescent="0.2">
      <c r="D18" s="4">
        <f>'Quantity Shares_1998 forward'!AH20</f>
        <v>3.6219444444444444</v>
      </c>
      <c r="G18">
        <f>G12</f>
        <v>1998</v>
      </c>
      <c r="H18">
        <f t="shared" ref="H18:X18" si="11">H12</f>
        <v>1999</v>
      </c>
      <c r="I18">
        <f t="shared" si="11"/>
        <v>2000</v>
      </c>
      <c r="J18">
        <f t="shared" si="11"/>
        <v>2001</v>
      </c>
      <c r="K18">
        <f t="shared" si="11"/>
        <v>2002</v>
      </c>
      <c r="L18">
        <f t="shared" si="11"/>
        <v>2003</v>
      </c>
      <c r="M18">
        <f t="shared" si="11"/>
        <v>2004</v>
      </c>
      <c r="N18">
        <f t="shared" si="11"/>
        <v>2005</v>
      </c>
      <c r="O18">
        <f t="shared" si="11"/>
        <v>2006</v>
      </c>
      <c r="P18">
        <f t="shared" si="11"/>
        <v>2007</v>
      </c>
      <c r="Q18">
        <f t="shared" si="11"/>
        <v>2008</v>
      </c>
      <c r="R18">
        <f t="shared" si="11"/>
        <v>2009</v>
      </c>
      <c r="S18">
        <f t="shared" si="11"/>
        <v>2010</v>
      </c>
      <c r="T18">
        <f t="shared" si="11"/>
        <v>2011</v>
      </c>
      <c r="U18">
        <f t="shared" si="11"/>
        <v>2012</v>
      </c>
      <c r="V18">
        <f t="shared" si="11"/>
        <v>2013</v>
      </c>
      <c r="W18">
        <f t="shared" si="11"/>
        <v>2014</v>
      </c>
      <c r="X18">
        <f t="shared" si="11"/>
        <v>2015</v>
      </c>
    </row>
    <row r="19" spans="3:24" x14ac:dyDescent="0.2">
      <c r="D19" s="4">
        <f>'Quantity Shares_1998 forward'!AH21</f>
        <v>2.4528425841674255</v>
      </c>
      <c r="F19" t="s">
        <v>120</v>
      </c>
      <c r="G19" s="4">
        <f>D15</f>
        <v>3.9250810810810819</v>
      </c>
      <c r="H19" s="4">
        <f>D36</f>
        <v>3.9452670221578159</v>
      </c>
      <c r="I19" s="4">
        <f>D57</f>
        <v>5.5073320576934028</v>
      </c>
      <c r="J19" s="4">
        <f>D78</f>
        <v>6.4288677972140205</v>
      </c>
      <c r="K19" s="4">
        <f>D99</f>
        <v>5.1046250000000013</v>
      </c>
      <c r="L19" s="4">
        <f>D120</f>
        <v>6.7301703873359608</v>
      </c>
      <c r="M19" s="4">
        <f>D141</f>
        <v>7.0949915621787847</v>
      </c>
      <c r="N19" s="4">
        <f>D162</f>
        <v>9.018546345656187</v>
      </c>
      <c r="O19" s="4">
        <f>D183</f>
        <v>7.8990086741016112</v>
      </c>
      <c r="P19" s="4">
        <f>D204</f>
        <v>8.2998263499882352</v>
      </c>
      <c r="Q19" s="4">
        <f>D225</f>
        <v>11.123237135208285</v>
      </c>
      <c r="R19" s="4">
        <f>D246</f>
        <v>6.831001328671948</v>
      </c>
      <c r="S19" s="4">
        <f>D267</f>
        <v>7.3632518612415421</v>
      </c>
      <c r="T19" s="4">
        <f>D288</f>
        <v>7.0349248152869164</v>
      </c>
      <c r="U19" s="4">
        <f>D309</f>
        <v>5.5923284697538067</v>
      </c>
      <c r="V19" s="4">
        <f>D330</f>
        <v>6.2124626525122864</v>
      </c>
      <c r="W19" s="4">
        <f>D351</f>
        <v>7.211557395087433</v>
      </c>
      <c r="X19" s="4">
        <f>D372</f>
        <v>5.1935333127787482</v>
      </c>
    </row>
    <row r="20" spans="3:24" x14ac:dyDescent="0.2">
      <c r="D20" s="4">
        <f>'Quantity Shares_1998 forward'!AH22</f>
        <v>3.465817637770547</v>
      </c>
      <c r="F20" t="s">
        <v>121</v>
      </c>
      <c r="G20" s="4">
        <f>D16</f>
        <v>2.604663258596597</v>
      </c>
      <c r="H20" s="4">
        <f>D37</f>
        <v>2.6646131244474502</v>
      </c>
      <c r="I20" s="4">
        <f>D58</f>
        <v>3.6369498599227059</v>
      </c>
      <c r="J20" s="4">
        <f>D79</f>
        <v>4.1930206291396983</v>
      </c>
      <c r="K20" s="4">
        <f>D100</f>
        <v>3.4873962983728553</v>
      </c>
      <c r="L20" s="4">
        <f>D121</f>
        <v>4.7074316685654747</v>
      </c>
      <c r="M20" s="4">
        <f>D142</f>
        <v>5.1974821054014821</v>
      </c>
      <c r="N20" s="4">
        <f>D163</f>
        <v>6.6049603893319011</v>
      </c>
      <c r="O20" s="4">
        <f>D184</f>
        <v>6.399584900462612</v>
      </c>
      <c r="P20" s="4">
        <f>D205</f>
        <v>6.4764238066260127</v>
      </c>
      <c r="Q20" s="4">
        <f>D226</f>
        <v>8.0337376067629194</v>
      </c>
      <c r="R20" s="4">
        <f>D247</f>
        <v>5.1742691490529626</v>
      </c>
      <c r="S20" s="4">
        <f>D268</f>
        <v>4.9465027904033132</v>
      </c>
      <c r="T20" s="4">
        <f>D289</f>
        <v>5.5808195503827536</v>
      </c>
      <c r="U20" s="4">
        <f>D310</f>
        <v>5.4057802562755395</v>
      </c>
      <c r="V20" s="4">
        <f t="shared" ref="V20:V22" si="12">D331</f>
        <v>6.1446077417289811</v>
      </c>
      <c r="W20" s="4">
        <f t="shared" ref="W20:W22" si="13">D352</f>
        <v>6.9872628411281585</v>
      </c>
      <c r="X20" s="4">
        <f t="shared" ref="X20:X22" si="14">D373</f>
        <v>5.7250464035666759</v>
      </c>
    </row>
    <row r="21" spans="3:24" x14ac:dyDescent="0.2">
      <c r="D21" s="4">
        <f>'Quantity Shares_1998 forward'!AH23</f>
        <v>3.8542851153039837</v>
      </c>
      <c r="F21" t="s">
        <v>122</v>
      </c>
      <c r="G21" s="4">
        <f>D17</f>
        <v>2.5221103459932728</v>
      </c>
      <c r="H21" s="4">
        <f>D38</f>
        <v>2.5633112647605847</v>
      </c>
      <c r="I21" s="4">
        <f>D59</f>
        <v>3.4092696559535338</v>
      </c>
      <c r="J21" s="4">
        <f>D80</f>
        <v>3.8706997085325012</v>
      </c>
      <c r="K21" s="4">
        <f>D101</f>
        <v>3.2581750301965524</v>
      </c>
      <c r="L21" s="4">
        <f>D122</f>
        <v>4.559376929969166</v>
      </c>
      <c r="M21" s="4">
        <f>D143</f>
        <v>5.4054402859999886</v>
      </c>
      <c r="N21" s="4">
        <f>D164</f>
        <v>7.1037371387039423</v>
      </c>
      <c r="O21" s="4">
        <f>D185</f>
        <v>7.2735340804859234</v>
      </c>
      <c r="P21" s="4">
        <f>D206</f>
        <v>7.0979577950648682</v>
      </c>
      <c r="Q21" s="4">
        <f>D227</f>
        <v>8.4725693052489497</v>
      </c>
      <c r="R21" s="4">
        <f>D248</f>
        <v>5.492592093398426</v>
      </c>
      <c r="S21" s="4">
        <f>D269</f>
        <v>5.1089482401656312</v>
      </c>
      <c r="T21" s="4">
        <f>D290</f>
        <v>5.0759128877009561</v>
      </c>
      <c r="U21" s="4">
        <f>D311</f>
        <v>4.1722102387527453</v>
      </c>
      <c r="V21" s="4">
        <f t="shared" si="12"/>
        <v>4.4082709092134973</v>
      </c>
      <c r="W21" s="4">
        <f t="shared" si="13"/>
        <v>4.8560693526810494</v>
      </c>
      <c r="X21" s="4">
        <f t="shared" si="14"/>
        <v>3.681912158564979</v>
      </c>
    </row>
    <row r="22" spans="3:24" x14ac:dyDescent="0.2">
      <c r="D22" s="4">
        <f>'Quantity Shares_1998 forward'!AH24</f>
        <v>3.8266256157635472</v>
      </c>
      <c r="F22" t="s">
        <v>123</v>
      </c>
      <c r="G22" s="4">
        <f>D18</f>
        <v>3.6219444444444444</v>
      </c>
      <c r="H22" s="4">
        <f>D39</f>
        <v>3.5513081451285506</v>
      </c>
      <c r="I22" s="4">
        <f>D60</f>
        <v>4.6777340881101805</v>
      </c>
      <c r="J22" s="4">
        <f>D81</f>
        <v>5.4519625803103162</v>
      </c>
      <c r="K22" s="4">
        <f>D102</f>
        <v>4.6640000000000006</v>
      </c>
      <c r="L22" s="4">
        <f>D123</f>
        <v>5.9022765967927207</v>
      </c>
      <c r="M22" s="4">
        <f>D144</f>
        <v>6.8697535107650838</v>
      </c>
      <c r="N22" s="4">
        <f>D165</f>
        <v>8.8797991174556898</v>
      </c>
      <c r="O22" s="4">
        <f>D186</f>
        <v>9.1138961038961028</v>
      </c>
      <c r="P22" s="4">
        <f>D207</f>
        <v>9.1035159680389572</v>
      </c>
      <c r="Q22" s="4">
        <f>D228</f>
        <v>10.91981126724205</v>
      </c>
      <c r="R22" s="4">
        <f>D249</f>
        <v>7.6817385991979501</v>
      </c>
      <c r="S22" s="4">
        <f>D270</f>
        <v>6.8835365853658539</v>
      </c>
      <c r="T22" s="4">
        <f>D291</f>
        <v>6.9501071876951679</v>
      </c>
      <c r="U22" s="4">
        <f>D312</f>
        <v>6.0702895111513806</v>
      </c>
      <c r="V22" s="4">
        <f t="shared" si="12"/>
        <v>6.3632389415828836</v>
      </c>
      <c r="W22" s="4">
        <f t="shared" si="13"/>
        <v>7.4546447507953362</v>
      </c>
      <c r="X22" s="4">
        <f t="shared" si="14"/>
        <v>6.1465392506239693</v>
      </c>
    </row>
    <row r="23" spans="3:24" x14ac:dyDescent="0.2">
      <c r="D23" s="4">
        <f>'Quantity Shares_1998 forward'!AH25</f>
        <v>3.7528106508875729</v>
      </c>
    </row>
    <row r="24" spans="3:24" x14ac:dyDescent="0.2">
      <c r="D24" s="4">
        <f>'Quantity Shares_1998 forward'!AH26</f>
        <v>3.4267809258344499</v>
      </c>
      <c r="G24">
        <f>G18</f>
        <v>1998</v>
      </c>
      <c r="H24">
        <f t="shared" ref="H24:X24" si="15">H18</f>
        <v>1999</v>
      </c>
      <c r="I24">
        <f t="shared" si="15"/>
        <v>2000</v>
      </c>
      <c r="J24">
        <f t="shared" si="15"/>
        <v>2001</v>
      </c>
      <c r="K24">
        <f t="shared" si="15"/>
        <v>2002</v>
      </c>
      <c r="L24">
        <f t="shared" si="15"/>
        <v>2003</v>
      </c>
      <c r="M24">
        <f t="shared" si="15"/>
        <v>2004</v>
      </c>
      <c r="N24">
        <f t="shared" si="15"/>
        <v>2005</v>
      </c>
      <c r="O24">
        <f t="shared" si="15"/>
        <v>2006</v>
      </c>
      <c r="P24">
        <f t="shared" si="15"/>
        <v>2007</v>
      </c>
      <c r="Q24">
        <f t="shared" si="15"/>
        <v>2008</v>
      </c>
      <c r="R24">
        <f t="shared" si="15"/>
        <v>2009</v>
      </c>
      <c r="S24">
        <f t="shared" si="15"/>
        <v>2010</v>
      </c>
      <c r="T24">
        <f t="shared" si="15"/>
        <v>2011</v>
      </c>
      <c r="U24">
        <f t="shared" si="15"/>
        <v>2012</v>
      </c>
      <c r="V24">
        <f t="shared" si="15"/>
        <v>2013</v>
      </c>
      <c r="W24">
        <f t="shared" si="15"/>
        <v>2014</v>
      </c>
      <c r="X24">
        <f t="shared" si="15"/>
        <v>2015</v>
      </c>
    </row>
    <row r="25" spans="3:24" x14ac:dyDescent="0.2">
      <c r="D25" s="4">
        <f>'Quantity Shares_1998 forward'!AH27</f>
        <v>3.2876459510357821</v>
      </c>
      <c r="F25" t="s">
        <v>124</v>
      </c>
      <c r="G25" s="4">
        <f>D19</f>
        <v>2.4528425841674255</v>
      </c>
      <c r="H25" s="4">
        <f>D40</f>
        <v>2.4504359151025161</v>
      </c>
      <c r="I25" s="4">
        <f>D61</f>
        <v>3.1957488032279526</v>
      </c>
      <c r="J25" s="4">
        <f>D82</f>
        <v>3.6949304310237365</v>
      </c>
      <c r="K25" s="4">
        <f>D103</f>
        <v>3.2483251833740829</v>
      </c>
      <c r="L25" s="4">
        <f>D124</f>
        <v>4.0332063820078901</v>
      </c>
      <c r="M25" s="4">
        <f>D145</f>
        <v>4.5916264074652737</v>
      </c>
      <c r="N25" s="4">
        <f>D166</f>
        <v>5.7630178987319036</v>
      </c>
      <c r="O25" s="4">
        <f>D187</f>
        <v>5.7562002096436062</v>
      </c>
      <c r="P25" s="4">
        <f>D208</f>
        <v>5.7169367812779077</v>
      </c>
      <c r="Q25" s="4">
        <f>D229</f>
        <v>6.9094079516895839</v>
      </c>
      <c r="R25" s="4">
        <f>D250</f>
        <v>5.0443044712115199</v>
      </c>
      <c r="S25" s="4">
        <f>D271</f>
        <v>4.9280674899236772</v>
      </c>
      <c r="T25" s="4">
        <f>D292</f>
        <v>5.102366241992307</v>
      </c>
      <c r="U25" s="4">
        <f>D313</f>
        <v>4.5356782832166518</v>
      </c>
      <c r="V25" s="4">
        <f>D334</f>
        <v>4.4677819685369364</v>
      </c>
      <c r="W25" s="4">
        <f>D355</f>
        <v>4.6579134315307025</v>
      </c>
      <c r="X25" s="4">
        <f>D376</f>
        <v>3.6638955410997065</v>
      </c>
    </row>
    <row r="26" spans="3:24" x14ac:dyDescent="0.2">
      <c r="D26" s="4">
        <f>'Quantity Shares_1998 forward'!AH28</f>
        <v>4.3333333333333339</v>
      </c>
      <c r="F26" t="s">
        <v>125</v>
      </c>
      <c r="G26" s="4">
        <f>D20</f>
        <v>3.465817637770547</v>
      </c>
      <c r="H26" s="4">
        <f>D41</f>
        <v>3.3337803817926921</v>
      </c>
      <c r="I26" s="4">
        <f>D62</f>
        <v>3.8763776444698053</v>
      </c>
      <c r="J26" s="4">
        <f>D83</f>
        <v>4.4361385807093709</v>
      </c>
      <c r="K26" s="4">
        <f>D104</f>
        <v>4.1178130232182832</v>
      </c>
      <c r="L26" s="4">
        <f>D125</f>
        <v>4.8092859298237576</v>
      </c>
      <c r="M26" s="4">
        <f>D146</f>
        <v>5.7322176739450015</v>
      </c>
      <c r="N26" s="4">
        <f>D167</f>
        <v>7.2920346385557897</v>
      </c>
      <c r="O26" s="4">
        <f>D188</f>
        <v>7.8333772776535939</v>
      </c>
      <c r="P26" s="4">
        <f>D209</f>
        <v>7.6954584238349666</v>
      </c>
      <c r="Q26" s="4">
        <f>D230</f>
        <v>8.8756390822824933</v>
      </c>
      <c r="R26" s="4">
        <f>D251</f>
        <v>7.6782489473942812</v>
      </c>
      <c r="S26" s="4">
        <f>D272</f>
        <v>6.9931962708747619</v>
      </c>
      <c r="T26" s="4">
        <f>D293</f>
        <v>7.4004446400154587</v>
      </c>
      <c r="U26" s="4">
        <f>D314</f>
        <v>6.8317591295921911</v>
      </c>
      <c r="V26" s="4">
        <f t="shared" ref="V26:V28" si="16">D335</f>
        <v>6.3140628814731574</v>
      </c>
      <c r="W26" s="4">
        <f t="shared" ref="W26:W28" si="17">D356</f>
        <v>6.3511949336808051</v>
      </c>
      <c r="X26" s="4">
        <f t="shared" ref="X26:X28" si="18">D377</f>
        <v>5.4143139073808877</v>
      </c>
    </row>
    <row r="27" spans="3:24" x14ac:dyDescent="0.2">
      <c r="D27" s="4">
        <f>'Quantity Shares_1998 forward'!AH29</f>
        <v>4.0496815286624201</v>
      </c>
      <c r="F27" t="s">
        <v>126</v>
      </c>
      <c r="G27" s="4">
        <f>D21</f>
        <v>3.8542851153039837</v>
      </c>
      <c r="H27" s="4">
        <f>D42</f>
        <v>3.8675029144868427</v>
      </c>
      <c r="I27" s="4">
        <f>D63</f>
        <v>5.3153942182239122</v>
      </c>
      <c r="J27" s="4">
        <f>D84</f>
        <v>6.2455661269687877</v>
      </c>
      <c r="K27" s="4">
        <f>D105</f>
        <v>5.1512187958883997</v>
      </c>
      <c r="L27" s="4">
        <f>D126</f>
        <v>6.7533928051811065</v>
      </c>
      <c r="M27" s="4">
        <f>D147</f>
        <v>7.5501677725448104</v>
      </c>
      <c r="N27" s="4">
        <f>D168</f>
        <v>9.6272381255608313</v>
      </c>
      <c r="O27" s="4">
        <f>D189</f>
        <v>9.0801584158415825</v>
      </c>
      <c r="P27" s="4">
        <f>D210</f>
        <v>9.1530138600475173</v>
      </c>
      <c r="Q27" s="4">
        <f>D231</f>
        <v>11.536096519226032</v>
      </c>
      <c r="R27" s="4">
        <f>D252</f>
        <v>7.5708487405850624</v>
      </c>
      <c r="S27" s="4">
        <f>D273</f>
        <v>7.416188540456834</v>
      </c>
      <c r="T27" s="4">
        <f>D294</f>
        <v>7.1928217793151656</v>
      </c>
      <c r="U27" s="4">
        <f>D315</f>
        <v>5.8310624576878558</v>
      </c>
      <c r="V27" s="4">
        <f t="shared" si="16"/>
        <v>6.1070888836111106</v>
      </c>
      <c r="W27" s="4">
        <f t="shared" si="17"/>
        <v>6.9919402985074619</v>
      </c>
      <c r="X27" s="4">
        <f t="shared" si="18"/>
        <v>5.224625801721186</v>
      </c>
    </row>
    <row r="28" spans="3:24" x14ac:dyDescent="0.2">
      <c r="C28">
        <v>1999</v>
      </c>
      <c r="D28" s="4">
        <f>'Quantity Shares_1998 forward'!AH30</f>
        <v>2.7994195806250683</v>
      </c>
      <c r="F28" t="s">
        <v>127</v>
      </c>
      <c r="G28" s="4">
        <f>D22</f>
        <v>3.8266256157635472</v>
      </c>
      <c r="H28" s="4">
        <f>D43</f>
        <v>3.9088515466886569</v>
      </c>
      <c r="I28" s="4">
        <f>D64</f>
        <v>5.5124292019998364</v>
      </c>
      <c r="J28" s="4">
        <f>D85</f>
        <v>6.6023303423553994</v>
      </c>
      <c r="K28" s="4">
        <f>D106</f>
        <v>5.5240944017563125</v>
      </c>
      <c r="L28" s="4">
        <f>D127</f>
        <v>7.3665388731693042</v>
      </c>
      <c r="M28" s="4">
        <f>D148</f>
        <v>8.3138051255783836</v>
      </c>
      <c r="N28" s="4">
        <f>D169</f>
        <v>10.685740196693436</v>
      </c>
      <c r="O28" s="4">
        <f>D190</f>
        <v>10.304301075268816</v>
      </c>
      <c r="P28" s="4">
        <f>D211</f>
        <v>10.293927782693441</v>
      </c>
      <c r="Q28" s="4">
        <f>D232</f>
        <v>12.755834150576099</v>
      </c>
      <c r="R28" s="4">
        <f>D253</f>
        <v>8.2176537040705018</v>
      </c>
      <c r="S28" s="4">
        <f>D274</f>
        <v>7.9942931258106356</v>
      </c>
      <c r="T28" s="4">
        <f>D295</f>
        <v>8.1702834728070979</v>
      </c>
      <c r="U28" s="4">
        <f>D316</f>
        <v>7.199408026722506</v>
      </c>
      <c r="V28" s="4">
        <f t="shared" si="16"/>
        <v>7.9674398640027384</v>
      </c>
      <c r="W28" s="4">
        <f t="shared" si="17"/>
        <v>9.2675090252707619</v>
      </c>
      <c r="X28" s="4">
        <f t="shared" si="18"/>
        <v>7.0079631942562779</v>
      </c>
    </row>
    <row r="29" spans="3:24" x14ac:dyDescent="0.2">
      <c r="D29" s="4">
        <f>'Quantity Shares_1998 forward'!AH31</f>
        <v>2.7331957504096063</v>
      </c>
    </row>
    <row r="30" spans="3:24" x14ac:dyDescent="0.2">
      <c r="D30" s="4">
        <f>'Quantity Shares_1998 forward'!AH32</f>
        <v>3.1871806133675178</v>
      </c>
    </row>
    <row r="31" spans="3:24" x14ac:dyDescent="0.2">
      <c r="D31" s="4">
        <f>'Quantity Shares_1998 forward'!AH33</f>
        <v>3.3781627179885514</v>
      </c>
      <c r="G31">
        <f>G18</f>
        <v>1998</v>
      </c>
      <c r="H31">
        <f t="shared" ref="H31:X31" si="19">H18</f>
        <v>1999</v>
      </c>
      <c r="I31">
        <f t="shared" si="19"/>
        <v>2000</v>
      </c>
      <c r="J31">
        <f t="shared" si="19"/>
        <v>2001</v>
      </c>
      <c r="K31">
        <f t="shared" si="19"/>
        <v>2002</v>
      </c>
      <c r="L31">
        <f t="shared" si="19"/>
        <v>2003</v>
      </c>
      <c r="M31">
        <f t="shared" si="19"/>
        <v>2004</v>
      </c>
      <c r="N31">
        <f t="shared" si="19"/>
        <v>2005</v>
      </c>
      <c r="O31">
        <f t="shared" si="19"/>
        <v>2006</v>
      </c>
      <c r="P31">
        <f t="shared" si="19"/>
        <v>2007</v>
      </c>
      <c r="Q31">
        <f t="shared" si="19"/>
        <v>2008</v>
      </c>
      <c r="R31">
        <f t="shared" si="19"/>
        <v>2009</v>
      </c>
      <c r="S31">
        <f t="shared" si="19"/>
        <v>2010</v>
      </c>
      <c r="T31">
        <f t="shared" si="19"/>
        <v>2011</v>
      </c>
      <c r="U31">
        <f t="shared" si="19"/>
        <v>2012</v>
      </c>
      <c r="V31">
        <f t="shared" si="19"/>
        <v>2013</v>
      </c>
      <c r="W31">
        <f t="shared" si="19"/>
        <v>2014</v>
      </c>
      <c r="X31">
        <f t="shared" si="19"/>
        <v>2015</v>
      </c>
    </row>
    <row r="32" spans="3:24" x14ac:dyDescent="0.2">
      <c r="D32" s="4">
        <f>'Quantity Shares_1998 forward'!AH34</f>
        <v>3.8479699150972086</v>
      </c>
      <c r="F32" t="s">
        <v>42</v>
      </c>
      <c r="G32" s="4">
        <f>D23</f>
        <v>3.7528106508875729</v>
      </c>
      <c r="H32" s="4">
        <f>D44</f>
        <v>3.7206440264075757</v>
      </c>
      <c r="I32" s="4">
        <f>D65</f>
        <v>5.0012382583280077</v>
      </c>
      <c r="J32" s="4">
        <f>D86</f>
        <v>6.1484039577335476</v>
      </c>
      <c r="K32" s="4">
        <f>D107</f>
        <v>5.4719364161849713</v>
      </c>
      <c r="L32" s="4">
        <f>D128</f>
        <v>6.6215431607104094</v>
      </c>
      <c r="M32" s="4">
        <f>D149</f>
        <v>7.7490872961822426</v>
      </c>
      <c r="N32" s="4">
        <f>D170</f>
        <v>9.7167184081016487</v>
      </c>
      <c r="O32" s="4">
        <f>D191</f>
        <v>9.824258474576272</v>
      </c>
      <c r="P32" s="4">
        <f>D212</f>
        <v>9.4826828092585451</v>
      </c>
      <c r="Q32" s="4">
        <f>D233</f>
        <v>11.17968357611888</v>
      </c>
      <c r="R32" s="4">
        <f>D254</f>
        <v>7.9758201964226387</v>
      </c>
      <c r="S32" s="4">
        <f>D275</f>
        <v>6.6876470588235275</v>
      </c>
      <c r="T32" s="4">
        <f>D296</f>
        <v>6.6969461734898834</v>
      </c>
      <c r="U32" s="4">
        <f>D317</f>
        <v>5.8083112424137022</v>
      </c>
      <c r="V32" s="4">
        <f>D338</f>
        <v>6.3241657908351421</v>
      </c>
      <c r="W32" s="4">
        <f>D359</f>
        <v>7.5866269841269842</v>
      </c>
      <c r="X32" s="4">
        <f>D380</f>
        <v>6.1952360443899099</v>
      </c>
    </row>
    <row r="33" spans="4:24" x14ac:dyDescent="0.2">
      <c r="D33" s="4">
        <f>'Quantity Shares_1998 forward'!AH35</f>
        <v>3.824227317749231</v>
      </c>
      <c r="F33" t="s">
        <v>44</v>
      </c>
      <c r="G33" s="4">
        <f>D24</f>
        <v>3.4267809258344499</v>
      </c>
      <c r="H33" s="4">
        <f>D45</f>
        <v>3.4362983669229061</v>
      </c>
      <c r="I33" s="4">
        <f>D66</f>
        <v>4.7883097901512413</v>
      </c>
      <c r="J33" s="4">
        <f>D87</f>
        <v>5.8684173773508714</v>
      </c>
      <c r="K33" s="4">
        <f>D108</f>
        <v>4.9912811387900344</v>
      </c>
      <c r="L33" s="4">
        <f>D129</f>
        <v>6.510921781825493</v>
      </c>
      <c r="M33" s="4">
        <f>D150</f>
        <v>7.6242937638476409</v>
      </c>
      <c r="N33" s="4">
        <f>D171</f>
        <v>9.7802455469220622</v>
      </c>
      <c r="O33" s="4">
        <f>D192</f>
        <v>9.7635103926097013</v>
      </c>
      <c r="P33" s="4">
        <f>D213</f>
        <v>9.630935549423171</v>
      </c>
      <c r="Q33" s="4">
        <f>D234</f>
        <v>11.675890604653938</v>
      </c>
      <c r="R33" s="4">
        <f>D255</f>
        <v>8.1093683647005204</v>
      </c>
      <c r="S33" s="4">
        <f>D276</f>
        <v>7.3841775456919061</v>
      </c>
      <c r="T33" s="4">
        <f>D297</f>
        <v>7.1310360952271337</v>
      </c>
      <c r="U33" s="4">
        <f>D318</f>
        <v>5.6984936723114279</v>
      </c>
      <c r="V33" s="4">
        <f t="shared" ref="V33:V34" si="20">D339</f>
        <v>5.8697340048347577</v>
      </c>
      <c r="W33" s="4">
        <f t="shared" ref="W33:W34" si="21">D360</f>
        <v>6.6420915032679737</v>
      </c>
      <c r="X33" s="4">
        <f t="shared" ref="X33:X34" si="22">D381</f>
        <v>5.1056828719222356</v>
      </c>
    </row>
    <row r="34" spans="4:24" x14ac:dyDescent="0.2">
      <c r="D34" s="4">
        <f>'Quantity Shares_1998 forward'!AH36</f>
        <v>2.678796543318327</v>
      </c>
      <c r="F34" t="s">
        <v>46</v>
      </c>
      <c r="G34" s="4">
        <f>D25</f>
        <v>3.2876459510357821</v>
      </c>
      <c r="H34" s="4">
        <f>D46</f>
        <v>3.3207293018197803</v>
      </c>
      <c r="I34" s="4">
        <f>D67</f>
        <v>4.5451324094228696</v>
      </c>
      <c r="J34" s="4">
        <f>D88</f>
        <v>5.2446537187844546</v>
      </c>
      <c r="K34" s="4">
        <f>D109</f>
        <v>4.2397828042668033</v>
      </c>
      <c r="L34" s="4">
        <f>D130</f>
        <v>5.6679829258847922</v>
      </c>
      <c r="M34" s="4">
        <f>D151</f>
        <v>6.15508737268377</v>
      </c>
      <c r="N34" s="4">
        <f>D172</f>
        <v>7.9590885569075471</v>
      </c>
      <c r="O34" s="4">
        <f>D193</f>
        <v>7.1941281138790041</v>
      </c>
      <c r="P34" s="4">
        <f>D214</f>
        <v>7.6431572842816706</v>
      </c>
      <c r="Q34" s="4">
        <f>D235</f>
        <v>10.305178417387545</v>
      </c>
      <c r="R34" s="4">
        <f>D256</f>
        <v>6.6313020021846265</v>
      </c>
      <c r="S34" s="4">
        <f>D277</f>
        <v>7.2781118881118889</v>
      </c>
      <c r="T34" s="4">
        <f>D298</f>
        <v>7.1643779940065686</v>
      </c>
      <c r="U34" s="4">
        <f>D319</f>
        <v>5.9689540616649381</v>
      </c>
      <c r="V34" s="4">
        <f t="shared" si="20"/>
        <v>6.439597247872026</v>
      </c>
      <c r="W34" s="4">
        <f t="shared" si="21"/>
        <v>7.2266544117647058</v>
      </c>
      <c r="X34" s="4">
        <f t="shared" si="22"/>
        <v>5.3024755799896122</v>
      </c>
    </row>
    <row r="35" spans="4:24" x14ac:dyDescent="0.2">
      <c r="D35" s="4">
        <f>'Quantity Shares_1998 forward'!AH37</f>
        <v>2.4286740689793174</v>
      </c>
    </row>
    <row r="36" spans="4:24" x14ac:dyDescent="0.2">
      <c r="D36" s="4">
        <f>'Quantity Shares_1998 forward'!AH38</f>
        <v>3.9452670221578159</v>
      </c>
    </row>
    <row r="37" spans="4:24" x14ac:dyDescent="0.2">
      <c r="D37" s="4">
        <f>'Quantity Shares_1998 forward'!AH39</f>
        <v>2.6646131244474502</v>
      </c>
      <c r="G37">
        <f>G18</f>
        <v>1998</v>
      </c>
      <c r="H37">
        <f t="shared" ref="H37:X37" si="23">H18</f>
        <v>1999</v>
      </c>
      <c r="I37">
        <f t="shared" si="23"/>
        <v>2000</v>
      </c>
      <c r="J37">
        <f t="shared" si="23"/>
        <v>2001</v>
      </c>
      <c r="K37">
        <f t="shared" si="23"/>
        <v>2002</v>
      </c>
      <c r="L37">
        <f t="shared" si="23"/>
        <v>2003</v>
      </c>
      <c r="M37">
        <f t="shared" si="23"/>
        <v>2004</v>
      </c>
      <c r="N37">
        <f t="shared" si="23"/>
        <v>2005</v>
      </c>
      <c r="O37">
        <f t="shared" si="23"/>
        <v>2006</v>
      </c>
      <c r="P37">
        <f t="shared" si="23"/>
        <v>2007</v>
      </c>
      <c r="Q37">
        <f t="shared" si="23"/>
        <v>2008</v>
      </c>
      <c r="R37">
        <f t="shared" si="23"/>
        <v>2009</v>
      </c>
      <c r="S37">
        <f t="shared" si="23"/>
        <v>2010</v>
      </c>
      <c r="T37">
        <f t="shared" si="23"/>
        <v>2011</v>
      </c>
      <c r="U37">
        <f t="shared" si="23"/>
        <v>2012</v>
      </c>
      <c r="V37">
        <f t="shared" si="23"/>
        <v>2013</v>
      </c>
      <c r="W37">
        <f t="shared" si="23"/>
        <v>2014</v>
      </c>
      <c r="X37">
        <f t="shared" si="23"/>
        <v>2015</v>
      </c>
    </row>
    <row r="38" spans="4:24" x14ac:dyDescent="0.2">
      <c r="D38" s="4">
        <f>'Quantity Shares_1998 forward'!AH40</f>
        <v>2.5633112647605847</v>
      </c>
      <c r="F38" t="s">
        <v>48</v>
      </c>
      <c r="G38" s="4">
        <f>D26</f>
        <v>4.3333333333333339</v>
      </c>
      <c r="H38" s="4">
        <f>D47</f>
        <v>4.0989599446078611</v>
      </c>
      <c r="I38" s="4">
        <f>D68</f>
        <v>5.3738275513927709</v>
      </c>
      <c r="J38" s="4">
        <f>D89</f>
        <v>6.3086116301626838</v>
      </c>
      <c r="K38" s="4">
        <f>D110</f>
        <v>5.107868852459017</v>
      </c>
      <c r="L38" s="4">
        <f>D131</f>
        <v>7.0717408976963503</v>
      </c>
      <c r="M38" s="4">
        <f>D152</f>
        <v>7.7903829463623433</v>
      </c>
      <c r="N38" s="4">
        <f>D173</f>
        <v>9.9742901467621472</v>
      </c>
      <c r="O38" s="4">
        <f>D194</f>
        <v>9.2324663677130054</v>
      </c>
      <c r="P38" s="4">
        <f>D215</f>
        <v>9.6888705612403871</v>
      </c>
      <c r="Q38" s="4">
        <f>D236</f>
        <v>12.542889974940707</v>
      </c>
      <c r="R38" s="4">
        <f>D257</f>
        <v>8.2609485482717471</v>
      </c>
      <c r="S38" s="4">
        <f>D278</f>
        <v>8.5506134969325185</v>
      </c>
      <c r="T38" s="4">
        <f>D299</f>
        <v>8.5406510663666779</v>
      </c>
      <c r="U38" s="4">
        <f>D320</f>
        <v>7.1092738076264883</v>
      </c>
      <c r="V38" s="4">
        <f>D341</f>
        <v>7.6949628494060285</v>
      </c>
      <c r="W38" s="4">
        <f>D362</f>
        <v>8.8417058823529402</v>
      </c>
      <c r="X38" s="4">
        <f>D383</f>
        <v>6.446841877821412</v>
      </c>
    </row>
    <row r="39" spans="4:24" x14ac:dyDescent="0.2">
      <c r="D39" s="4">
        <f>'Quantity Shares_1998 forward'!AH41</f>
        <v>3.5513081451285506</v>
      </c>
      <c r="F39" t="s">
        <v>50</v>
      </c>
      <c r="G39" s="4">
        <f>D27</f>
        <v>4.0496815286624201</v>
      </c>
      <c r="H39" s="4">
        <f>D48</f>
        <v>3.9991048231340098</v>
      </c>
      <c r="I39" s="4">
        <f>D69</f>
        <v>5.6155815283153707</v>
      </c>
      <c r="J39" s="4">
        <f>D90</f>
        <v>6.5503886155631026</v>
      </c>
      <c r="K39" s="4">
        <f>D111</f>
        <v>5.1095833333333331</v>
      </c>
      <c r="L39" s="4">
        <f>D132</f>
        <v>7.0816100222297269</v>
      </c>
      <c r="M39" s="4">
        <f>D153</f>
        <v>7.7699177597077291</v>
      </c>
      <c r="N39" s="4">
        <f>D174</f>
        <v>10.111587060367057</v>
      </c>
      <c r="O39" s="4">
        <f>D195</f>
        <v>9.6178461538461555</v>
      </c>
      <c r="P39" s="4">
        <f>D216</f>
        <v>10.285121241562637</v>
      </c>
      <c r="Q39" s="4">
        <f>D237</f>
        <v>13.429715221004283</v>
      </c>
      <c r="R39" s="4">
        <f>D258</f>
        <v>8.8058864089548319</v>
      </c>
      <c r="S39" s="4">
        <f>D279</f>
        <v>8.9980459770114916</v>
      </c>
      <c r="T39" s="4">
        <f>D300</f>
        <v>8.6962456184238839</v>
      </c>
      <c r="U39" s="4">
        <f>D321</f>
        <v>7.1252798306174165</v>
      </c>
      <c r="V39" s="4"/>
      <c r="W39" s="4"/>
      <c r="X39" s="4"/>
    </row>
    <row r="40" spans="4:24" x14ac:dyDescent="0.2">
      <c r="D40" s="4">
        <f>'Quantity Shares_1998 forward'!AH42</f>
        <v>2.4504359151025161</v>
      </c>
    </row>
    <row r="41" spans="4:24" x14ac:dyDescent="0.2">
      <c r="D41" s="4">
        <f>'Quantity Shares_1998 forward'!AH43</f>
        <v>3.3337803817926921</v>
      </c>
    </row>
    <row r="42" spans="4:24" x14ac:dyDescent="0.2">
      <c r="D42" s="4">
        <f>'Quantity Shares_1998 forward'!AH44</f>
        <v>3.8675029144868427</v>
      </c>
    </row>
    <row r="43" spans="4:24" x14ac:dyDescent="0.2">
      <c r="D43" s="4">
        <f>'Quantity Shares_1998 forward'!AH45</f>
        <v>3.9088515466886569</v>
      </c>
    </row>
    <row r="44" spans="4:24" x14ac:dyDescent="0.2">
      <c r="D44" s="4">
        <f>'Quantity Shares_1998 forward'!AH46</f>
        <v>3.7206440264075757</v>
      </c>
    </row>
    <row r="45" spans="4:24" x14ac:dyDescent="0.2">
      <c r="D45" s="4">
        <f>'Quantity Shares_1998 forward'!AH47</f>
        <v>3.4362983669229061</v>
      </c>
    </row>
    <row r="46" spans="4:24" x14ac:dyDescent="0.2">
      <c r="D46" s="4">
        <f>'Quantity Shares_1998 forward'!AH48</f>
        <v>3.3207293018197803</v>
      </c>
    </row>
    <row r="47" spans="4:24" x14ac:dyDescent="0.2">
      <c r="D47" s="4">
        <f>'Quantity Shares_1998 forward'!AH49</f>
        <v>4.0989599446078611</v>
      </c>
    </row>
    <row r="48" spans="4:24" x14ac:dyDescent="0.2">
      <c r="D48" s="4">
        <f>'Quantity Shares_1998 forward'!AH50</f>
        <v>3.9991048231340098</v>
      </c>
    </row>
    <row r="49" spans="3:4" x14ac:dyDescent="0.2">
      <c r="C49">
        <v>2000</v>
      </c>
      <c r="D49" s="4">
        <f>'Quantity Shares_1998 forward'!AH51</f>
        <v>3.8220914511698765</v>
      </c>
    </row>
    <row r="50" spans="3:4" x14ac:dyDescent="0.2">
      <c r="D50" s="4">
        <f>'Quantity Shares_1998 forward'!AH52</f>
        <v>3.5309167656931333</v>
      </c>
    </row>
    <row r="51" spans="3:4" x14ac:dyDescent="0.2">
      <c r="D51" s="4">
        <f>'Quantity Shares_1998 forward'!AH53</f>
        <v>4.4254573520515423</v>
      </c>
    </row>
    <row r="52" spans="3:4" x14ac:dyDescent="0.2">
      <c r="D52" s="4">
        <f>'Quantity Shares_1998 forward'!AH54</f>
        <v>4.6563802769741036</v>
      </c>
    </row>
    <row r="53" spans="3:4" x14ac:dyDescent="0.2">
      <c r="D53" s="4">
        <f>'Quantity Shares_1998 forward'!AH55</f>
        <v>5.6315030426329784</v>
      </c>
    </row>
    <row r="54" spans="3:4" x14ac:dyDescent="0.2">
      <c r="D54" s="4">
        <f>'Quantity Shares_1998 forward'!AH56</f>
        <v>5.3759140306829094</v>
      </c>
    </row>
    <row r="55" spans="3:4" x14ac:dyDescent="0.2">
      <c r="D55" s="4">
        <f>'Quantity Shares_1998 forward'!AH57</f>
        <v>3.5426786202987874</v>
      </c>
    </row>
    <row r="56" spans="3:4" x14ac:dyDescent="0.2">
      <c r="D56" s="4">
        <f>'Quantity Shares_1998 forward'!AH58</f>
        <v>3.1329415459364163</v>
      </c>
    </row>
    <row r="57" spans="3:4" x14ac:dyDescent="0.2">
      <c r="D57" s="4">
        <f>'Quantity Shares_1998 forward'!AH59</f>
        <v>5.5073320576934028</v>
      </c>
    </row>
    <row r="58" spans="3:4" x14ac:dyDescent="0.2">
      <c r="D58" s="4">
        <f>'Quantity Shares_1998 forward'!AH60</f>
        <v>3.6369498599227059</v>
      </c>
    </row>
    <row r="59" spans="3:4" x14ac:dyDescent="0.2">
      <c r="D59" s="4">
        <f>'Quantity Shares_1998 forward'!AH61</f>
        <v>3.4092696559535338</v>
      </c>
    </row>
    <row r="60" spans="3:4" x14ac:dyDescent="0.2">
      <c r="D60" s="4">
        <f>'Quantity Shares_1998 forward'!AH62</f>
        <v>4.6777340881101805</v>
      </c>
    </row>
    <row r="61" spans="3:4" x14ac:dyDescent="0.2">
      <c r="D61" s="4">
        <f>'Quantity Shares_1998 forward'!AH63</f>
        <v>3.1957488032279526</v>
      </c>
    </row>
    <row r="62" spans="3:4" x14ac:dyDescent="0.2">
      <c r="D62" s="4">
        <f>'Quantity Shares_1998 forward'!AH64</f>
        <v>3.8763776444698053</v>
      </c>
    </row>
    <row r="63" spans="3:4" x14ac:dyDescent="0.2">
      <c r="D63" s="4">
        <f>'Quantity Shares_1998 forward'!AH65</f>
        <v>5.3153942182239122</v>
      </c>
    </row>
    <row r="64" spans="3:4" x14ac:dyDescent="0.2">
      <c r="D64" s="4">
        <f>'Quantity Shares_1998 forward'!AH66</f>
        <v>5.5124292019998364</v>
      </c>
    </row>
    <row r="65" spans="3:4" x14ac:dyDescent="0.2">
      <c r="D65" s="4">
        <f>'Quantity Shares_1998 forward'!AH67</f>
        <v>5.0012382583280077</v>
      </c>
    </row>
    <row r="66" spans="3:4" x14ac:dyDescent="0.2">
      <c r="D66" s="4">
        <f>'Quantity Shares_1998 forward'!AH68</f>
        <v>4.7883097901512413</v>
      </c>
    </row>
    <row r="67" spans="3:4" x14ac:dyDescent="0.2">
      <c r="D67" s="4">
        <f>'Quantity Shares_1998 forward'!AH69</f>
        <v>4.5451324094228696</v>
      </c>
    </row>
    <row r="68" spans="3:4" x14ac:dyDescent="0.2">
      <c r="D68" s="4">
        <f>'Quantity Shares_1998 forward'!AH70</f>
        <v>5.3738275513927709</v>
      </c>
    </row>
    <row r="69" spans="3:4" x14ac:dyDescent="0.2">
      <c r="D69" s="4">
        <f>'Quantity Shares_1998 forward'!AH71</f>
        <v>5.6155815283153707</v>
      </c>
    </row>
    <row r="70" spans="3:4" x14ac:dyDescent="0.2">
      <c r="C70">
        <v>2001</v>
      </c>
      <c r="D70" s="4">
        <f>'Quantity Shares_1998 forward'!AH72</f>
        <v>4.4521757734570944</v>
      </c>
    </row>
    <row r="71" spans="3:4" x14ac:dyDescent="0.2">
      <c r="D71" s="4">
        <f>'Quantity Shares_1998 forward'!AH73</f>
        <v>4.2583505211639867</v>
      </c>
    </row>
    <row r="72" spans="3:4" x14ac:dyDescent="0.2">
      <c r="D72" s="4">
        <f>'Quantity Shares_1998 forward'!AH74</f>
        <v>4.986890215890889</v>
      </c>
    </row>
    <row r="73" spans="3:4" x14ac:dyDescent="0.2">
      <c r="D73" s="4">
        <f>'Quantity Shares_1998 forward'!AH75</f>
        <v>5.185867611290008</v>
      </c>
    </row>
    <row r="74" spans="3:4" x14ac:dyDescent="0.2">
      <c r="D74" s="4">
        <f>'Quantity Shares_1998 forward'!AH76</f>
        <v>6.5856603191599232</v>
      </c>
    </row>
    <row r="75" spans="3:4" x14ac:dyDescent="0.2">
      <c r="D75" s="4">
        <f>'Quantity Shares_1998 forward'!AH77</f>
        <v>6.0537798557122171</v>
      </c>
    </row>
    <row r="76" spans="3:4" x14ac:dyDescent="0.2">
      <c r="D76" s="4">
        <f>'Quantity Shares_1998 forward'!AH78</f>
        <v>4.1374017415407565</v>
      </c>
    </row>
    <row r="77" spans="3:4" x14ac:dyDescent="0.2">
      <c r="D77" s="4">
        <f>'Quantity Shares_1998 forward'!AH79</f>
        <v>3.5584885145303184</v>
      </c>
    </row>
    <row r="78" spans="3:4" x14ac:dyDescent="0.2">
      <c r="D78" s="4">
        <f>'Quantity Shares_1998 forward'!AH80</f>
        <v>6.4288677972140205</v>
      </c>
    </row>
    <row r="79" spans="3:4" x14ac:dyDescent="0.2">
      <c r="D79" s="4">
        <f>'Quantity Shares_1998 forward'!AH81</f>
        <v>4.1930206291396983</v>
      </c>
    </row>
    <row r="80" spans="3:4" x14ac:dyDescent="0.2">
      <c r="D80" s="4">
        <f>'Quantity Shares_1998 forward'!AH82</f>
        <v>3.8706997085325012</v>
      </c>
    </row>
    <row r="81" spans="3:4" x14ac:dyDescent="0.2">
      <c r="D81" s="4">
        <f>'Quantity Shares_1998 forward'!AH83</f>
        <v>5.4519625803103162</v>
      </c>
    </row>
    <row r="82" spans="3:4" x14ac:dyDescent="0.2">
      <c r="D82" s="4">
        <f>'Quantity Shares_1998 forward'!AH84</f>
        <v>3.6949304310237365</v>
      </c>
    </row>
    <row r="83" spans="3:4" x14ac:dyDescent="0.2">
      <c r="D83" s="4">
        <f>'Quantity Shares_1998 forward'!AH85</f>
        <v>4.4361385807093709</v>
      </c>
    </row>
    <row r="84" spans="3:4" x14ac:dyDescent="0.2">
      <c r="D84" s="4">
        <f>'Quantity Shares_1998 forward'!AH86</f>
        <v>6.2455661269687877</v>
      </c>
    </row>
    <row r="85" spans="3:4" x14ac:dyDescent="0.2">
      <c r="D85" s="4">
        <f>'Quantity Shares_1998 forward'!AH87</f>
        <v>6.6023303423553994</v>
      </c>
    </row>
    <row r="86" spans="3:4" x14ac:dyDescent="0.2">
      <c r="D86" s="4">
        <f>'Quantity Shares_1998 forward'!AH88</f>
        <v>6.1484039577335476</v>
      </c>
    </row>
    <row r="87" spans="3:4" x14ac:dyDescent="0.2">
      <c r="D87" s="4">
        <f>'Quantity Shares_1998 forward'!AH89</f>
        <v>5.8684173773508714</v>
      </c>
    </row>
    <row r="88" spans="3:4" x14ac:dyDescent="0.2">
      <c r="D88" s="4">
        <f>'Quantity Shares_1998 forward'!AH90</f>
        <v>5.2446537187844546</v>
      </c>
    </row>
    <row r="89" spans="3:4" x14ac:dyDescent="0.2">
      <c r="D89" s="4">
        <f>'Quantity Shares_1998 forward'!AH91</f>
        <v>6.3086116301626838</v>
      </c>
    </row>
    <row r="90" spans="3:4" x14ac:dyDescent="0.2">
      <c r="D90" s="4">
        <f>'Quantity Shares_1998 forward'!AH92</f>
        <v>6.5503886155631026</v>
      </c>
    </row>
    <row r="91" spans="3:4" x14ac:dyDescent="0.2">
      <c r="C91">
        <v>2002</v>
      </c>
      <c r="D91" s="4">
        <f>'Quantity Shares_1998 forward'!AH93</f>
        <v>3.827804014167651</v>
      </c>
    </row>
    <row r="92" spans="3:4" x14ac:dyDescent="0.2">
      <c r="D92" s="4">
        <f>'Quantity Shares_1998 forward'!AH94</f>
        <v>3.9507792207792205</v>
      </c>
    </row>
    <row r="93" spans="3:4" x14ac:dyDescent="0.2">
      <c r="D93" s="4">
        <f>'Quantity Shares_1998 forward'!AH95</f>
        <v>4.1500280112044816</v>
      </c>
    </row>
    <row r="94" spans="3:4" x14ac:dyDescent="0.2">
      <c r="D94" s="4">
        <f>'Quantity Shares_1998 forward'!AH96</f>
        <v>4.1221478060046186</v>
      </c>
    </row>
    <row r="95" spans="3:4" x14ac:dyDescent="0.2">
      <c r="D95" s="4">
        <f>'Quantity Shares_1998 forward'!AH97</f>
        <v>5.2902259887005645</v>
      </c>
    </row>
    <row r="96" spans="3:4" x14ac:dyDescent="0.2">
      <c r="D96" s="4">
        <f>'Quantity Shares_1998 forward'!AH98</f>
        <v>4.6800000000000006</v>
      </c>
    </row>
    <row r="97" spans="3:4" x14ac:dyDescent="0.2">
      <c r="D97" s="4">
        <f>'Quantity Shares_1998 forward'!AH99</f>
        <v>3.6885996701793897</v>
      </c>
    </row>
    <row r="98" spans="3:4" x14ac:dyDescent="0.2">
      <c r="D98" s="4">
        <f>'Quantity Shares_1998 forward'!AH100</f>
        <v>3.3328254564629884</v>
      </c>
    </row>
    <row r="99" spans="3:4" x14ac:dyDescent="0.2">
      <c r="D99" s="4">
        <f>'Quantity Shares_1998 forward'!AH101</f>
        <v>5.1046250000000013</v>
      </c>
    </row>
    <row r="100" spans="3:4" x14ac:dyDescent="0.2">
      <c r="D100" s="4">
        <f>'Quantity Shares_1998 forward'!AH102</f>
        <v>3.4873962983728553</v>
      </c>
    </row>
    <row r="101" spans="3:4" x14ac:dyDescent="0.2">
      <c r="D101" s="4">
        <f>'Quantity Shares_1998 forward'!AH103</f>
        <v>3.2581750301965524</v>
      </c>
    </row>
    <row r="102" spans="3:4" x14ac:dyDescent="0.2">
      <c r="D102" s="4">
        <f>'Quantity Shares_1998 forward'!AH104</f>
        <v>4.6640000000000006</v>
      </c>
    </row>
    <row r="103" spans="3:4" x14ac:dyDescent="0.2">
      <c r="D103" s="4">
        <f>'Quantity Shares_1998 forward'!AH105</f>
        <v>3.2483251833740829</v>
      </c>
    </row>
    <row r="104" spans="3:4" x14ac:dyDescent="0.2">
      <c r="D104" s="4">
        <f>'Quantity Shares_1998 forward'!AH106</f>
        <v>4.1178130232182832</v>
      </c>
    </row>
    <row r="105" spans="3:4" x14ac:dyDescent="0.2">
      <c r="D105" s="4">
        <f>'Quantity Shares_1998 forward'!AH107</f>
        <v>5.1512187958883997</v>
      </c>
    </row>
    <row r="106" spans="3:4" x14ac:dyDescent="0.2">
      <c r="D106" s="4">
        <f>'Quantity Shares_1998 forward'!AH108</f>
        <v>5.5240944017563125</v>
      </c>
    </row>
    <row r="107" spans="3:4" x14ac:dyDescent="0.2">
      <c r="D107" s="4">
        <f>'Quantity Shares_1998 forward'!AH109</f>
        <v>5.4719364161849713</v>
      </c>
    </row>
    <row r="108" spans="3:4" x14ac:dyDescent="0.2">
      <c r="D108" s="4">
        <f>'Quantity Shares_1998 forward'!AH110</f>
        <v>4.9912811387900344</v>
      </c>
    </row>
    <row r="109" spans="3:4" x14ac:dyDescent="0.2">
      <c r="D109" s="4">
        <f>'Quantity Shares_1998 forward'!AH111</f>
        <v>4.2397828042668033</v>
      </c>
    </row>
    <row r="110" spans="3:4" x14ac:dyDescent="0.2">
      <c r="D110" s="4">
        <f>'Quantity Shares_1998 forward'!AH112</f>
        <v>5.107868852459017</v>
      </c>
    </row>
    <row r="111" spans="3:4" x14ac:dyDescent="0.2">
      <c r="D111" s="4">
        <f>'Quantity Shares_1998 forward'!AH113</f>
        <v>5.1095833333333331</v>
      </c>
    </row>
    <row r="112" spans="3:4" x14ac:dyDescent="0.2">
      <c r="C112">
        <v>2003</v>
      </c>
      <c r="D112" s="4">
        <f>'Quantity Shares_1998 forward'!AH114</f>
        <v>4.8238087276745976</v>
      </c>
    </row>
    <row r="113" spans="4:4" x14ac:dyDescent="0.2">
      <c r="D113" s="4">
        <f>'Quantity Shares_1998 forward'!AH115</f>
        <v>4.7446245952199524</v>
      </c>
    </row>
    <row r="114" spans="4:4" x14ac:dyDescent="0.2">
      <c r="D114" s="4">
        <f>'Quantity Shares_1998 forward'!AH116</f>
        <v>5.4448237547124654</v>
      </c>
    </row>
    <row r="115" spans="4:4" x14ac:dyDescent="0.2">
      <c r="D115" s="4">
        <f>'Quantity Shares_1998 forward'!AH117</f>
        <v>5.8535697998963547</v>
      </c>
    </row>
    <row r="116" spans="4:4" x14ac:dyDescent="0.2">
      <c r="D116" s="4">
        <f>'Quantity Shares_1998 forward'!AH118</f>
        <v>7.2856196797952899</v>
      </c>
    </row>
    <row r="117" spans="4:4" x14ac:dyDescent="0.2">
      <c r="D117" s="4">
        <f>'Quantity Shares_1998 forward'!AH119</f>
        <v>6.5737856573996876</v>
      </c>
    </row>
    <row r="118" spans="4:4" x14ac:dyDescent="0.2">
      <c r="D118" s="4">
        <f>'Quantity Shares_1998 forward'!AH120</f>
        <v>4.6138724998934997</v>
      </c>
    </row>
    <row r="119" spans="4:4" x14ac:dyDescent="0.2">
      <c r="D119" s="4">
        <f>'Quantity Shares_1998 forward'!AH121</f>
        <v>4.1172131089186452</v>
      </c>
    </row>
    <row r="120" spans="4:4" x14ac:dyDescent="0.2">
      <c r="D120" s="4">
        <f>'Quantity Shares_1998 forward'!AH122</f>
        <v>6.7301703873359608</v>
      </c>
    </row>
    <row r="121" spans="4:4" x14ac:dyDescent="0.2">
      <c r="D121" s="4">
        <f>'Quantity Shares_1998 forward'!AH123</f>
        <v>4.7074316685654747</v>
      </c>
    </row>
    <row r="122" spans="4:4" x14ac:dyDescent="0.2">
      <c r="D122" s="4">
        <f>'Quantity Shares_1998 forward'!AH124</f>
        <v>4.559376929969166</v>
      </c>
    </row>
    <row r="123" spans="4:4" x14ac:dyDescent="0.2">
      <c r="D123" s="4">
        <f>'Quantity Shares_1998 forward'!AH125</f>
        <v>5.9022765967927207</v>
      </c>
    </row>
    <row r="124" spans="4:4" x14ac:dyDescent="0.2">
      <c r="D124" s="4">
        <f>'Quantity Shares_1998 forward'!AH126</f>
        <v>4.0332063820078901</v>
      </c>
    </row>
    <row r="125" spans="4:4" x14ac:dyDescent="0.2">
      <c r="D125" s="4">
        <f>'Quantity Shares_1998 forward'!AH127</f>
        <v>4.8092859298237576</v>
      </c>
    </row>
    <row r="126" spans="4:4" x14ac:dyDescent="0.2">
      <c r="D126" s="4">
        <f>'Quantity Shares_1998 forward'!AH128</f>
        <v>6.7533928051811065</v>
      </c>
    </row>
    <row r="127" spans="4:4" x14ac:dyDescent="0.2">
      <c r="D127" s="4">
        <f>'Quantity Shares_1998 forward'!AH129</f>
        <v>7.3665388731693042</v>
      </c>
    </row>
    <row r="128" spans="4:4" x14ac:dyDescent="0.2">
      <c r="D128" s="4">
        <f>'Quantity Shares_1998 forward'!AH130</f>
        <v>6.6215431607104094</v>
      </c>
    </row>
    <row r="129" spans="3:4" x14ac:dyDescent="0.2">
      <c r="D129" s="4">
        <f>'Quantity Shares_1998 forward'!AH131</f>
        <v>6.510921781825493</v>
      </c>
    </row>
    <row r="130" spans="3:4" x14ac:dyDescent="0.2">
      <c r="D130" s="4">
        <f>'Quantity Shares_1998 forward'!AH132</f>
        <v>5.6679829258847922</v>
      </c>
    </row>
    <row r="131" spans="3:4" x14ac:dyDescent="0.2">
      <c r="D131" s="4">
        <f>'Quantity Shares_1998 forward'!AH133</f>
        <v>7.0717408976963503</v>
      </c>
    </row>
    <row r="132" spans="3:4" x14ac:dyDescent="0.2">
      <c r="D132" s="4">
        <f>'Quantity Shares_1998 forward'!AH134</f>
        <v>7.0816100222297269</v>
      </c>
    </row>
    <row r="133" spans="3:4" x14ac:dyDescent="0.2">
      <c r="C133">
        <v>2004</v>
      </c>
      <c r="D133" s="4">
        <f>'Quantity Shares_1998 forward'!AH135</f>
        <v>5.3899182289783134</v>
      </c>
    </row>
    <row r="134" spans="3:4" x14ac:dyDescent="0.2">
      <c r="D134" s="4">
        <f>'Quantity Shares_1998 forward'!AH136</f>
        <v>5.6315602764831585</v>
      </c>
    </row>
    <row r="135" spans="3:4" x14ac:dyDescent="0.2">
      <c r="D135" s="4">
        <f>'Quantity Shares_1998 forward'!AH137</f>
        <v>5.9364584328250194</v>
      </c>
    </row>
    <row r="136" spans="3:4" x14ac:dyDescent="0.2">
      <c r="D136" s="4">
        <f>'Quantity Shares_1998 forward'!AH138</f>
        <v>6.7431562519915458</v>
      </c>
    </row>
    <row r="137" spans="3:4" x14ac:dyDescent="0.2">
      <c r="D137" s="4">
        <f>'Quantity Shares_1998 forward'!AH139</f>
        <v>7.9029834581573395</v>
      </c>
    </row>
    <row r="138" spans="3:4" x14ac:dyDescent="0.2">
      <c r="D138" s="4">
        <f>'Quantity Shares_1998 forward'!AH140</f>
        <v>7.4002675729956247</v>
      </c>
    </row>
    <row r="139" spans="3:4" x14ac:dyDescent="0.2">
      <c r="D139" s="4">
        <f>'Quantity Shares_1998 forward'!AH141</f>
        <v>5.0651760356189106</v>
      </c>
    </row>
    <row r="140" spans="3:4" x14ac:dyDescent="0.2">
      <c r="D140" s="4">
        <f>'Quantity Shares_1998 forward'!AH142</f>
        <v>4.7888293242942241</v>
      </c>
    </row>
    <row r="141" spans="3:4" x14ac:dyDescent="0.2">
      <c r="D141" s="4">
        <f>'Quantity Shares_1998 forward'!AH143</f>
        <v>7.0949915621787847</v>
      </c>
    </row>
    <row r="142" spans="3:4" x14ac:dyDescent="0.2">
      <c r="D142" s="4">
        <f>'Quantity Shares_1998 forward'!AH144</f>
        <v>5.1974821054014821</v>
      </c>
    </row>
    <row r="143" spans="3:4" x14ac:dyDescent="0.2">
      <c r="D143" s="4">
        <f>'Quantity Shares_1998 forward'!AH145</f>
        <v>5.4054402859999886</v>
      </c>
    </row>
    <row r="144" spans="3:4" x14ac:dyDescent="0.2">
      <c r="D144" s="4">
        <f>'Quantity Shares_1998 forward'!AH146</f>
        <v>6.8697535107650838</v>
      </c>
    </row>
    <row r="145" spans="3:4" x14ac:dyDescent="0.2">
      <c r="D145" s="4">
        <f>'Quantity Shares_1998 forward'!AH147</f>
        <v>4.5916264074652737</v>
      </c>
    </row>
    <row r="146" spans="3:4" x14ac:dyDescent="0.2">
      <c r="D146" s="4">
        <f>'Quantity Shares_1998 forward'!AH148</f>
        <v>5.7322176739450015</v>
      </c>
    </row>
    <row r="147" spans="3:4" x14ac:dyDescent="0.2">
      <c r="D147" s="4">
        <f>'Quantity Shares_1998 forward'!AH149</f>
        <v>7.5501677725448104</v>
      </c>
    </row>
    <row r="148" spans="3:4" x14ac:dyDescent="0.2">
      <c r="D148" s="4">
        <f>'Quantity Shares_1998 forward'!AH150</f>
        <v>8.3138051255783836</v>
      </c>
    </row>
    <row r="149" spans="3:4" x14ac:dyDescent="0.2">
      <c r="D149" s="4">
        <f>'Quantity Shares_1998 forward'!AH151</f>
        <v>7.7490872961822426</v>
      </c>
    </row>
    <row r="150" spans="3:4" x14ac:dyDescent="0.2">
      <c r="D150" s="4">
        <f>'Quantity Shares_1998 forward'!AH152</f>
        <v>7.6242937638476409</v>
      </c>
    </row>
    <row r="151" spans="3:4" x14ac:dyDescent="0.2">
      <c r="D151" s="4">
        <f>'Quantity Shares_1998 forward'!AH153</f>
        <v>6.15508737268377</v>
      </c>
    </row>
    <row r="152" spans="3:4" x14ac:dyDescent="0.2">
      <c r="D152" s="4">
        <f>'Quantity Shares_1998 forward'!AH154</f>
        <v>7.7903829463623433</v>
      </c>
    </row>
    <row r="153" spans="3:4" x14ac:dyDescent="0.2">
      <c r="D153" s="4">
        <f>'Quantity Shares_1998 forward'!AH155</f>
        <v>7.7699177597077291</v>
      </c>
    </row>
    <row r="154" spans="3:4" x14ac:dyDescent="0.2">
      <c r="C154">
        <v>2005</v>
      </c>
      <c r="D154" s="4">
        <f>'Quantity Shares_1998 forward'!AH156</f>
        <v>6.8405855608213697</v>
      </c>
    </row>
    <row r="155" spans="3:4" x14ac:dyDescent="0.2">
      <c r="D155" s="4">
        <f>'Quantity Shares_1998 forward'!AH157</f>
        <v>7.0791253308137776</v>
      </c>
    </row>
    <row r="156" spans="3:4" x14ac:dyDescent="0.2">
      <c r="D156" s="4">
        <f>'Quantity Shares_1998 forward'!AH158</f>
        <v>7.4657007809800913</v>
      </c>
    </row>
    <row r="157" spans="3:4" x14ac:dyDescent="0.2">
      <c r="D157" s="4">
        <f>'Quantity Shares_1998 forward'!AH159</f>
        <v>9.0891546198348703</v>
      </c>
    </row>
    <row r="158" spans="3:4" x14ac:dyDescent="0.2">
      <c r="D158" s="4">
        <f>'Quantity Shares_1998 forward'!AH160</f>
        <v>10.247927654920282</v>
      </c>
    </row>
    <row r="159" spans="3:4" x14ac:dyDescent="0.2">
      <c r="D159" s="4">
        <f>'Quantity Shares_1998 forward'!AH161</f>
        <v>9.8257522146320753</v>
      </c>
    </row>
    <row r="160" spans="3:4" x14ac:dyDescent="0.2">
      <c r="D160" s="4">
        <f>'Quantity Shares_1998 forward'!AH162</f>
        <v>6.3922669692286798</v>
      </c>
    </row>
    <row r="161" spans="3:4" x14ac:dyDescent="0.2">
      <c r="D161" s="4">
        <f>'Quantity Shares_1998 forward'!AH163</f>
        <v>6.1042376315324827</v>
      </c>
    </row>
    <row r="162" spans="3:4" x14ac:dyDescent="0.2">
      <c r="D162" s="4">
        <f>'Quantity Shares_1998 forward'!AH164</f>
        <v>9.018546345656187</v>
      </c>
    </row>
    <row r="163" spans="3:4" x14ac:dyDescent="0.2">
      <c r="D163" s="4">
        <f>'Quantity Shares_1998 forward'!AH165</f>
        <v>6.6049603893319011</v>
      </c>
    </row>
    <row r="164" spans="3:4" x14ac:dyDescent="0.2">
      <c r="D164" s="4">
        <f>'Quantity Shares_1998 forward'!AH166</f>
        <v>7.1037371387039423</v>
      </c>
    </row>
    <row r="165" spans="3:4" x14ac:dyDescent="0.2">
      <c r="D165" s="4">
        <f>'Quantity Shares_1998 forward'!AH167</f>
        <v>8.8797991174556898</v>
      </c>
    </row>
    <row r="166" spans="3:4" x14ac:dyDescent="0.2">
      <c r="D166" s="4">
        <f>'Quantity Shares_1998 forward'!AH168</f>
        <v>5.7630178987319036</v>
      </c>
    </row>
    <row r="167" spans="3:4" x14ac:dyDescent="0.2">
      <c r="D167" s="4">
        <f>'Quantity Shares_1998 forward'!AH169</f>
        <v>7.2920346385557897</v>
      </c>
    </row>
    <row r="168" spans="3:4" x14ac:dyDescent="0.2">
      <c r="D168" s="4">
        <f>'Quantity Shares_1998 forward'!AH170</f>
        <v>9.6272381255608313</v>
      </c>
    </row>
    <row r="169" spans="3:4" x14ac:dyDescent="0.2">
      <c r="D169" s="4">
        <f>'Quantity Shares_1998 forward'!AH171</f>
        <v>10.685740196693436</v>
      </c>
    </row>
    <row r="170" spans="3:4" x14ac:dyDescent="0.2">
      <c r="D170" s="4">
        <f>'Quantity Shares_1998 forward'!AH172</f>
        <v>9.7167184081016487</v>
      </c>
    </row>
    <row r="171" spans="3:4" x14ac:dyDescent="0.2">
      <c r="D171" s="4">
        <f>'Quantity Shares_1998 forward'!AH173</f>
        <v>9.7802455469220622</v>
      </c>
    </row>
    <row r="172" spans="3:4" x14ac:dyDescent="0.2">
      <c r="D172" s="4">
        <f>'Quantity Shares_1998 forward'!AH174</f>
        <v>7.9590885569075471</v>
      </c>
    </row>
    <row r="173" spans="3:4" x14ac:dyDescent="0.2">
      <c r="D173" s="4">
        <f>'Quantity Shares_1998 forward'!AH175</f>
        <v>9.9742901467621472</v>
      </c>
    </row>
    <row r="174" spans="3:4" x14ac:dyDescent="0.2">
      <c r="D174" s="4">
        <f>'Quantity Shares_1998 forward'!AH176</f>
        <v>10.111587060367057</v>
      </c>
    </row>
    <row r="175" spans="3:4" x14ac:dyDescent="0.2">
      <c r="C175">
        <v>2006</v>
      </c>
      <c r="D175" s="4">
        <f>'Quantity Shares_1998 forward'!AH177</f>
        <v>6.5919570728409669</v>
      </c>
    </row>
    <row r="176" spans="3:4" x14ac:dyDescent="0.2">
      <c r="D176" s="4">
        <f>'Quantity Shares_1998 forward'!AH178</f>
        <v>7.4080281690140843</v>
      </c>
    </row>
    <row r="177" spans="4:4" x14ac:dyDescent="0.2">
      <c r="D177" s="4">
        <f>'Quantity Shares_1998 forward'!AH179</f>
        <v>6.9360304659498206</v>
      </c>
    </row>
    <row r="178" spans="4:4" x14ac:dyDescent="0.2">
      <c r="D178" s="4">
        <f>'Quantity Shares_1998 forward'!AH180</f>
        <v>8.7536923076923081</v>
      </c>
    </row>
    <row r="179" spans="4:4" x14ac:dyDescent="0.2">
      <c r="D179" s="4">
        <f>'Quantity Shares_1998 forward'!AH181</f>
        <v>9.1531506849315072</v>
      </c>
    </row>
    <row r="180" spans="4:4" x14ac:dyDescent="0.2">
      <c r="D180" s="4">
        <f>'Quantity Shares_1998 forward'!AH182</f>
        <v>9.7142857142857153</v>
      </c>
    </row>
    <row r="181" spans="4:4" x14ac:dyDescent="0.2">
      <c r="D181" s="4">
        <f>'Quantity Shares_1998 forward'!AH183</f>
        <v>6.3688024997702417</v>
      </c>
    </row>
    <row r="182" spans="4:4" x14ac:dyDescent="0.2">
      <c r="D182" s="4">
        <f>'Quantity Shares_1998 forward'!AH184</f>
        <v>6.4217463235294119</v>
      </c>
    </row>
    <row r="183" spans="4:4" x14ac:dyDescent="0.2">
      <c r="D183" s="4">
        <f>'Quantity Shares_1998 forward'!AH185</f>
        <v>7.8990086741016112</v>
      </c>
    </row>
    <row r="184" spans="4:4" x14ac:dyDescent="0.2">
      <c r="D184" s="4">
        <f>'Quantity Shares_1998 forward'!AH186</f>
        <v>6.399584900462612</v>
      </c>
    </row>
    <row r="185" spans="4:4" x14ac:dyDescent="0.2">
      <c r="D185" s="4">
        <f>'Quantity Shares_1998 forward'!AH187</f>
        <v>7.2735340804859234</v>
      </c>
    </row>
    <row r="186" spans="4:4" x14ac:dyDescent="0.2">
      <c r="D186" s="4">
        <f>'Quantity Shares_1998 forward'!AH188</f>
        <v>9.1138961038961028</v>
      </c>
    </row>
    <row r="187" spans="4:4" x14ac:dyDescent="0.2">
      <c r="D187" s="4">
        <f>'Quantity Shares_1998 forward'!AH189</f>
        <v>5.7562002096436062</v>
      </c>
    </row>
    <row r="188" spans="4:4" x14ac:dyDescent="0.2">
      <c r="D188" s="4">
        <f>'Quantity Shares_1998 forward'!AH190</f>
        <v>7.8333772776535939</v>
      </c>
    </row>
    <row r="189" spans="4:4" x14ac:dyDescent="0.2">
      <c r="D189" s="4">
        <f>'Quantity Shares_1998 forward'!AH191</f>
        <v>9.0801584158415825</v>
      </c>
    </row>
    <row r="190" spans="4:4" x14ac:dyDescent="0.2">
      <c r="D190" s="4">
        <f>'Quantity Shares_1998 forward'!AH192</f>
        <v>10.304301075268816</v>
      </c>
    </row>
    <row r="191" spans="4:4" x14ac:dyDescent="0.2">
      <c r="D191" s="4">
        <f>'Quantity Shares_1998 forward'!AH193</f>
        <v>9.824258474576272</v>
      </c>
    </row>
    <row r="192" spans="4:4" x14ac:dyDescent="0.2">
      <c r="D192" s="4">
        <f>'Quantity Shares_1998 forward'!AH194</f>
        <v>9.7635103926097013</v>
      </c>
    </row>
    <row r="193" spans="3:4" x14ac:dyDescent="0.2">
      <c r="D193" s="4">
        <f>'Quantity Shares_1998 forward'!AH195</f>
        <v>7.1941281138790041</v>
      </c>
    </row>
    <row r="194" spans="3:4" x14ac:dyDescent="0.2">
      <c r="D194" s="4">
        <f>'Quantity Shares_1998 forward'!AH196</f>
        <v>9.2324663677130054</v>
      </c>
    </row>
    <row r="195" spans="3:4" x14ac:dyDescent="0.2">
      <c r="D195" s="4">
        <f>'Quantity Shares_1998 forward'!AH197</f>
        <v>9.6178461538461555</v>
      </c>
    </row>
    <row r="196" spans="3:4" x14ac:dyDescent="0.2">
      <c r="C196">
        <v>2007</v>
      </c>
      <c r="D196" s="4">
        <f>'Quantity Shares_1998 forward'!AH198</f>
        <v>6.5807610718392775</v>
      </c>
    </row>
    <row r="197" spans="3:4" x14ac:dyDescent="0.2">
      <c r="D197" s="4">
        <f>'Quantity Shares_1998 forward'!AH199</f>
        <v>7.4567568079449895</v>
      </c>
    </row>
    <row r="198" spans="3:4" x14ac:dyDescent="0.2">
      <c r="D198" s="4">
        <f>'Quantity Shares_1998 forward'!AH200</f>
        <v>7.252247419026995</v>
      </c>
    </row>
    <row r="199" spans="3:4" x14ac:dyDescent="0.2">
      <c r="D199" s="4">
        <f>'Quantity Shares_1998 forward'!AH201</f>
        <v>8.6128837241924234</v>
      </c>
    </row>
    <row r="200" spans="3:4" x14ac:dyDescent="0.2">
      <c r="D200" s="4">
        <f>'Quantity Shares_1998 forward'!AH202</f>
        <v>9.7782973859890046</v>
      </c>
    </row>
    <row r="201" spans="3:4" x14ac:dyDescent="0.2">
      <c r="D201" s="4">
        <f>'Quantity Shares_1998 forward'!AH203</f>
        <v>10.96044675126684</v>
      </c>
    </row>
    <row r="202" spans="3:4" x14ac:dyDescent="0.2">
      <c r="D202" s="4">
        <f>'Quantity Shares_1998 forward'!AH204</f>
        <v>6.3287747538354928</v>
      </c>
    </row>
    <row r="203" spans="3:4" x14ac:dyDescent="0.2">
      <c r="D203" s="4">
        <f>'Quantity Shares_1998 forward'!AH205</f>
        <v>6.3519899124589738</v>
      </c>
    </row>
    <row r="204" spans="3:4" x14ac:dyDescent="0.2">
      <c r="D204" s="4">
        <f>'Quantity Shares_1998 forward'!AH206</f>
        <v>8.2998263499882352</v>
      </c>
    </row>
    <row r="205" spans="3:4" x14ac:dyDescent="0.2">
      <c r="D205" s="4">
        <f>'Quantity Shares_1998 forward'!AH207</f>
        <v>6.4764238066260127</v>
      </c>
    </row>
    <row r="206" spans="3:4" x14ac:dyDescent="0.2">
      <c r="D206" s="4">
        <f>'Quantity Shares_1998 forward'!AH208</f>
        <v>7.0979577950648682</v>
      </c>
    </row>
    <row r="207" spans="3:4" x14ac:dyDescent="0.2">
      <c r="D207" s="4">
        <f>'Quantity Shares_1998 forward'!AH209</f>
        <v>9.1035159680389572</v>
      </c>
    </row>
    <row r="208" spans="3:4" x14ac:dyDescent="0.2">
      <c r="D208" s="4">
        <f>'Quantity Shares_1998 forward'!AH210</f>
        <v>5.7169367812779077</v>
      </c>
    </row>
    <row r="209" spans="3:4" x14ac:dyDescent="0.2">
      <c r="D209" s="4">
        <f>'Quantity Shares_1998 forward'!AH211</f>
        <v>7.6954584238349666</v>
      </c>
    </row>
    <row r="210" spans="3:4" x14ac:dyDescent="0.2">
      <c r="D210" s="4">
        <f>'Quantity Shares_1998 forward'!AH212</f>
        <v>9.1530138600475173</v>
      </c>
    </row>
    <row r="211" spans="3:4" x14ac:dyDescent="0.2">
      <c r="D211" s="4">
        <f>'Quantity Shares_1998 forward'!AH213</f>
        <v>10.293927782693441</v>
      </c>
    </row>
    <row r="212" spans="3:4" x14ac:dyDescent="0.2">
      <c r="D212" s="4">
        <f>'Quantity Shares_1998 forward'!AH214</f>
        <v>9.4826828092585451</v>
      </c>
    </row>
    <row r="213" spans="3:4" x14ac:dyDescent="0.2">
      <c r="D213" s="4">
        <f>'Quantity Shares_1998 forward'!AH215</f>
        <v>9.630935549423171</v>
      </c>
    </row>
    <row r="214" spans="3:4" x14ac:dyDescent="0.2">
      <c r="D214" s="4">
        <f>'Quantity Shares_1998 forward'!AH216</f>
        <v>7.6431572842816706</v>
      </c>
    </row>
    <row r="215" spans="3:4" x14ac:dyDescent="0.2">
      <c r="D215" s="4">
        <f>'Quantity Shares_1998 forward'!AH217</f>
        <v>9.6888705612403871</v>
      </c>
    </row>
    <row r="216" spans="3:4" x14ac:dyDescent="0.2">
      <c r="D216" s="4">
        <f>'Quantity Shares_1998 forward'!AH218</f>
        <v>10.285121241562637</v>
      </c>
    </row>
    <row r="217" spans="3:4" x14ac:dyDescent="0.2">
      <c r="C217">
        <v>2008</v>
      </c>
      <c r="D217" s="4">
        <f>'Quantity Shares_1998 forward'!AH219</f>
        <v>8.2429815157465871</v>
      </c>
    </row>
    <row r="218" spans="3:4" x14ac:dyDescent="0.2">
      <c r="D218" s="4">
        <f>'Quantity Shares_1998 forward'!AH220</f>
        <v>8.9835321925092924</v>
      </c>
    </row>
    <row r="219" spans="3:4" x14ac:dyDescent="0.2">
      <c r="D219" s="4">
        <f>'Quantity Shares_1998 forward'!AH221</f>
        <v>9.5599844775701683</v>
      </c>
    </row>
    <row r="220" spans="3:4" x14ac:dyDescent="0.2">
      <c r="D220" s="4">
        <f>'Quantity Shares_1998 forward'!AH222</f>
        <v>10.700274786664229</v>
      </c>
    </row>
    <row r="221" spans="3:4" x14ac:dyDescent="0.2">
      <c r="D221" s="4">
        <f>'Quantity Shares_1998 forward'!AH223</f>
        <v>13.31161963378265</v>
      </c>
    </row>
    <row r="222" spans="3:4" x14ac:dyDescent="0.2">
      <c r="D222" s="4">
        <f>'Quantity Shares_1998 forward'!AH224</f>
        <v>14.766221233329473</v>
      </c>
    </row>
    <row r="223" spans="3:4" x14ac:dyDescent="0.2">
      <c r="D223" s="4">
        <f>'Quantity Shares_1998 forward'!AH225</f>
        <v>7.3138946468568298</v>
      </c>
    </row>
    <row r="224" spans="3:4" x14ac:dyDescent="0.2">
      <c r="D224" s="4">
        <f>'Quantity Shares_1998 forward'!AH226</f>
        <v>7.4890157850663917</v>
      </c>
    </row>
    <row r="225" spans="3:4" x14ac:dyDescent="0.2">
      <c r="D225" s="4">
        <f>'Quantity Shares_1998 forward'!AH227</f>
        <v>11.123237135208285</v>
      </c>
    </row>
    <row r="226" spans="3:4" x14ac:dyDescent="0.2">
      <c r="D226" s="4">
        <f>'Quantity Shares_1998 forward'!AH228</f>
        <v>8.0337376067629194</v>
      </c>
    </row>
    <row r="227" spans="3:4" x14ac:dyDescent="0.2">
      <c r="D227" s="4">
        <f>'Quantity Shares_1998 forward'!AH229</f>
        <v>8.4725693052489497</v>
      </c>
    </row>
    <row r="228" spans="3:4" x14ac:dyDescent="0.2">
      <c r="D228" s="4">
        <f>'Quantity Shares_1998 forward'!AH230</f>
        <v>10.91981126724205</v>
      </c>
    </row>
    <row r="229" spans="3:4" x14ac:dyDescent="0.2">
      <c r="D229" s="4">
        <f>'Quantity Shares_1998 forward'!AH231</f>
        <v>6.9094079516895839</v>
      </c>
    </row>
    <row r="230" spans="3:4" x14ac:dyDescent="0.2">
      <c r="D230" s="4">
        <f>'Quantity Shares_1998 forward'!AH232</f>
        <v>8.8756390822824933</v>
      </c>
    </row>
    <row r="231" spans="3:4" x14ac:dyDescent="0.2">
      <c r="D231" s="4">
        <f>'Quantity Shares_1998 forward'!AH233</f>
        <v>11.536096519226032</v>
      </c>
    </row>
    <row r="232" spans="3:4" x14ac:dyDescent="0.2">
      <c r="D232" s="4">
        <f>'Quantity Shares_1998 forward'!AH234</f>
        <v>12.755834150576099</v>
      </c>
    </row>
    <row r="233" spans="3:4" x14ac:dyDescent="0.2">
      <c r="D233" s="4">
        <f>'Quantity Shares_1998 forward'!AH235</f>
        <v>11.17968357611888</v>
      </c>
    </row>
    <row r="234" spans="3:4" x14ac:dyDescent="0.2">
      <c r="D234" s="4">
        <f>'Quantity Shares_1998 forward'!AH236</f>
        <v>11.675890604653938</v>
      </c>
    </row>
    <row r="235" spans="3:4" x14ac:dyDescent="0.2">
      <c r="D235" s="4">
        <f>'Quantity Shares_1998 forward'!AH237</f>
        <v>10.305178417387545</v>
      </c>
    </row>
    <row r="236" spans="3:4" x14ac:dyDescent="0.2">
      <c r="D236" s="4">
        <f>'Quantity Shares_1998 forward'!AH238</f>
        <v>12.542889974940707</v>
      </c>
    </row>
    <row r="237" spans="3:4" x14ac:dyDescent="0.2">
      <c r="D237" s="4">
        <f>'Quantity Shares_1998 forward'!AH239</f>
        <v>13.429715221004283</v>
      </c>
    </row>
    <row r="238" spans="3:4" x14ac:dyDescent="0.2">
      <c r="C238">
        <v>2009</v>
      </c>
      <c r="D238" s="4">
        <f>'Quantity Shares_1998 forward'!AH240</f>
        <v>5.4937762102127037</v>
      </c>
    </row>
    <row r="239" spans="3:4" x14ac:dyDescent="0.2">
      <c r="D239" s="4">
        <f>'Quantity Shares_1998 forward'!AH241</f>
        <v>7.1859147471645253</v>
      </c>
    </row>
    <row r="240" spans="3:4" x14ac:dyDescent="0.2">
      <c r="D240" s="4">
        <f>'Quantity Shares_1998 forward'!AH242</f>
        <v>6.4611611184161646</v>
      </c>
    </row>
    <row r="241" spans="4:4" x14ac:dyDescent="0.2">
      <c r="D241" s="4">
        <f>'Quantity Shares_1998 forward'!AH243</f>
        <v>6.3411044128565841</v>
      </c>
    </row>
    <row r="242" spans="4:4" x14ac:dyDescent="0.2">
      <c r="D242" s="4">
        <f>'Quantity Shares_1998 forward'!AH244</f>
        <v>8.4132586271698617</v>
      </c>
    </row>
    <row r="243" spans="4:4" x14ac:dyDescent="0.2">
      <c r="D243" s="4">
        <f>'Quantity Shares_1998 forward'!AH245</f>
        <v>10.023609471589982</v>
      </c>
    </row>
    <row r="244" spans="4:4" x14ac:dyDescent="0.2">
      <c r="D244" s="4">
        <f>'Quantity Shares_1998 forward'!AH246</f>
        <v>5.1795336679925787</v>
      </c>
    </row>
    <row r="245" spans="4:4" x14ac:dyDescent="0.2">
      <c r="D245" s="4">
        <f>'Quantity Shares_1998 forward'!AH247</f>
        <v>5.4075638542156641</v>
      </c>
    </row>
    <row r="246" spans="4:4" x14ac:dyDescent="0.2">
      <c r="D246" s="4">
        <f>'Quantity Shares_1998 forward'!AH248</f>
        <v>6.831001328671948</v>
      </c>
    </row>
    <row r="247" spans="4:4" x14ac:dyDescent="0.2">
      <c r="D247" s="4">
        <f>'Quantity Shares_1998 forward'!AH249</f>
        <v>5.1742691490529626</v>
      </c>
    </row>
    <row r="248" spans="4:4" x14ac:dyDescent="0.2">
      <c r="D248" s="4">
        <f>'Quantity Shares_1998 forward'!AH250</f>
        <v>5.492592093398426</v>
      </c>
    </row>
    <row r="249" spans="4:4" x14ac:dyDescent="0.2">
      <c r="D249" s="4">
        <f>'Quantity Shares_1998 forward'!AH251</f>
        <v>7.6817385991979501</v>
      </c>
    </row>
    <row r="250" spans="4:4" x14ac:dyDescent="0.2">
      <c r="D250" s="4">
        <f>'Quantity Shares_1998 forward'!AH252</f>
        <v>5.0443044712115199</v>
      </c>
    </row>
    <row r="251" spans="4:4" x14ac:dyDescent="0.2">
      <c r="D251" s="4">
        <f>'Quantity Shares_1998 forward'!AH253</f>
        <v>7.6782489473942812</v>
      </c>
    </row>
    <row r="252" spans="4:4" x14ac:dyDescent="0.2">
      <c r="D252" s="4">
        <f>'Quantity Shares_1998 forward'!AH254</f>
        <v>7.5708487405850624</v>
      </c>
    </row>
    <row r="253" spans="4:4" x14ac:dyDescent="0.2">
      <c r="D253" s="4">
        <f>'Quantity Shares_1998 forward'!AH255</f>
        <v>8.2176537040705018</v>
      </c>
    </row>
    <row r="254" spans="4:4" x14ac:dyDescent="0.2">
      <c r="D254" s="4">
        <f>'Quantity Shares_1998 forward'!AH256</f>
        <v>7.9758201964226387</v>
      </c>
    </row>
    <row r="255" spans="4:4" x14ac:dyDescent="0.2">
      <c r="D255" s="4">
        <f>'Quantity Shares_1998 forward'!AH257</f>
        <v>8.1093683647005204</v>
      </c>
    </row>
    <row r="256" spans="4:4" x14ac:dyDescent="0.2">
      <c r="D256" s="4">
        <f>'Quantity Shares_1998 forward'!AH258</f>
        <v>6.6313020021846265</v>
      </c>
    </row>
    <row r="257" spans="3:4" x14ac:dyDescent="0.2">
      <c r="D257" s="4">
        <f>'Quantity Shares_1998 forward'!AH259</f>
        <v>8.2609485482717471</v>
      </c>
    </row>
    <row r="258" spans="3:4" x14ac:dyDescent="0.2">
      <c r="D258" s="4">
        <f>'Quantity Shares_1998 forward'!AH260</f>
        <v>8.8058864089548319</v>
      </c>
    </row>
    <row r="259" spans="3:4" x14ac:dyDescent="0.2">
      <c r="C259">
        <v>2010</v>
      </c>
      <c r="D259" s="4">
        <f>'Quantity Shares_1998 forward'!AH261</f>
        <v>5.5682827102803731</v>
      </c>
    </row>
    <row r="260" spans="3:4" x14ac:dyDescent="0.2">
      <c r="D260" s="4">
        <f>'Quantity Shares_1998 forward'!AH262</f>
        <v>6.58</v>
      </c>
    </row>
    <row r="261" spans="3:4" x14ac:dyDescent="0.2">
      <c r="D261" s="4">
        <f>'Quantity Shares_1998 forward'!AH263</f>
        <v>7.1000291545189507</v>
      </c>
    </row>
    <row r="262" spans="3:4" x14ac:dyDescent="0.2">
      <c r="D262" s="4">
        <f>'Quantity Shares_1998 forward'!AH264</f>
        <v>6.4473275862068959</v>
      </c>
    </row>
    <row r="263" spans="3:4" x14ac:dyDescent="0.2">
      <c r="D263" s="4">
        <f>'Quantity Shares_1998 forward'!AH265</f>
        <v>9.5801908223534742</v>
      </c>
    </row>
    <row r="264" spans="3:4" x14ac:dyDescent="0.2">
      <c r="D264" s="4">
        <f>'Quantity Shares_1998 forward'!AH266</f>
        <v>10.378170637970793</v>
      </c>
    </row>
    <row r="265" spans="3:4" x14ac:dyDescent="0.2">
      <c r="D265" s="4">
        <f>'Quantity Shares_1998 forward'!AH267</f>
        <v>4.5584223027878483</v>
      </c>
    </row>
    <row r="266" spans="3:4" x14ac:dyDescent="0.2">
      <c r="D266" s="4">
        <f>'Quantity Shares_1998 forward'!AH268</f>
        <v>4.6964345272883952</v>
      </c>
    </row>
    <row r="267" spans="3:4" x14ac:dyDescent="0.2">
      <c r="D267" s="4">
        <f>'Quantity Shares_1998 forward'!AH269</f>
        <v>7.3632518612415421</v>
      </c>
    </row>
    <row r="268" spans="3:4" x14ac:dyDescent="0.2">
      <c r="D268" s="4">
        <f>'Quantity Shares_1998 forward'!AH270</f>
        <v>4.9465027904033132</v>
      </c>
    </row>
    <row r="269" spans="3:4" x14ac:dyDescent="0.2">
      <c r="D269" s="4">
        <f>'Quantity Shares_1998 forward'!AH271</f>
        <v>5.1089482401656312</v>
      </c>
    </row>
    <row r="270" spans="3:4" x14ac:dyDescent="0.2">
      <c r="D270" s="4">
        <f>'Quantity Shares_1998 forward'!AH272</f>
        <v>6.8835365853658539</v>
      </c>
    </row>
    <row r="271" spans="3:4" x14ac:dyDescent="0.2">
      <c r="D271" s="4">
        <f>'Quantity Shares_1998 forward'!AH273</f>
        <v>4.9280674899236772</v>
      </c>
    </row>
    <row r="272" spans="3:4" x14ac:dyDescent="0.2">
      <c r="D272" s="4">
        <f>'Quantity Shares_1998 forward'!AH274</f>
        <v>6.9931962708747619</v>
      </c>
    </row>
    <row r="273" spans="3:4" x14ac:dyDescent="0.2">
      <c r="D273" s="4">
        <f>'Quantity Shares_1998 forward'!AH275</f>
        <v>7.416188540456834</v>
      </c>
    </row>
    <row r="274" spans="3:4" x14ac:dyDescent="0.2">
      <c r="D274" s="4">
        <f>'Quantity Shares_1998 forward'!AH276</f>
        <v>7.9942931258106356</v>
      </c>
    </row>
    <row r="275" spans="3:4" x14ac:dyDescent="0.2">
      <c r="D275" s="4">
        <f>'Quantity Shares_1998 forward'!AH277</f>
        <v>6.6876470588235275</v>
      </c>
    </row>
    <row r="276" spans="3:4" x14ac:dyDescent="0.2">
      <c r="D276" s="4">
        <f>'Quantity Shares_1998 forward'!AH278</f>
        <v>7.3841775456919061</v>
      </c>
    </row>
    <row r="277" spans="3:4" x14ac:dyDescent="0.2">
      <c r="D277" s="4">
        <f>'Quantity Shares_1998 forward'!AH279</f>
        <v>7.2781118881118889</v>
      </c>
    </row>
    <row r="278" spans="3:4" x14ac:dyDescent="0.2">
      <c r="D278" s="4">
        <f>'Quantity Shares_1998 forward'!AH280</f>
        <v>8.5506134969325185</v>
      </c>
    </row>
    <row r="279" spans="3:4" x14ac:dyDescent="0.2">
      <c r="D279" s="4">
        <f>'Quantity Shares_1998 forward'!AH281</f>
        <v>8.9980459770114916</v>
      </c>
    </row>
    <row r="280" spans="3:4" x14ac:dyDescent="0.2">
      <c r="C280">
        <v>2011</v>
      </c>
      <c r="D280" s="4">
        <f>'Quantity Shares_1998 forward'!AH282</f>
        <v>5.7023292479005807</v>
      </c>
    </row>
    <row r="281" spans="3:4" x14ac:dyDescent="0.2">
      <c r="D281" s="4">
        <f>'Quantity Shares_1998 forward'!AH283</f>
        <v>6.6278376759792259</v>
      </c>
    </row>
    <row r="282" spans="3:4" x14ac:dyDescent="0.2">
      <c r="D282" s="4">
        <f>'Quantity Shares_1998 forward'!AH284</f>
        <v>7.0062376822063879</v>
      </c>
    </row>
    <row r="283" spans="3:4" x14ac:dyDescent="0.2">
      <c r="D283" s="4">
        <f>'Quantity Shares_1998 forward'!AH285</f>
        <v>6.9079833274696218</v>
      </c>
    </row>
    <row r="284" spans="3:4" x14ac:dyDescent="0.2">
      <c r="D284" s="4">
        <f>'Quantity Shares_1998 forward'!AH286</f>
        <v>9.3374211920215267</v>
      </c>
    </row>
    <row r="285" spans="3:4" x14ac:dyDescent="0.2">
      <c r="D285" s="4">
        <f>'Quantity Shares_1998 forward'!AH287</f>
        <v>11.143954004501609</v>
      </c>
    </row>
    <row r="286" spans="3:4" x14ac:dyDescent="0.2">
      <c r="D286" s="4">
        <f>'Quantity Shares_1998 forward'!AH288</f>
        <v>5.9518868083542413</v>
      </c>
    </row>
    <row r="287" spans="3:4" x14ac:dyDescent="0.2">
      <c r="D287" s="4">
        <f>'Quantity Shares_1998 forward'!AH289</f>
        <v>5.0891264608729401</v>
      </c>
    </row>
    <row r="288" spans="3:4" x14ac:dyDescent="0.2">
      <c r="D288" s="4">
        <f>'Quantity Shares_1998 forward'!AH290</f>
        <v>7.0349248152869164</v>
      </c>
    </row>
    <row r="289" spans="3:4" x14ac:dyDescent="0.2">
      <c r="D289" s="4">
        <f>'Quantity Shares_1998 forward'!AH291</f>
        <v>5.5808195503827536</v>
      </c>
    </row>
    <row r="290" spans="3:4" x14ac:dyDescent="0.2">
      <c r="D290" s="4">
        <f>'Quantity Shares_1998 forward'!AH292</f>
        <v>5.0759128877009561</v>
      </c>
    </row>
    <row r="291" spans="3:4" x14ac:dyDescent="0.2">
      <c r="D291" s="4">
        <f>'Quantity Shares_1998 forward'!AH293</f>
        <v>6.9501071876951679</v>
      </c>
    </row>
    <row r="292" spans="3:4" x14ac:dyDescent="0.2">
      <c r="D292" s="4">
        <f>'Quantity Shares_1998 forward'!AH294</f>
        <v>5.102366241992307</v>
      </c>
    </row>
    <row r="293" spans="3:4" x14ac:dyDescent="0.2">
      <c r="D293" s="4">
        <f>'Quantity Shares_1998 forward'!AH295</f>
        <v>7.4004446400154587</v>
      </c>
    </row>
    <row r="294" spans="3:4" x14ac:dyDescent="0.2">
      <c r="D294" s="4">
        <f>'Quantity Shares_1998 forward'!AH296</f>
        <v>7.1928217793151656</v>
      </c>
    </row>
    <row r="295" spans="3:4" x14ac:dyDescent="0.2">
      <c r="D295" s="4">
        <f>'Quantity Shares_1998 forward'!AH297</f>
        <v>8.1702834728070979</v>
      </c>
    </row>
    <row r="296" spans="3:4" x14ac:dyDescent="0.2">
      <c r="D296" s="4">
        <f>'Quantity Shares_1998 forward'!AH298</f>
        <v>6.6969461734898834</v>
      </c>
    </row>
    <row r="297" spans="3:4" x14ac:dyDescent="0.2">
      <c r="D297" s="4">
        <f>'Quantity Shares_1998 forward'!AH299</f>
        <v>7.1310360952271337</v>
      </c>
    </row>
    <row r="298" spans="3:4" x14ac:dyDescent="0.2">
      <c r="D298" s="4">
        <f>'Quantity Shares_1998 forward'!AH300</f>
        <v>7.1643779940065686</v>
      </c>
    </row>
    <row r="299" spans="3:4" x14ac:dyDescent="0.2">
      <c r="D299" s="4">
        <f>'Quantity Shares_1998 forward'!AH301</f>
        <v>8.5406510663666779</v>
      </c>
    </row>
    <row r="300" spans="3:4" x14ac:dyDescent="0.2">
      <c r="D300" s="4">
        <f>'Quantity Shares_1998 forward'!AH302</f>
        <v>8.6962456184238839</v>
      </c>
    </row>
    <row r="301" spans="3:4" x14ac:dyDescent="0.2">
      <c r="C301">
        <v>2012</v>
      </c>
      <c r="D301" s="4">
        <f>'Quantity Shares_1998 forward'!AH303</f>
        <v>4.8868718449331459</v>
      </c>
    </row>
    <row r="302" spans="3:4" x14ac:dyDescent="0.2">
      <c r="D302" s="4">
        <f>'Quantity Shares_1998 forward'!AH304</f>
        <v>5.5827646623023375</v>
      </c>
    </row>
    <row r="303" spans="3:4" x14ac:dyDescent="0.2">
      <c r="D303" s="4">
        <f>'Quantity Shares_1998 forward'!AH305</f>
        <v>5.5120366508695948</v>
      </c>
    </row>
    <row r="304" spans="3:4" x14ac:dyDescent="0.2">
      <c r="D304" s="4">
        <f>'Quantity Shares_1998 forward'!AH306</f>
        <v>6.5596435812973368</v>
      </c>
    </row>
    <row r="305" spans="4:4" x14ac:dyDescent="0.2">
      <c r="D305" s="4">
        <f>'Quantity Shares_1998 forward'!AH307</f>
        <v>7.4930639129621799</v>
      </c>
    </row>
    <row r="306" spans="4:4" x14ac:dyDescent="0.2">
      <c r="D306" s="4">
        <f>'Quantity Shares_1998 forward'!AH308</f>
        <v>10.613677665996866</v>
      </c>
    </row>
    <row r="307" spans="4:4" x14ac:dyDescent="0.2">
      <c r="D307" s="4">
        <f>'Quantity Shares_1998 forward'!AH309</f>
        <v>6.5663824859436506</v>
      </c>
    </row>
    <row r="308" spans="4:4" x14ac:dyDescent="0.2">
      <c r="D308" s="4">
        <f>'Quantity Shares_1998 forward'!AH310</f>
        <v>4.6126823551069087</v>
      </c>
    </row>
    <row r="309" spans="4:4" x14ac:dyDescent="0.2">
      <c r="D309" s="4">
        <f>'Quantity Shares_1998 forward'!AH311</f>
        <v>5.5923284697538067</v>
      </c>
    </row>
    <row r="310" spans="4:4" x14ac:dyDescent="0.2">
      <c r="D310" s="4">
        <f>'Quantity Shares_1998 forward'!AH312</f>
        <v>5.4057802562755395</v>
      </c>
    </row>
    <row r="311" spans="4:4" x14ac:dyDescent="0.2">
      <c r="D311" s="4">
        <f>'Quantity Shares_1998 forward'!AH313</f>
        <v>4.1722102387527453</v>
      </c>
    </row>
    <row r="312" spans="4:4" x14ac:dyDescent="0.2">
      <c r="D312" s="4">
        <f>'Quantity Shares_1998 forward'!AH314</f>
        <v>6.0702895111513806</v>
      </c>
    </row>
    <row r="313" spans="4:4" x14ac:dyDescent="0.2">
      <c r="D313" s="4">
        <f>'Quantity Shares_1998 forward'!AH315</f>
        <v>4.5356782832166518</v>
      </c>
    </row>
    <row r="314" spans="4:4" x14ac:dyDescent="0.2">
      <c r="D314" s="4">
        <f>'Quantity Shares_1998 forward'!AH316</f>
        <v>6.8317591295921911</v>
      </c>
    </row>
    <row r="315" spans="4:4" x14ac:dyDescent="0.2">
      <c r="D315" s="4">
        <f>'Quantity Shares_1998 forward'!AH317</f>
        <v>5.8310624576878558</v>
      </c>
    </row>
    <row r="316" spans="4:4" x14ac:dyDescent="0.2">
      <c r="D316" s="4">
        <f>'Quantity Shares_1998 forward'!AH318</f>
        <v>7.199408026722506</v>
      </c>
    </row>
    <row r="317" spans="4:4" x14ac:dyDescent="0.2">
      <c r="D317" s="4">
        <f>'Quantity Shares_1998 forward'!AH319</f>
        <v>5.8083112424137022</v>
      </c>
    </row>
    <row r="318" spans="4:4" x14ac:dyDescent="0.2">
      <c r="D318" s="4">
        <f>'Quantity Shares_1998 forward'!AH320</f>
        <v>5.6984936723114279</v>
      </c>
    </row>
    <row r="319" spans="4:4" x14ac:dyDescent="0.2">
      <c r="D319" s="4">
        <f>'Quantity Shares_1998 forward'!AH321</f>
        <v>5.9689540616649381</v>
      </c>
    </row>
    <row r="320" spans="4:4" x14ac:dyDescent="0.2">
      <c r="D320" s="4">
        <f>'Quantity Shares_1998 forward'!AH322</f>
        <v>7.1092738076264883</v>
      </c>
    </row>
    <row r="321" spans="3:4" x14ac:dyDescent="0.2">
      <c r="D321" s="4">
        <f>'Quantity Shares_1998 forward'!AH323</f>
        <v>7.1252798306174165</v>
      </c>
    </row>
    <row r="322" spans="3:4" x14ac:dyDescent="0.2">
      <c r="C322">
        <f>'Quantity Shares_1998 forward'!AG324</f>
        <v>2013</v>
      </c>
      <c r="D322" s="4">
        <f>'Quantity Shares_1998 forward'!AH324</f>
        <v>5.1622985235510965</v>
      </c>
    </row>
    <row r="323" spans="3:4" x14ac:dyDescent="0.2">
      <c r="D323" s="4">
        <f>'Quantity Shares_1998 forward'!AH325</f>
        <v>5.3803188255245757</v>
      </c>
    </row>
    <row r="324" spans="3:4" x14ac:dyDescent="0.2">
      <c r="D324" s="4">
        <f>'Quantity Shares_1998 forward'!AH326</f>
        <v>5.4317851209376258</v>
      </c>
    </row>
    <row r="325" spans="3:4" x14ac:dyDescent="0.2">
      <c r="D325" s="4">
        <f>'Quantity Shares_1998 forward'!AH327</f>
        <v>7.9076391400911454</v>
      </c>
    </row>
    <row r="326" spans="3:4" x14ac:dyDescent="0.2">
      <c r="D326" s="4">
        <f>'Quantity Shares_1998 forward'!AH328</f>
        <v>8.0216197494974377</v>
      </c>
    </row>
    <row r="327" spans="3:4" x14ac:dyDescent="0.2">
      <c r="D327" s="4">
        <f>'Quantity Shares_1998 forward'!AH329</f>
        <v>10.353618229063867</v>
      </c>
    </row>
    <row r="328" spans="3:4" x14ac:dyDescent="0.2">
      <c r="D328" s="4">
        <f>'Quantity Shares_1998 forward'!AH330</f>
        <v>7.0308668500110931</v>
      </c>
    </row>
    <row r="329" spans="3:4" x14ac:dyDescent="0.2">
      <c r="D329" s="4">
        <f>'Quantity Shares_1998 forward'!AH331</f>
        <v>4.5405975007142194</v>
      </c>
    </row>
    <row r="330" spans="3:4" x14ac:dyDescent="0.2">
      <c r="D330" s="4">
        <f>'Quantity Shares_1998 forward'!AH332</f>
        <v>6.2124626525122864</v>
      </c>
    </row>
    <row r="331" spans="3:4" x14ac:dyDescent="0.2">
      <c r="D331" s="4">
        <f>'Quantity Shares_1998 forward'!AH333</f>
        <v>6.1446077417289811</v>
      </c>
    </row>
    <row r="332" spans="3:4" x14ac:dyDescent="0.2">
      <c r="D332" s="4">
        <f>'Quantity Shares_1998 forward'!AH334</f>
        <v>4.4082709092134973</v>
      </c>
    </row>
    <row r="333" spans="3:4" x14ac:dyDescent="0.2">
      <c r="D333" s="4">
        <f>'Quantity Shares_1998 forward'!AH335</f>
        <v>6.3632389415828836</v>
      </c>
    </row>
    <row r="334" spans="3:4" x14ac:dyDescent="0.2">
      <c r="D334" s="4">
        <f>'Quantity Shares_1998 forward'!AH336</f>
        <v>4.4677819685369364</v>
      </c>
    </row>
    <row r="335" spans="3:4" x14ac:dyDescent="0.2">
      <c r="D335" s="4">
        <f>'Quantity Shares_1998 forward'!AH337</f>
        <v>6.3140628814731574</v>
      </c>
    </row>
    <row r="336" spans="3:4" x14ac:dyDescent="0.2">
      <c r="D336" s="4">
        <f>'Quantity Shares_1998 forward'!AH338</f>
        <v>6.1070888836111106</v>
      </c>
    </row>
    <row r="337" spans="3:4" x14ac:dyDescent="0.2">
      <c r="D337" s="4">
        <f>'Quantity Shares_1998 forward'!AH339</f>
        <v>7.9674398640027384</v>
      </c>
    </row>
    <row r="338" spans="3:4" x14ac:dyDescent="0.2">
      <c r="D338" s="4">
        <f>'Quantity Shares_1998 forward'!AH340</f>
        <v>6.3241657908351421</v>
      </c>
    </row>
    <row r="339" spans="3:4" x14ac:dyDescent="0.2">
      <c r="D339" s="4">
        <f>'Quantity Shares_1998 forward'!AH341</f>
        <v>5.8697340048347577</v>
      </c>
    </row>
    <row r="340" spans="3:4" x14ac:dyDescent="0.2">
      <c r="D340" s="4">
        <f>'Quantity Shares_1998 forward'!AH342</f>
        <v>6.439597247872026</v>
      </c>
    </row>
    <row r="341" spans="3:4" x14ac:dyDescent="0.2">
      <c r="D341" s="4">
        <f>'Quantity Shares_1998 forward'!AH343</f>
        <v>7.6949628494060285</v>
      </c>
    </row>
    <row r="342" spans="3:4" x14ac:dyDescent="0.2">
      <c r="D342" s="4">
        <f>'Quantity Shares_1998 forward'!AH344</f>
        <v>7.5646328802751359</v>
      </c>
    </row>
    <row r="343" spans="3:4" x14ac:dyDescent="0.2">
      <c r="C343">
        <f>'Quantity Shares_1998 forward'!AG345</f>
        <v>2014</v>
      </c>
      <c r="D343" s="4">
        <f>'Quantity Shares_1998 forward'!AH345</f>
        <v>5.7910221810908444</v>
      </c>
    </row>
    <row r="344" spans="3:4" x14ac:dyDescent="0.2">
      <c r="D344" s="4">
        <f>'Quantity Shares_1998 forward'!AH346</f>
        <v>5.8639837398373986</v>
      </c>
    </row>
    <row r="345" spans="3:4" x14ac:dyDescent="0.2">
      <c r="D345" s="4">
        <f>'Quantity Shares_1998 forward'!AH347</f>
        <v>5.5801474005094329</v>
      </c>
    </row>
    <row r="346" spans="3:4" x14ac:dyDescent="0.2">
      <c r="D346" s="4">
        <f>'Quantity Shares_1998 forward'!AH348</f>
        <v>9.426731078904993</v>
      </c>
    </row>
    <row r="347" spans="3:4" x14ac:dyDescent="0.2">
      <c r="D347" s="4">
        <f>'Quantity Shares_1998 forward'!AH349</f>
        <v>8.9356521739130432</v>
      </c>
    </row>
    <row r="348" spans="3:4" x14ac:dyDescent="0.2">
      <c r="D348" s="4">
        <f>'Quantity Shares_1998 forward'!AH350</f>
        <v>10.75</v>
      </c>
    </row>
    <row r="349" spans="3:4" x14ac:dyDescent="0.2">
      <c r="D349" s="4">
        <f>'Quantity Shares_1998 forward'!AH351</f>
        <v>7.5970564434924288</v>
      </c>
    </row>
    <row r="350" spans="3:4" x14ac:dyDescent="0.2">
      <c r="D350" s="4">
        <f>'Quantity Shares_1998 forward'!AH352</f>
        <v>4.7850470026727763</v>
      </c>
    </row>
    <row r="351" spans="3:4" x14ac:dyDescent="0.2">
      <c r="D351" s="4">
        <f>'Quantity Shares_1998 forward'!AH353</f>
        <v>7.211557395087433</v>
      </c>
    </row>
    <row r="352" spans="3:4" x14ac:dyDescent="0.2">
      <c r="D352" s="4">
        <f>'Quantity Shares_1998 forward'!AH354</f>
        <v>6.9872628411281585</v>
      </c>
    </row>
    <row r="353" spans="3:4" x14ac:dyDescent="0.2">
      <c r="D353" s="4">
        <f>'Quantity Shares_1998 forward'!AH355</f>
        <v>4.8560693526810494</v>
      </c>
    </row>
    <row r="354" spans="3:4" x14ac:dyDescent="0.2">
      <c r="D354" s="4">
        <f>'Quantity Shares_1998 forward'!AH356</f>
        <v>7.4546447507953362</v>
      </c>
    </row>
    <row r="355" spans="3:4" x14ac:dyDescent="0.2">
      <c r="D355" s="4">
        <f>'Quantity Shares_1998 forward'!AH357</f>
        <v>4.6579134315307025</v>
      </c>
    </row>
    <row r="356" spans="3:4" x14ac:dyDescent="0.2">
      <c r="D356" s="4">
        <f>'Quantity Shares_1998 forward'!AH358</f>
        <v>6.3511949336808051</v>
      </c>
    </row>
    <row r="357" spans="3:4" x14ac:dyDescent="0.2">
      <c r="D357" s="4">
        <f>'Quantity Shares_1998 forward'!AH359</f>
        <v>6.9919402985074619</v>
      </c>
    </row>
    <row r="358" spans="3:4" x14ac:dyDescent="0.2">
      <c r="D358" s="4">
        <f>'Quantity Shares_1998 forward'!AH360</f>
        <v>9.2675090252707619</v>
      </c>
    </row>
    <row r="359" spans="3:4" x14ac:dyDescent="0.2">
      <c r="D359" s="4">
        <f>'Quantity Shares_1998 forward'!AH361</f>
        <v>7.5866269841269842</v>
      </c>
    </row>
    <row r="360" spans="3:4" x14ac:dyDescent="0.2">
      <c r="D360" s="4">
        <f>'Quantity Shares_1998 forward'!AH362</f>
        <v>6.6420915032679737</v>
      </c>
    </row>
    <row r="361" spans="3:4" x14ac:dyDescent="0.2">
      <c r="D361" s="4">
        <f>'Quantity Shares_1998 forward'!AH363</f>
        <v>7.2266544117647058</v>
      </c>
    </row>
    <row r="362" spans="3:4" x14ac:dyDescent="0.2">
      <c r="D362" s="4">
        <f>'Quantity Shares_1998 forward'!AH364</f>
        <v>8.8417058823529402</v>
      </c>
    </row>
    <row r="363" spans="3:4" x14ac:dyDescent="0.2">
      <c r="D363" s="4">
        <f>'Quantity Shares_1998 forward'!AH365</f>
        <v>8.3692779783393494</v>
      </c>
    </row>
    <row r="364" spans="3:4" x14ac:dyDescent="0.2">
      <c r="C364">
        <f>'Quantity Shares_1998 forward'!AG366</f>
        <v>2015</v>
      </c>
      <c r="D364" s="4">
        <f>'Quantity Shares_1998 forward'!AH366</f>
        <v>4.3567310026058967</v>
      </c>
    </row>
    <row r="365" spans="3:4" x14ac:dyDescent="0.2">
      <c r="D365" s="4">
        <f>'Quantity Shares_1998 forward'!AH367</f>
        <v>4.7506953812617603</v>
      </c>
    </row>
    <row r="366" spans="3:4" x14ac:dyDescent="0.2">
      <c r="D366" s="4">
        <f>'Quantity Shares_1998 forward'!AH368</f>
        <v>3.9984196567592964</v>
      </c>
    </row>
    <row r="367" spans="3:4" x14ac:dyDescent="0.2">
      <c r="D367" s="4">
        <f>'Quantity Shares_1998 forward'!AH369</f>
        <v>7.153682104794429</v>
      </c>
    </row>
    <row r="368" spans="3:4" x14ac:dyDescent="0.2">
      <c r="D368" s="4">
        <f>'Quantity Shares_1998 forward'!AH370</f>
        <v>6.312262409550474</v>
      </c>
    </row>
    <row r="369" spans="4:4" x14ac:dyDescent="0.2">
      <c r="D369" s="4">
        <f>'Quantity Shares_1998 forward'!AH371</f>
        <v>8.0082445883808457</v>
      </c>
    </row>
    <row r="370" spans="4:4" x14ac:dyDescent="0.2">
      <c r="D370" s="4">
        <f>'Quantity Shares_1998 forward'!AH372</f>
        <v>5.8801507065093777</v>
      </c>
    </row>
    <row r="371" spans="4:4" x14ac:dyDescent="0.2">
      <c r="D371" s="4">
        <f>'Quantity Shares_1998 forward'!AH373</f>
        <v>3.8994611378487676</v>
      </c>
    </row>
    <row r="372" spans="4:4" x14ac:dyDescent="0.2">
      <c r="D372" s="4">
        <f>'Quantity Shares_1998 forward'!AH374</f>
        <v>5.1935333127787482</v>
      </c>
    </row>
    <row r="373" spans="4:4" x14ac:dyDescent="0.2">
      <c r="D373" s="4">
        <f>'Quantity Shares_1998 forward'!AH375</f>
        <v>5.7250464035666759</v>
      </c>
    </row>
    <row r="374" spans="4:4" x14ac:dyDescent="0.2">
      <c r="D374" s="4">
        <f>'Quantity Shares_1998 forward'!AH376</f>
        <v>3.681912158564979</v>
      </c>
    </row>
    <row r="375" spans="4:4" x14ac:dyDescent="0.2">
      <c r="D375" s="4">
        <f>'Quantity Shares_1998 forward'!AH377</f>
        <v>6.1465392506239693</v>
      </c>
    </row>
    <row r="376" spans="4:4" x14ac:dyDescent="0.2">
      <c r="D376" s="4">
        <f>'Quantity Shares_1998 forward'!AH378</f>
        <v>3.6638955410997065</v>
      </c>
    </row>
    <row r="377" spans="4:4" x14ac:dyDescent="0.2">
      <c r="D377" s="4">
        <f>'Quantity Shares_1998 forward'!AH379</f>
        <v>5.4143139073808877</v>
      </c>
    </row>
    <row r="378" spans="4:4" x14ac:dyDescent="0.2">
      <c r="D378" s="4">
        <f>'Quantity Shares_1998 forward'!AH380</f>
        <v>5.224625801721186</v>
      </c>
    </row>
    <row r="379" spans="4:4" x14ac:dyDescent="0.2">
      <c r="D379" s="4">
        <f>'Quantity Shares_1998 forward'!AH381</f>
        <v>7.0079631942562779</v>
      </c>
    </row>
    <row r="380" spans="4:4" x14ac:dyDescent="0.2">
      <c r="D380" s="4">
        <f>'Quantity Shares_1998 forward'!AH382</f>
        <v>6.1952360443899099</v>
      </c>
    </row>
    <row r="381" spans="4:4" x14ac:dyDescent="0.2">
      <c r="D381" s="4">
        <f>'Quantity Shares_1998 forward'!AH383</f>
        <v>5.1056828719222356</v>
      </c>
    </row>
    <row r="382" spans="4:4" x14ac:dyDescent="0.2">
      <c r="D382" s="4">
        <f>'Quantity Shares_1998 forward'!AH384</f>
        <v>5.3024755799896122</v>
      </c>
    </row>
    <row r="383" spans="4:4" x14ac:dyDescent="0.2">
      <c r="D383" s="4">
        <f>'Quantity Shares_1998 forward'!AH385</f>
        <v>6.446841877821412</v>
      </c>
    </row>
    <row r="384" spans="4:4" x14ac:dyDescent="0.2">
      <c r="D384" s="4">
        <f>'Quantity Shares_1998 forward'!AH386</f>
        <v>6.1501944211125856</v>
      </c>
    </row>
    <row r="385" spans="3:4" x14ac:dyDescent="0.2">
      <c r="C385">
        <v>2016</v>
      </c>
      <c r="D385" s="4">
        <f>'Quantity Shares_1998 forward'!AH387</f>
        <v>3.8577525393614818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4:AM345"/>
  <sheetViews>
    <sheetView topLeftCell="Z218" workbookViewId="0">
      <selection activeCell="AH228" sqref="AH228"/>
    </sheetView>
  </sheetViews>
  <sheetFormatPr defaultRowHeight="12.75" x14ac:dyDescent="0.2"/>
  <cols>
    <col min="36" max="36" width="10.5703125" bestFit="1" customWidth="1"/>
  </cols>
  <sheetData>
    <row r="4" spans="3:36" x14ac:dyDescent="0.2">
      <c r="C4" s="126" t="s">
        <v>199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Q4" t="s">
        <v>286</v>
      </c>
      <c r="AA4" t="s">
        <v>110</v>
      </c>
    </row>
    <row r="6" spans="3:36" x14ac:dyDescent="0.2">
      <c r="D6" t="s">
        <v>82</v>
      </c>
    </row>
    <row r="7" spans="3:36" x14ac:dyDescent="0.2">
      <c r="F7" t="s">
        <v>83</v>
      </c>
      <c r="G7" t="s">
        <v>84</v>
      </c>
      <c r="H7" t="s">
        <v>62</v>
      </c>
      <c r="I7" t="s">
        <v>69</v>
      </c>
      <c r="K7" t="s">
        <v>83</v>
      </c>
      <c r="L7" t="s">
        <v>84</v>
      </c>
      <c r="M7" t="s">
        <v>62</v>
      </c>
      <c r="N7" t="s">
        <v>69</v>
      </c>
      <c r="Q7">
        <v>1985</v>
      </c>
      <c r="AF7" s="76" t="s">
        <v>176</v>
      </c>
      <c r="AG7" s="76"/>
      <c r="AH7" s="76"/>
      <c r="AI7" s="34"/>
      <c r="AJ7" t="s">
        <v>345</v>
      </c>
    </row>
    <row r="8" spans="3:36" x14ac:dyDescent="0.2">
      <c r="Q8" t="s">
        <v>53</v>
      </c>
      <c r="R8" t="s">
        <v>54</v>
      </c>
      <c r="S8" t="s">
        <v>67</v>
      </c>
      <c r="T8" t="s">
        <v>68</v>
      </c>
      <c r="U8" t="s">
        <v>71</v>
      </c>
      <c r="V8" t="s">
        <v>56</v>
      </c>
      <c r="W8" t="s">
        <v>69</v>
      </c>
      <c r="X8" t="s">
        <v>287</v>
      </c>
      <c r="AA8" t="s">
        <v>53</v>
      </c>
      <c r="AB8" t="s">
        <v>54</v>
      </c>
      <c r="AC8" t="s">
        <v>67</v>
      </c>
      <c r="AD8" t="s">
        <v>68</v>
      </c>
      <c r="AE8" t="s">
        <v>71</v>
      </c>
      <c r="AF8" s="76" t="s">
        <v>56</v>
      </c>
      <c r="AG8" s="76" t="s">
        <v>69</v>
      </c>
      <c r="AH8" s="76"/>
      <c r="AJ8" t="s">
        <v>111</v>
      </c>
    </row>
    <row r="9" spans="3:36" x14ac:dyDescent="0.2">
      <c r="D9" s="27">
        <f>[13]Quantity_shares!BB235</f>
        <v>1998</v>
      </c>
      <c r="E9" s="27" t="str">
        <f>[13]Quantity_shares!BC235</f>
        <v>311</v>
      </c>
      <c r="F9" s="28">
        <f>[13]Quantity_shares!BD235</f>
        <v>0.68351383874849581</v>
      </c>
      <c r="G9" s="28">
        <f>[13]Quantity_shares!BE235</f>
        <v>3.6101083032490974E-2</v>
      </c>
      <c r="H9" s="28">
        <f>[13]Quantity_shares!BF235</f>
        <v>0.1552346570397112</v>
      </c>
      <c r="I9" s="28">
        <f>[13]Quantity_shares!BG235</f>
        <v>0.12515042117930206</v>
      </c>
      <c r="K9" s="17">
        <f>S9</f>
        <v>0.71979194789742551</v>
      </c>
      <c r="L9" s="17">
        <f>Q9+R9</f>
        <v>9.4427588708815832E-2</v>
      </c>
      <c r="M9" s="17">
        <f>U9+V9</f>
        <v>0.17392256886115304</v>
      </c>
      <c r="N9" s="17">
        <f>T9+W9</f>
        <v>1.1857894532605582E-2</v>
      </c>
      <c r="O9" t="s">
        <v>10</v>
      </c>
      <c r="P9">
        <v>1985</v>
      </c>
      <c r="Q9" s="31">
        <f>MECS_data_SIC!BP5</f>
        <v>5.6402971176190482E-2</v>
      </c>
      <c r="R9" s="31">
        <f>MECS_data_SIC!BQ5</f>
        <v>3.802461753262535E-2</v>
      </c>
      <c r="S9" s="31">
        <f>MECS_data_SIC!BR5</f>
        <v>0.71979194789742551</v>
      </c>
      <c r="T9" s="31">
        <f>MECS_data_SIC!BS5</f>
        <v>1.1857894532605582E-2</v>
      </c>
      <c r="U9" s="31">
        <f>MECS_data_SIC!BT5</f>
        <v>0.17392256886115304</v>
      </c>
      <c r="V9" s="31">
        <v>0</v>
      </c>
      <c r="W9" s="74">
        <v>0</v>
      </c>
      <c r="X9" s="74">
        <f>SUM(Q9:W9)</f>
        <v>1</v>
      </c>
      <c r="Y9" s="73"/>
      <c r="Z9">
        <v>1985</v>
      </c>
      <c r="AA9" s="4">
        <f>'[33]Predicted Residual Prices'!AP9</f>
        <v>4.29</v>
      </c>
      <c r="AB9" s="4">
        <f>'[34]Predicted Distillate Prices'!AP9</f>
        <v>6.58</v>
      </c>
      <c r="AC9" s="4">
        <f>'[35]Predicted Gas Prices'!AQ9</f>
        <v>4.21</v>
      </c>
      <c r="AD9" s="4">
        <f>'[36]Predicted LPG Prices'!AP9</f>
        <v>6.73</v>
      </c>
      <c r="AE9" s="4">
        <f>'[37]Predicted Coal Prices'!AP9</f>
        <v>1.74</v>
      </c>
      <c r="AF9" s="4">
        <v>0</v>
      </c>
      <c r="AG9" s="4">
        <v>0</v>
      </c>
      <c r="AH9" s="4"/>
      <c r="AI9" s="17" t="str">
        <f>O9</f>
        <v>311</v>
      </c>
      <c r="AJ9" s="115">
        <f t="shared" ref="AJ9:AJ72" si="0">SUMPRODUCT(Q9:W9,AA9:AG9)</f>
        <v>3.9049237303815345</v>
      </c>
    </row>
    <row r="10" spans="3:36" x14ac:dyDescent="0.2">
      <c r="D10" s="27">
        <f>[13]Quantity_shares!BB236</f>
        <v>1998</v>
      </c>
      <c r="E10" s="27" t="str">
        <f>[13]Quantity_shares!BC236</f>
        <v>312</v>
      </c>
      <c r="F10" s="28">
        <f>[13]Quantity_shares!BD236</f>
        <v>0.54216867469879515</v>
      </c>
      <c r="G10" s="28">
        <f>[13]Quantity_shares!BE236</f>
        <v>4.8192771084337352E-2</v>
      </c>
      <c r="H10" s="28">
        <f>[13]Quantity_shares!BF236</f>
        <v>0.3493975903614458</v>
      </c>
      <c r="I10" s="28">
        <f>[13]Quantity_shares!BG236</f>
        <v>6.0240963855421686E-2</v>
      </c>
      <c r="K10" s="17">
        <f t="shared" ref="K10:K29" si="1">S10</f>
        <v>0.46197008063279649</v>
      </c>
      <c r="L10" s="17">
        <f t="shared" ref="L10:L29" si="2">Q10+R10</f>
        <v>0.12551024688334558</v>
      </c>
      <c r="M10" s="17">
        <f t="shared" ref="M10:M29" si="3">U10+V10</f>
        <v>0.41007538737772931</v>
      </c>
      <c r="N10" s="17">
        <f t="shared" ref="N10:N29" si="4">T10+W10</f>
        <v>2.444285106128671E-3</v>
      </c>
      <c r="O10" t="s">
        <v>12</v>
      </c>
      <c r="Q10" s="31">
        <f>MECS_data_SIC!BP6</f>
        <v>0.11022975897933301</v>
      </c>
      <c r="R10" s="31">
        <f>MECS_data_SIC!BQ6</f>
        <v>1.5280487904012565E-2</v>
      </c>
      <c r="S10" s="31">
        <f>MECS_data_SIC!BR6</f>
        <v>0.46197008063279649</v>
      </c>
      <c r="T10" s="31">
        <f>MECS_data_SIC!BS6</f>
        <v>2.444285106128671E-3</v>
      </c>
      <c r="U10" s="31">
        <f>MECS_data_SIC!BT6</f>
        <v>0.41007538737772931</v>
      </c>
      <c r="V10" s="31">
        <v>0</v>
      </c>
      <c r="W10" s="74">
        <v>0</v>
      </c>
      <c r="X10" s="74">
        <f t="shared" ref="X10:X29" si="5">SUM(Q10:W10)</f>
        <v>1</v>
      </c>
      <c r="Y10" s="73"/>
      <c r="AA10" s="4">
        <f>'[33]Predicted Residual Prices'!AP10</f>
        <v>4.43</v>
      </c>
      <c r="AB10" s="4">
        <f>'[34]Predicted Distillate Prices'!AP10</f>
        <v>6.36</v>
      </c>
      <c r="AC10" s="4">
        <f>'[35]Predicted Gas Prices'!AQ10</f>
        <v>4.6100000000000003</v>
      </c>
      <c r="AD10" s="4">
        <f>'[36]Predicted LPG Prices'!AP10</f>
        <v>8.51</v>
      </c>
      <c r="AE10" s="4">
        <f>'[37]Predicted Coal Prices'!AP10</f>
        <v>2.2599999999999998</v>
      </c>
      <c r="AF10" s="4">
        <v>0</v>
      </c>
      <c r="AG10" s="4">
        <v>0</v>
      </c>
      <c r="AH10" s="4"/>
      <c r="AI10" s="17" t="str">
        <f t="shared" ref="AI10:AI71" si="6">O10</f>
        <v>312</v>
      </c>
      <c r="AJ10" s="115">
        <f t="shared" si="0"/>
        <v>3.66275504879198</v>
      </c>
    </row>
    <row r="11" spans="3:36" x14ac:dyDescent="0.2">
      <c r="D11" s="27">
        <f>[13]Quantity_shares!BB237</f>
        <v>1998</v>
      </c>
      <c r="E11" s="27" t="str">
        <f>[13]Quantity_shares!BC237</f>
        <v>313</v>
      </c>
      <c r="F11" s="28">
        <f>[13]Quantity_shares!BD237</f>
        <v>0.67320261437908502</v>
      </c>
      <c r="G11" s="28">
        <f>[13]Quantity_shares!BE237</f>
        <v>0.10457516339869281</v>
      </c>
      <c r="H11" s="28">
        <f>[13]Quantity_shares!BF237</f>
        <v>0.13071895424836602</v>
      </c>
      <c r="I11" s="28">
        <f>[13]Quantity_shares!BG237</f>
        <v>9.1503267973856203E-2</v>
      </c>
      <c r="K11" s="17">
        <f t="shared" si="1"/>
        <v>0.59973623381487984</v>
      </c>
      <c r="L11" s="17">
        <f t="shared" si="2"/>
        <v>0.1523950612799099</v>
      </c>
      <c r="M11" s="17">
        <f t="shared" si="3"/>
        <v>0.23442506727760806</v>
      </c>
      <c r="N11" s="17">
        <f t="shared" si="4"/>
        <v>1.3443637627602202E-2</v>
      </c>
      <c r="O11" t="s">
        <v>14</v>
      </c>
      <c r="Q11" s="31">
        <f>MECS_data_SIC!BP7</f>
        <v>0.1173265415066118</v>
      </c>
      <c r="R11" s="31">
        <f>MECS_data_SIC!BQ7</f>
        <v>3.5068519773298105E-2</v>
      </c>
      <c r="S11" s="31">
        <f>MECS_data_SIC!BR7</f>
        <v>0.59973623381487984</v>
      </c>
      <c r="T11" s="31">
        <f>MECS_data_SIC!BS7</f>
        <v>1.3443637627602202E-2</v>
      </c>
      <c r="U11" s="31">
        <f>MECS_data_SIC!BT7</f>
        <v>0.23442506727760806</v>
      </c>
      <c r="V11" s="31">
        <v>0</v>
      </c>
      <c r="W11" s="74">
        <v>0</v>
      </c>
      <c r="X11" s="74">
        <f t="shared" si="5"/>
        <v>1</v>
      </c>
      <c r="Y11" s="73"/>
      <c r="AA11" s="4">
        <f>'[33]Predicted Residual Prices'!AP11</f>
        <v>4.7699999999999996</v>
      </c>
      <c r="AB11" s="4">
        <f>'[34]Predicted Distillate Prices'!AP11</f>
        <v>6.02</v>
      </c>
      <c r="AC11" s="4">
        <f>'[35]Predicted Gas Prices'!AQ11</f>
        <v>4.54</v>
      </c>
      <c r="AD11" s="4">
        <f>'[36]Predicted LPG Prices'!AP11</f>
        <v>6.79</v>
      </c>
      <c r="AE11" s="4">
        <f>'[37]Predicted Coal Prices'!AP11</f>
        <v>2.29</v>
      </c>
      <c r="AF11" s="4">
        <v>0</v>
      </c>
      <c r="AG11" s="4">
        <v>0</v>
      </c>
      <c r="AH11" s="4"/>
      <c r="AI11" s="17" t="str">
        <f t="shared" si="6"/>
        <v>313</v>
      </c>
      <c r="AJ11" s="115">
        <f t="shared" si="0"/>
        <v>4.1216782970984891</v>
      </c>
    </row>
    <row r="12" spans="3:36" x14ac:dyDescent="0.2">
      <c r="D12" s="27">
        <f>[13]Quantity_shares!BB238</f>
        <v>1998</v>
      </c>
      <c r="E12" s="27" t="str">
        <f>[13]Quantity_shares!BC238</f>
        <v>314</v>
      </c>
      <c r="F12" s="28">
        <f>[13]Quantity_shares!BD238</f>
        <v>0.84126888726289495</v>
      </c>
      <c r="G12" s="28">
        <f>[13]Quantity_shares!BE238</f>
        <v>2.2675873248157855E-2</v>
      </c>
      <c r="H12" s="28">
        <f>[13]Quantity_shares!BF238</f>
        <v>0.12093799065684188</v>
      </c>
      <c r="I12" s="28">
        <f>[13]Quantity_shares!BG238</f>
        <v>1.5117248832105235E-2</v>
      </c>
      <c r="K12" s="17">
        <f t="shared" si="1"/>
        <v>0.59973623381487984</v>
      </c>
      <c r="L12" s="17">
        <f t="shared" si="2"/>
        <v>0.1523950612799099</v>
      </c>
      <c r="M12" s="17">
        <f t="shared" si="3"/>
        <v>0.23442506727760806</v>
      </c>
      <c r="N12" s="17">
        <f t="shared" si="4"/>
        <v>1.3443637627602202E-2</v>
      </c>
      <c r="O12" t="s">
        <v>16</v>
      </c>
      <c r="Q12" s="31">
        <f>MECS_data_SIC!BP8</f>
        <v>0.1173265415066118</v>
      </c>
      <c r="R12" s="31">
        <f>MECS_data_SIC!BQ8</f>
        <v>3.5068519773298105E-2</v>
      </c>
      <c r="S12" s="31">
        <f>MECS_data_SIC!BR8</f>
        <v>0.59973623381487984</v>
      </c>
      <c r="T12" s="31">
        <f>MECS_data_SIC!BS8</f>
        <v>1.3443637627602202E-2</v>
      </c>
      <c r="U12" s="31">
        <f>MECS_data_SIC!BT8</f>
        <v>0.23442506727760806</v>
      </c>
      <c r="V12" s="31">
        <v>0</v>
      </c>
      <c r="W12" s="74">
        <v>0</v>
      </c>
      <c r="X12" s="74">
        <f t="shared" si="5"/>
        <v>1</v>
      </c>
      <c r="Y12" s="73"/>
      <c r="AA12" s="4">
        <f>'[33]Predicted Residual Prices'!AP12</f>
        <v>4.7699999999999996</v>
      </c>
      <c r="AB12" s="4">
        <f>'[34]Predicted Distillate Prices'!AP12</f>
        <v>6.02</v>
      </c>
      <c r="AC12" s="4">
        <f>'[35]Predicted Gas Prices'!AQ12</f>
        <v>4.54</v>
      </c>
      <c r="AD12" s="4">
        <f>'[36]Predicted LPG Prices'!AP12</f>
        <v>6.79</v>
      </c>
      <c r="AE12" s="4">
        <f>'[37]Predicted Coal Prices'!AP12</f>
        <v>2.29</v>
      </c>
      <c r="AF12" s="4">
        <v>0</v>
      </c>
      <c r="AG12" s="4">
        <v>0</v>
      </c>
      <c r="AH12" s="4"/>
      <c r="AI12" s="17" t="str">
        <f t="shared" si="6"/>
        <v>314</v>
      </c>
      <c r="AJ12" s="115">
        <f t="shared" si="0"/>
        <v>4.1216782970984891</v>
      </c>
    </row>
    <row r="13" spans="3:36" x14ac:dyDescent="0.2">
      <c r="D13" s="27">
        <f>[13]Quantity_shares!BB239</f>
        <v>1998</v>
      </c>
      <c r="E13" s="27" t="str">
        <f>[13]Quantity_shares!BC239</f>
        <v>315</v>
      </c>
      <c r="F13" s="28">
        <f>[13]Quantity_shares!BD239</f>
        <v>0.71875</v>
      </c>
      <c r="G13" s="28">
        <f>[13]Quantity_shares!BE239</f>
        <v>9.375E-2</v>
      </c>
      <c r="H13" s="28">
        <f>[13]Quantity_shares!BF239</f>
        <v>3.125E-2</v>
      </c>
      <c r="I13" s="28">
        <f>[13]Quantity_shares!BG239</f>
        <v>0.15625</v>
      </c>
      <c r="K13" s="17">
        <f t="shared" si="1"/>
        <v>0.69050095860187632</v>
      </c>
      <c r="L13" s="17">
        <f t="shared" si="2"/>
        <v>0.19490320200007533</v>
      </c>
      <c r="M13" s="17">
        <f t="shared" si="3"/>
        <v>9.3723704814315981E-2</v>
      </c>
      <c r="N13" s="17">
        <f t="shared" si="4"/>
        <v>2.0872134583732344E-2</v>
      </c>
      <c r="O13" t="s">
        <v>18</v>
      </c>
      <c r="Q13" s="31">
        <f>MECS_data_SIC!BP9</f>
        <v>6.309853963270344E-2</v>
      </c>
      <c r="R13" s="31">
        <f>MECS_data_SIC!BQ9</f>
        <v>0.1318046623673719</v>
      </c>
      <c r="S13" s="31">
        <f>MECS_data_SIC!BR9</f>
        <v>0.69050095860187632</v>
      </c>
      <c r="T13" s="31">
        <f>MECS_data_SIC!BS9</f>
        <v>2.0872134583732344E-2</v>
      </c>
      <c r="U13" s="31">
        <f>MECS_data_SIC!BT9</f>
        <v>9.3723704814315981E-2</v>
      </c>
      <c r="V13" s="31">
        <v>0</v>
      </c>
      <c r="W13" s="74">
        <v>0</v>
      </c>
      <c r="X13" s="74">
        <f t="shared" si="5"/>
        <v>1</v>
      </c>
      <c r="Y13" s="73"/>
      <c r="AA13" s="4">
        <f>'[33]Predicted Residual Prices'!AP13</f>
        <v>4.97</v>
      </c>
      <c r="AB13" s="4">
        <f>'[34]Predicted Distillate Prices'!AP13</f>
        <v>6.48</v>
      </c>
      <c r="AC13" s="4">
        <f>'[35]Predicted Gas Prices'!AQ13</f>
        <v>5.17</v>
      </c>
      <c r="AD13" s="4">
        <f>'[36]Predicted LPG Prices'!AP13</f>
        <v>7.68</v>
      </c>
      <c r="AE13" s="4">
        <f>'[37]Predicted Coal Prices'!AP13</f>
        <v>2.46</v>
      </c>
      <c r="AF13" s="4">
        <v>0</v>
      </c>
      <c r="AG13" s="4">
        <v>0</v>
      </c>
      <c r="AH13" s="4"/>
      <c r="AI13" s="17" t="str">
        <f t="shared" si="6"/>
        <v>315</v>
      </c>
      <c r="AJ13" s="115">
        <f t="shared" si="0"/>
        <v>5.128442217533089</v>
      </c>
    </row>
    <row r="14" spans="3:36" x14ac:dyDescent="0.2">
      <c r="D14" s="27">
        <f>[13]Quantity_shares!BB240</f>
        <v>1998</v>
      </c>
      <c r="E14" s="27" t="str">
        <f>[13]Quantity_shares!BC240</f>
        <v>316</v>
      </c>
      <c r="F14" s="28">
        <f>[13]Quantity_shares!BD240</f>
        <v>0.79999999999999849</v>
      </c>
      <c r="G14" s="28">
        <f>[13]Quantity_shares!BE240</f>
        <v>9.9999999999999811E-2</v>
      </c>
      <c r="H14" s="28">
        <f>[13]Quantity_shares!BF240</f>
        <v>1.9999999999999962E-15</v>
      </c>
      <c r="I14" s="28">
        <f>[13]Quantity_shares!BG240</f>
        <v>9.9999999999999811E-2</v>
      </c>
      <c r="K14" s="17">
        <f t="shared" si="1"/>
        <v>0.48339407683332719</v>
      </c>
      <c r="L14" s="17">
        <f t="shared" si="2"/>
        <v>0.4140304227448155</v>
      </c>
      <c r="M14" s="17">
        <f t="shared" si="3"/>
        <v>8.2484266815931767E-2</v>
      </c>
      <c r="N14" s="17">
        <f t="shared" si="4"/>
        <v>2.0091233605925598E-2</v>
      </c>
      <c r="O14" t="s">
        <v>20</v>
      </c>
      <c r="Q14" s="31">
        <f>MECS_data_SIC!BP10</f>
        <v>0.27828954846834458</v>
      </c>
      <c r="R14" s="31">
        <f>MECS_data_SIC!BQ10</f>
        <v>0.13574087427647091</v>
      </c>
      <c r="S14" s="31">
        <f>MECS_data_SIC!BR10</f>
        <v>0.48339407683332719</v>
      </c>
      <c r="T14" s="31">
        <f>MECS_data_SIC!BS10</f>
        <v>2.0091233605925598E-2</v>
      </c>
      <c r="U14" s="31">
        <f>MECS_data_SIC!BT10</f>
        <v>8.2484266815931767E-2</v>
      </c>
      <c r="V14" s="31">
        <v>0</v>
      </c>
      <c r="W14" s="74">
        <v>0</v>
      </c>
      <c r="X14" s="74">
        <f t="shared" si="5"/>
        <v>1</v>
      </c>
      <c r="Y14" s="73"/>
      <c r="AA14" s="4">
        <f>'[33]Predicted Residual Prices'!AP14</f>
        <v>4.38</v>
      </c>
      <c r="AB14" s="4">
        <f>'[34]Predicted Distillate Prices'!AP14</f>
        <v>6.44</v>
      </c>
      <c r="AC14" s="4">
        <f>'[35]Predicted Gas Prices'!AQ14</f>
        <v>4.75</v>
      </c>
      <c r="AD14" s="4">
        <f>'[36]Predicted LPG Prices'!AP14</f>
        <v>7.43</v>
      </c>
      <c r="AE14" s="4">
        <f>'[37]Predicted Coal Prices'!AP14</f>
        <v>1.87</v>
      </c>
      <c r="AF14" s="4">
        <v>0</v>
      </c>
      <c r="AG14" s="4">
        <v>0</v>
      </c>
      <c r="AH14" s="4"/>
      <c r="AI14" s="17" t="str">
        <f t="shared" si="6"/>
        <v>316</v>
      </c>
      <c r="AJ14" s="115">
        <f t="shared" si="0"/>
        <v>4.6927247622279458</v>
      </c>
    </row>
    <row r="15" spans="3:36" x14ac:dyDescent="0.2">
      <c r="D15" s="27">
        <f>[13]Quantity_shares!BB241</f>
        <v>1998</v>
      </c>
      <c r="E15" s="27" t="str">
        <f>[13]Quantity_shares!BC241</f>
        <v>321</v>
      </c>
      <c r="F15" s="28">
        <f>[13]Quantity_shares!BD241</f>
        <v>0.16743119266055045</v>
      </c>
      <c r="G15" s="28">
        <f>[13]Quantity_shares!BE241</f>
        <v>3.2110091743119268E-2</v>
      </c>
      <c r="H15" s="28">
        <f>[13]Quantity_shares!BF241</f>
        <v>4.5871559633027525E-3</v>
      </c>
      <c r="I15" s="28">
        <f>[13]Quantity_shares!BG241</f>
        <v>0.79587155963302747</v>
      </c>
      <c r="K15" s="17">
        <f t="shared" si="1"/>
        <v>0.47284768780859776</v>
      </c>
      <c r="L15" s="17">
        <f t="shared" si="2"/>
        <v>0.45401577645335728</v>
      </c>
      <c r="M15" s="17">
        <f t="shared" si="3"/>
        <v>1.90910726666908E-2</v>
      </c>
      <c r="N15" s="17">
        <f t="shared" si="4"/>
        <v>5.4045463071354043E-2</v>
      </c>
      <c r="O15" t="s">
        <v>22</v>
      </c>
      <c r="Q15" s="31">
        <f>MECS_data_SIC!BP11</f>
        <v>1.90910726666908E-2</v>
      </c>
      <c r="R15" s="31">
        <f>MECS_data_SIC!BQ11</f>
        <v>0.43492470378666648</v>
      </c>
      <c r="S15" s="31">
        <f>MECS_data_SIC!BR11</f>
        <v>0.47284768780859776</v>
      </c>
      <c r="T15" s="31">
        <f>MECS_data_SIC!BS11</f>
        <v>5.4045463071354043E-2</v>
      </c>
      <c r="U15" s="31">
        <f>MECS_data_SIC!BT11</f>
        <v>1.90910726666908E-2</v>
      </c>
      <c r="V15" s="31">
        <v>0</v>
      </c>
      <c r="W15" s="74">
        <v>0</v>
      </c>
      <c r="X15" s="74">
        <f t="shared" si="5"/>
        <v>1</v>
      </c>
      <c r="Y15" s="73"/>
      <c r="AA15" s="4">
        <f>'[33]Predicted Residual Prices'!AP15</f>
        <v>4.6500000000000004</v>
      </c>
      <c r="AB15" s="4">
        <f>'[34]Predicted Distillate Prices'!AP15</f>
        <v>6.23</v>
      </c>
      <c r="AC15" s="4">
        <f>'[35]Predicted Gas Prices'!AQ15</f>
        <v>4.5599999999999996</v>
      </c>
      <c r="AD15" s="4">
        <f>'[36]Predicted LPG Prices'!AP15</f>
        <v>6.92</v>
      </c>
      <c r="AE15" s="4">
        <f>'[37]Predicted Coal Prices'!AP15</f>
        <v>3</v>
      </c>
      <c r="AF15" s="4">
        <v>0</v>
      </c>
      <c r="AG15" s="4">
        <v>0</v>
      </c>
      <c r="AH15" s="4"/>
      <c r="AI15" s="17" t="str">
        <f t="shared" si="6"/>
        <v>321</v>
      </c>
      <c r="AJ15" s="115">
        <f t="shared" si="0"/>
        <v>5.3858076713520928</v>
      </c>
    </row>
    <row r="16" spans="3:36" x14ac:dyDescent="0.2">
      <c r="D16" s="27">
        <f>[13]Quantity_shares!BB242</f>
        <v>1998</v>
      </c>
      <c r="E16" s="27" t="str">
        <f>[13]Quantity_shares!BC242</f>
        <v>322</v>
      </c>
      <c r="F16" s="28">
        <f>[13]Quantity_shares!BD242</f>
        <v>0.2338387869114126</v>
      </c>
      <c r="G16" s="28">
        <f>[13]Quantity_shares!BE242</f>
        <v>6.3846767757382281E-2</v>
      </c>
      <c r="H16" s="28">
        <f>[13]Quantity_shares!BF242</f>
        <v>0.11053471667996807</v>
      </c>
      <c r="I16" s="28">
        <f>[13]Quantity_shares!BG242</f>
        <v>0.59177972865123707</v>
      </c>
      <c r="K16" s="17">
        <f t="shared" si="1"/>
        <v>0.45453036155471616</v>
      </c>
      <c r="L16" s="17">
        <f t="shared" si="2"/>
        <v>0.18890714933385028</v>
      </c>
      <c r="M16" s="17">
        <f t="shared" si="3"/>
        <v>0.35109515978199402</v>
      </c>
      <c r="N16" s="17">
        <f t="shared" si="4"/>
        <v>5.4673293294394782E-3</v>
      </c>
      <c r="O16" t="s">
        <v>24</v>
      </c>
      <c r="Q16" s="31">
        <f>MECS_data_SIC!BP12</f>
        <v>0.17589381866477399</v>
      </c>
      <c r="R16" s="31">
        <f>MECS_data_SIC!BQ12</f>
        <v>1.3013330669076284E-2</v>
      </c>
      <c r="S16" s="31">
        <f>MECS_data_SIC!BR12</f>
        <v>0.45453036155471616</v>
      </c>
      <c r="T16" s="31">
        <f>MECS_data_SIC!BS12</f>
        <v>5.4673293294394782E-3</v>
      </c>
      <c r="U16" s="31">
        <f>MECS_data_SIC!BT12</f>
        <v>0.35109515978199402</v>
      </c>
      <c r="V16" s="31">
        <v>0</v>
      </c>
      <c r="W16" s="74">
        <v>0</v>
      </c>
      <c r="X16" s="74">
        <f t="shared" si="5"/>
        <v>0.99999999999999989</v>
      </c>
      <c r="Y16" s="73"/>
      <c r="AA16" s="4">
        <f>'[33]Predicted Residual Prices'!AP16</f>
        <v>4.24</v>
      </c>
      <c r="AB16" s="4">
        <f>'[34]Predicted Distillate Prices'!AP16</f>
        <v>5.95</v>
      </c>
      <c r="AC16" s="4">
        <f>'[35]Predicted Gas Prices'!AQ16</f>
        <v>3.88</v>
      </c>
      <c r="AD16" s="4">
        <f>'[36]Predicted LPG Prices'!AP16</f>
        <v>7.54</v>
      </c>
      <c r="AE16" s="4">
        <f>'[37]Predicted Coal Prices'!AP16</f>
        <v>1.98</v>
      </c>
      <c r="AF16" s="4">
        <v>0</v>
      </c>
      <c r="AG16" s="4">
        <v>0</v>
      </c>
      <c r="AH16" s="4"/>
      <c r="AI16" s="17" t="str">
        <f t="shared" si="6"/>
        <v>322</v>
      </c>
      <c r="AJ16" s="115">
        <f t="shared" si="0"/>
        <v>3.3231889909642658</v>
      </c>
    </row>
    <row r="17" spans="4:39" x14ac:dyDescent="0.2">
      <c r="D17" s="27">
        <f>[13]Quantity_shares!BB243</f>
        <v>1998</v>
      </c>
      <c r="E17" s="27" t="str">
        <f>[13]Quantity_shares!BC243</f>
        <v>323</v>
      </c>
      <c r="F17" s="28">
        <f>[13]Quantity_shares!BD243</f>
        <v>0.92146596858638741</v>
      </c>
      <c r="G17" s="28">
        <f>[13]Quantity_shares!BE243</f>
        <v>1.0471204188481676E-2</v>
      </c>
      <c r="H17" s="28">
        <f>[13]Quantity_shares!BF243</f>
        <v>5.235602094240838E-3</v>
      </c>
      <c r="I17" s="28">
        <f>[13]Quantity_shares!BG243</f>
        <v>6.2827225130890049E-2</v>
      </c>
      <c r="K17" s="17">
        <f t="shared" si="1"/>
        <v>0.89636545350768848</v>
      </c>
      <c r="L17" s="17">
        <f t="shared" si="2"/>
        <v>5.499246326381213E-2</v>
      </c>
      <c r="M17" s="17">
        <f t="shared" si="3"/>
        <v>2.2202696582083164E-2</v>
      </c>
      <c r="N17" s="17">
        <f t="shared" si="4"/>
        <v>2.6439386646416232E-2</v>
      </c>
      <c r="O17" t="s">
        <v>26</v>
      </c>
      <c r="Q17" s="31">
        <f>MECS_data_SIC!BP13</f>
        <v>1.3211387861503275E-2</v>
      </c>
      <c r="R17" s="31">
        <f>MECS_data_SIC!BQ13</f>
        <v>4.1781075402308854E-2</v>
      </c>
      <c r="S17" s="31">
        <f>MECS_data_SIC!BR13</f>
        <v>0.89636545350768848</v>
      </c>
      <c r="T17" s="31">
        <f>MECS_data_SIC!BS13</f>
        <v>2.6439386646416232E-2</v>
      </c>
      <c r="U17" s="31">
        <f>MECS_data_SIC!BT13</f>
        <v>2.2202696582083164E-2</v>
      </c>
      <c r="V17" s="31">
        <v>0</v>
      </c>
      <c r="W17" s="74">
        <v>0</v>
      </c>
      <c r="X17" s="74">
        <f t="shared" si="5"/>
        <v>1</v>
      </c>
      <c r="Y17" s="73"/>
      <c r="AA17" s="4">
        <f>'[33]Predicted Residual Prices'!AP17</f>
        <v>4.6399999999999997</v>
      </c>
      <c r="AB17" s="4">
        <f>'[34]Predicted Distillate Prices'!AP17</f>
        <v>5.99</v>
      </c>
      <c r="AC17" s="4">
        <f>'[35]Predicted Gas Prices'!AQ17</f>
        <v>4.95</v>
      </c>
      <c r="AD17" s="4">
        <f>'[36]Predicted LPG Prices'!AP17</f>
        <v>9.9499999999999993</v>
      </c>
      <c r="AE17" s="4">
        <f>'[37]Predicted Coal Prices'!AP17</f>
        <v>1.9525000000000001</v>
      </c>
      <c r="AF17" s="4">
        <v>0</v>
      </c>
      <c r="AG17" s="4">
        <v>0</v>
      </c>
      <c r="AH17" s="4"/>
      <c r="AI17" s="17" t="str">
        <f t="shared" si="6"/>
        <v>323</v>
      </c>
      <c r="AJ17" s="115">
        <f t="shared" si="0"/>
        <v>5.0550011384086222</v>
      </c>
    </row>
    <row r="18" spans="4:39" x14ac:dyDescent="0.2">
      <c r="D18" s="27">
        <f>[13]Quantity_shares!BB244</f>
        <v>1998</v>
      </c>
      <c r="E18" s="27" t="str">
        <f>[13]Quantity_shares!BC244</f>
        <v>324</v>
      </c>
      <c r="F18" s="28">
        <f>[13]Quantity_shares!BD244</f>
        <v>0.28689458689458691</v>
      </c>
      <c r="G18" s="28">
        <f>[13]Quantity_shares!BE244</f>
        <v>2.8490028490028491E-2</v>
      </c>
      <c r="H18" s="28">
        <f>[13]Quantity_shares!BF244</f>
        <v>3.4188034188034188E-3</v>
      </c>
      <c r="I18" s="28">
        <f>[13]Quantity_shares!BG244</f>
        <v>0.68119658119658122</v>
      </c>
      <c r="K18" s="17">
        <f t="shared" si="1"/>
        <v>0.95579426813636348</v>
      </c>
      <c r="L18" s="17">
        <f t="shared" si="2"/>
        <v>2.9528840923668184E-2</v>
      </c>
      <c r="M18" s="17">
        <f t="shared" si="3"/>
        <v>1.0133501873826093E-2</v>
      </c>
      <c r="N18" s="17">
        <f t="shared" si="4"/>
        <v>4.5433890661422584E-3</v>
      </c>
      <c r="O18" t="s">
        <v>28</v>
      </c>
      <c r="Q18" s="31">
        <f>MECS_data_SIC!BP14</f>
        <v>1.3771402684998464E-2</v>
      </c>
      <c r="R18" s="31">
        <f>MECS_data_SIC!BQ14</f>
        <v>1.5757438238669721E-2</v>
      </c>
      <c r="S18" s="31">
        <f>MECS_data_SIC!BR14</f>
        <v>0.95579426813636348</v>
      </c>
      <c r="T18" s="31">
        <f>MECS_data_SIC!BS14</f>
        <v>4.5433890661422584E-3</v>
      </c>
      <c r="U18" s="31">
        <f>MECS_data_SIC!BT14</f>
        <v>1.0133501873826093E-2</v>
      </c>
      <c r="V18" s="31">
        <v>0</v>
      </c>
      <c r="W18" s="74">
        <v>0</v>
      </c>
      <c r="X18" s="74">
        <f t="shared" si="5"/>
        <v>1</v>
      </c>
      <c r="Y18" s="73"/>
      <c r="AA18" s="4">
        <f>'[33]Predicted Residual Prices'!AP18</f>
        <v>4</v>
      </c>
      <c r="AB18" s="4">
        <f>'[34]Predicted Distillate Prices'!AP18</f>
        <v>5.34</v>
      </c>
      <c r="AC18" s="4">
        <f>'[35]Predicted Gas Prices'!AQ18</f>
        <v>3.24</v>
      </c>
      <c r="AD18" s="4">
        <f>'[36]Predicted LPG Prices'!AP18</f>
        <v>5.08</v>
      </c>
      <c r="AE18" s="4">
        <f>'[37]Predicted Coal Prices'!AP18</f>
        <v>1.82</v>
      </c>
      <c r="AF18" s="4">
        <v>0</v>
      </c>
      <c r="AG18" s="4">
        <v>0</v>
      </c>
      <c r="AH18" s="4"/>
      <c r="AI18" s="17" t="str">
        <f t="shared" si="6"/>
        <v>324</v>
      </c>
      <c r="AJ18" s="115">
        <f t="shared" si="0"/>
        <v>3.2775271495626739</v>
      </c>
    </row>
    <row r="19" spans="4:39" x14ac:dyDescent="0.2">
      <c r="D19" s="27">
        <f>[13]Quantity_shares!BB245</f>
        <v>1998</v>
      </c>
      <c r="E19" s="27" t="str">
        <f>[13]Quantity_shares!BC245</f>
        <v>325</v>
      </c>
      <c r="F19" s="28">
        <f>[13]Quantity_shares!BD245</f>
        <v>0.70194690265486726</v>
      </c>
      <c r="G19" s="28">
        <f>[13]Quantity_shares!BE245</f>
        <v>1.7345132743362832E-2</v>
      </c>
      <c r="H19" s="28">
        <f>[13]Quantity_shares!BF245</f>
        <v>0.10053097345132743</v>
      </c>
      <c r="I19" s="28">
        <f>[13]Quantity_shares!BG245</f>
        <v>0.18017699115044247</v>
      </c>
      <c r="K19" s="17">
        <f t="shared" si="1"/>
        <v>0.74324551067493128</v>
      </c>
      <c r="L19" s="17">
        <f t="shared" si="2"/>
        <v>5.556304838849168E-2</v>
      </c>
      <c r="M19" s="17">
        <f t="shared" si="3"/>
        <v>0.19586246648889535</v>
      </c>
      <c r="N19" s="17">
        <f t="shared" si="4"/>
        <v>5.3289744476816871E-3</v>
      </c>
      <c r="O19" t="s">
        <v>30</v>
      </c>
      <c r="Q19" s="31">
        <f>MECS_data_SIC!BP15</f>
        <v>4.576303405892302E-2</v>
      </c>
      <c r="R19" s="31">
        <f>MECS_data_SIC!BQ15</f>
        <v>9.8000143295686581E-3</v>
      </c>
      <c r="S19" s="31">
        <f>MECS_data_SIC!BR15</f>
        <v>0.74324551067493128</v>
      </c>
      <c r="T19" s="31">
        <f>MECS_data_SIC!BS15</f>
        <v>5.3289744476816871E-3</v>
      </c>
      <c r="U19" s="31">
        <f>MECS_data_SIC!BT15</f>
        <v>0.19586246648889535</v>
      </c>
      <c r="V19" s="31">
        <v>0</v>
      </c>
      <c r="W19" s="74">
        <v>0</v>
      </c>
      <c r="X19" s="74">
        <f t="shared" si="5"/>
        <v>1</v>
      </c>
      <c r="Y19" s="73"/>
      <c r="AA19" s="4">
        <f>'[33]Predicted Residual Prices'!AP19</f>
        <v>4.33</v>
      </c>
      <c r="AB19" s="4">
        <f>'[34]Predicted Distillate Prices'!AP19</f>
        <v>5.83</v>
      </c>
      <c r="AC19" s="4">
        <f>'[35]Predicted Gas Prices'!AQ19</f>
        <v>3.02</v>
      </c>
      <c r="AD19" s="4">
        <f>'[36]Predicted LPG Prices'!AP19</f>
        <v>5.18</v>
      </c>
      <c r="AE19" s="4">
        <f>'[37]Predicted Coal Prices'!AP19</f>
        <v>1.86</v>
      </c>
      <c r="AF19" s="4">
        <v>0</v>
      </c>
      <c r="AG19" s="4">
        <v>0</v>
      </c>
      <c r="AH19" s="4"/>
      <c r="AI19" s="17" t="str">
        <f t="shared" si="6"/>
        <v>325</v>
      </c>
      <c r="AJ19" s="115">
        <f t="shared" si="0"/>
        <v>2.8917977385631515</v>
      </c>
    </row>
    <row r="20" spans="4:39" x14ac:dyDescent="0.2">
      <c r="D20" s="27">
        <f>[13]Quantity_shares!BB246</f>
        <v>1998</v>
      </c>
      <c r="E20" s="27" t="str">
        <f>[13]Quantity_shares!BC246</f>
        <v>326</v>
      </c>
      <c r="F20" s="28">
        <f>[13]Quantity_shares!BD246</f>
        <v>0.86896551724137927</v>
      </c>
      <c r="G20" s="28">
        <f>[13]Quantity_shares!BE246</f>
        <v>4.1379310344827586E-2</v>
      </c>
      <c r="H20" s="28">
        <f>[13]Quantity_shares!BF246</f>
        <v>2.0689655172413793E-2</v>
      </c>
      <c r="I20" s="28">
        <f>[13]Quantity_shares!BG246</f>
        <v>6.8965517241379309E-2</v>
      </c>
      <c r="K20" s="17">
        <f t="shared" si="1"/>
        <v>0.80077356696379975</v>
      </c>
      <c r="L20" s="17">
        <f t="shared" si="2"/>
        <v>0.12483173187287394</v>
      </c>
      <c r="M20" s="17">
        <f t="shared" si="3"/>
        <v>5.6691281748662323E-2</v>
      </c>
      <c r="N20" s="17">
        <f t="shared" si="4"/>
        <v>1.7703419414663954E-2</v>
      </c>
      <c r="O20" t="s">
        <v>32</v>
      </c>
      <c r="Q20" s="31">
        <f>MECS_data_SIC!BP16</f>
        <v>8.9730612376318825E-2</v>
      </c>
      <c r="R20" s="31">
        <f>MECS_data_SIC!BQ16</f>
        <v>3.510111949655511E-2</v>
      </c>
      <c r="S20" s="31">
        <f>MECS_data_SIC!BR16</f>
        <v>0.80077356696379975</v>
      </c>
      <c r="T20" s="31">
        <f>MECS_data_SIC!BS16</f>
        <v>1.7703419414663954E-2</v>
      </c>
      <c r="U20" s="31">
        <f>MECS_data_SIC!BT16</f>
        <v>5.6691281748662323E-2</v>
      </c>
      <c r="V20" s="31">
        <v>0</v>
      </c>
      <c r="W20" s="74">
        <v>0</v>
      </c>
      <c r="X20" s="74">
        <f t="shared" si="5"/>
        <v>0.99999999999999989</v>
      </c>
      <c r="Y20" s="73"/>
      <c r="AA20" s="4">
        <f>'[33]Predicted Residual Prices'!AP20</f>
        <v>4.5599999999999996</v>
      </c>
      <c r="AB20" s="4">
        <f>'[34]Predicted Distillate Prices'!AP20</f>
        <v>6.16</v>
      </c>
      <c r="AC20" s="4">
        <f>'[35]Predicted Gas Prices'!AQ20</f>
        <v>4.34</v>
      </c>
      <c r="AD20" s="4">
        <f>'[36]Predicted LPG Prices'!AP20</f>
        <v>8.1999999999999993</v>
      </c>
      <c r="AE20" s="4">
        <f>'[37]Predicted Coal Prices'!AP20</f>
        <v>2.11</v>
      </c>
      <c r="AF20" s="4">
        <v>0</v>
      </c>
      <c r="AG20" s="4">
        <v>0</v>
      </c>
      <c r="AH20" s="4"/>
      <c r="AI20" s="17" t="str">
        <f t="shared" si="6"/>
        <v>326</v>
      </c>
      <c r="AJ20" s="115">
        <f t="shared" si="0"/>
        <v>4.3655384128476067</v>
      </c>
    </row>
    <row r="21" spans="4:39" x14ac:dyDescent="0.2">
      <c r="D21" s="27">
        <f>[13]Quantity_shares!BB247</f>
        <v>1998</v>
      </c>
      <c r="E21" s="27" t="str">
        <f>[13]Quantity_shares!BC247</f>
        <v>327</v>
      </c>
      <c r="F21" s="28">
        <f>[13]Quantity_shares!BD247</f>
        <v>0.52544378698224847</v>
      </c>
      <c r="G21" s="28">
        <f>[13]Quantity_shares!BE247</f>
        <v>2.4852071005917159E-2</v>
      </c>
      <c r="H21" s="28">
        <f>[13]Quantity_shares!BF247</f>
        <v>0.336094674556213</v>
      </c>
      <c r="I21" s="28">
        <f>[13]Quantity_shares!BG247</f>
        <v>0.1136094674556213</v>
      </c>
      <c r="K21" s="17">
        <f t="shared" si="1"/>
        <v>0.51244388776918381</v>
      </c>
      <c r="L21" s="17">
        <f t="shared" si="2"/>
        <v>5.6388785928058592E-2</v>
      </c>
      <c r="M21" s="17">
        <f t="shared" si="3"/>
        <v>0.42612894155678033</v>
      </c>
      <c r="N21" s="17">
        <f t="shared" si="4"/>
        <v>5.0383847459771853E-3</v>
      </c>
      <c r="O21" t="s">
        <v>34</v>
      </c>
      <c r="Q21" s="31">
        <f>MECS_data_SIC!BP17</f>
        <v>1.2512519981833073E-2</v>
      </c>
      <c r="R21" s="31">
        <f>MECS_data_SIC!BQ17</f>
        <v>4.3876265946225519E-2</v>
      </c>
      <c r="S21" s="31">
        <f>MECS_data_SIC!BR17</f>
        <v>0.51244388776918381</v>
      </c>
      <c r="T21" s="31">
        <f>MECS_data_SIC!BS17</f>
        <v>5.0383847459771853E-3</v>
      </c>
      <c r="U21" s="31">
        <f>MECS_data_SIC!BT17</f>
        <v>0.42612894155678033</v>
      </c>
      <c r="V21" s="31">
        <v>0</v>
      </c>
      <c r="W21" s="74">
        <v>0</v>
      </c>
      <c r="X21" s="74">
        <f t="shared" si="5"/>
        <v>1</v>
      </c>
      <c r="Y21" s="73"/>
      <c r="AA21" s="4">
        <f>'[33]Predicted Residual Prices'!AP21</f>
        <v>4.34</v>
      </c>
      <c r="AB21" s="4">
        <f>'[34]Predicted Distillate Prices'!AP21</f>
        <v>6.44</v>
      </c>
      <c r="AC21" s="4">
        <f>'[35]Predicted Gas Prices'!AQ21</f>
        <v>4.18</v>
      </c>
      <c r="AD21" s="4">
        <f>'[36]Predicted LPG Prices'!AP21</f>
        <v>6.92</v>
      </c>
      <c r="AE21" s="4">
        <f>'[37]Predicted Coal Prices'!AP21</f>
        <v>1.87</v>
      </c>
      <c r="AF21" s="4">
        <v>0</v>
      </c>
      <c r="AG21" s="4">
        <v>0</v>
      </c>
      <c r="AH21" s="4"/>
      <c r="AI21" s="17" t="str">
        <f t="shared" si="6"/>
        <v>327</v>
      </c>
      <c r="AJ21" s="115">
        <f t="shared" si="0"/>
        <v>3.3106096834433774</v>
      </c>
      <c r="AM21" t="s">
        <v>200</v>
      </c>
    </row>
    <row r="22" spans="4:39" x14ac:dyDescent="0.2">
      <c r="D22" s="27">
        <f>[13]Quantity_shares!BB248</f>
        <v>1998</v>
      </c>
      <c r="E22" s="27" t="str">
        <f>[13]Quantity_shares!BC248</f>
        <v>331</v>
      </c>
      <c r="F22" s="28">
        <f>[13]Quantity_shares!BD248</f>
        <v>0.42474916387959866</v>
      </c>
      <c r="G22" s="28">
        <f>[13]Quantity_shares!BE248</f>
        <v>1.6832565971649234E-2</v>
      </c>
      <c r="H22" s="28">
        <f>[13]Quantity_shares!BF248</f>
        <v>0.34161490683229812</v>
      </c>
      <c r="I22" s="28">
        <f>[13]Quantity_shares!BG248</f>
        <v>0.216803363316454</v>
      </c>
      <c r="K22" s="17">
        <f t="shared" si="1"/>
        <v>0.66584554872726531</v>
      </c>
      <c r="L22" s="17">
        <f t="shared" si="2"/>
        <v>5.0926186984928998E-2</v>
      </c>
      <c r="M22" s="17">
        <f t="shared" si="3"/>
        <v>0.27840084386452524</v>
      </c>
      <c r="N22" s="17">
        <f t="shared" si="4"/>
        <v>4.8274204232803628E-3</v>
      </c>
      <c r="O22" t="s">
        <v>36</v>
      </c>
      <c r="Q22" s="31">
        <f>MECS_data_SIC!BP18</f>
        <v>3.9069221061160855E-2</v>
      </c>
      <c r="R22" s="31">
        <f>MECS_data_SIC!BQ18</f>
        <v>1.1856965923768142E-2</v>
      </c>
      <c r="S22" s="31">
        <f>MECS_data_SIC!BR18</f>
        <v>0.66584554872726531</v>
      </c>
      <c r="T22" s="31">
        <f>MECS_data_SIC!BS18</f>
        <v>4.8274204232803628E-3</v>
      </c>
      <c r="U22" s="31">
        <f>MECS_data_SIC!BT18</f>
        <v>7.7631160334783025E-2</v>
      </c>
      <c r="V22" s="31">
        <f>MECS_data_SIC!BU18</f>
        <v>0.20076968352974223</v>
      </c>
      <c r="W22" s="74">
        <v>0</v>
      </c>
      <c r="X22" s="74">
        <f t="shared" si="5"/>
        <v>0.99999999999999989</v>
      </c>
      <c r="Y22" s="73"/>
      <c r="AA22" s="4">
        <f>'[33]Predicted Residual Prices'!AP22</f>
        <v>4.18</v>
      </c>
      <c r="AB22" s="4">
        <f>'[34]Predicted Distillate Prices'!AP22</f>
        <v>6.06</v>
      </c>
      <c r="AC22" s="4">
        <f>'[35]Predicted Gas Prices'!AQ22</f>
        <v>4.12</v>
      </c>
      <c r="AD22" s="4">
        <f>'[36]Predicted LPG Prices'!AP22</f>
        <v>6.47</v>
      </c>
      <c r="AE22" s="4">
        <f>'[37]Predicted Coal Prices'!AP22</f>
        <v>2.46</v>
      </c>
      <c r="AF22" s="36">
        <f>3*AE22</f>
        <v>7.38</v>
      </c>
      <c r="AG22" s="4">
        <v>0</v>
      </c>
      <c r="AH22" s="4"/>
      <c r="AI22" s="17" t="str">
        <f t="shared" si="6"/>
        <v>331</v>
      </c>
      <c r="AJ22" s="115">
        <f t="shared" si="0"/>
        <v>4.6823325473017086</v>
      </c>
      <c r="AM22" s="4">
        <f>AJ22</f>
        <v>4.6823325473017086</v>
      </c>
    </row>
    <row r="23" spans="4:39" x14ac:dyDescent="0.2">
      <c r="D23" s="27">
        <f>[13]Quantity_shares!BB249</f>
        <v>1998</v>
      </c>
      <c r="E23" s="27" t="str">
        <f>[13]Quantity_shares!BC249</f>
        <v>332</v>
      </c>
      <c r="F23" s="28">
        <f>[13]Quantity_shares!BD249</f>
        <v>0.8925925925925926</v>
      </c>
      <c r="G23" s="28">
        <f>[13]Quantity_shares!BE249</f>
        <v>2.9629629629629631E-2</v>
      </c>
      <c r="H23" s="28">
        <f>[13]Quantity_shares!BF249</f>
        <v>1.1111111111111112E-2</v>
      </c>
      <c r="I23" s="28">
        <f>[13]Quantity_shares!BG249</f>
        <v>6.6666666666666666E-2</v>
      </c>
      <c r="K23" s="17">
        <f t="shared" si="1"/>
        <v>0.85477604476642954</v>
      </c>
      <c r="L23" s="17">
        <f t="shared" si="2"/>
        <v>7.9237314489992772E-2</v>
      </c>
      <c r="M23" s="17">
        <f t="shared" si="3"/>
        <v>4.5972160860288123E-2</v>
      </c>
      <c r="N23" s="17">
        <f t="shared" si="4"/>
        <v>2.001447988328969E-2</v>
      </c>
      <c r="O23" t="s">
        <v>38</v>
      </c>
      <c r="Q23" s="31">
        <f>MECS_data_SIC!BP19</f>
        <v>2.8449409525195837E-2</v>
      </c>
      <c r="R23" s="31">
        <f>MECS_data_SIC!BQ19</f>
        <v>5.0787904964796932E-2</v>
      </c>
      <c r="S23" s="31">
        <f>MECS_data_SIC!BR19</f>
        <v>0.85477604476642954</v>
      </c>
      <c r="T23" s="31">
        <f>MECS_data_SIC!BS19</f>
        <v>2.001447988328969E-2</v>
      </c>
      <c r="U23" s="31">
        <f>MECS_data_SIC!BT19</f>
        <v>4.5972160860288123E-2</v>
      </c>
      <c r="V23" s="31">
        <v>0</v>
      </c>
      <c r="W23" s="74">
        <v>0</v>
      </c>
      <c r="X23" s="74">
        <f t="shared" si="5"/>
        <v>1.0000000000000002</v>
      </c>
      <c r="Y23" s="73"/>
      <c r="AA23" s="4">
        <f>'[33]Predicted Residual Prices'!AP23</f>
        <v>4.6900000000000004</v>
      </c>
      <c r="AB23" s="4">
        <f>'[34]Predicted Distillate Prices'!AP23</f>
        <v>6.54</v>
      </c>
      <c r="AC23" s="4">
        <f>'[35]Predicted Gas Prices'!AQ23</f>
        <v>4.6900000000000004</v>
      </c>
      <c r="AD23" s="4">
        <f>'[36]Predicted LPG Prices'!AP23</f>
        <v>8.85</v>
      </c>
      <c r="AE23" s="4">
        <f>'[37]Predicted Coal Prices'!AP23</f>
        <v>2.29</v>
      </c>
      <c r="AF23" s="4">
        <v>0</v>
      </c>
      <c r="AG23" s="4">
        <v>0</v>
      </c>
      <c r="AH23" s="4"/>
      <c r="AI23" s="17" t="str">
        <f t="shared" si="6"/>
        <v>332</v>
      </c>
      <c r="AJ23" s="115">
        <f t="shared" si="0"/>
        <v>4.7568846744346684</v>
      </c>
      <c r="AM23" s="4">
        <f>AJ43</f>
        <v>4.0313341914984395</v>
      </c>
    </row>
    <row r="24" spans="4:39" x14ac:dyDescent="0.2">
      <c r="D24" s="27">
        <f>[13]Quantity_shares!BB250</f>
        <v>1998</v>
      </c>
      <c r="E24" s="27" t="str">
        <f>[13]Quantity_shares!BC250</f>
        <v>333</v>
      </c>
      <c r="F24" s="28">
        <f>[13]Quantity_shares!BD250</f>
        <v>0.83193277310924374</v>
      </c>
      <c r="G24" s="28">
        <f>[13]Quantity_shares!BE250</f>
        <v>3.3613445378151259E-2</v>
      </c>
      <c r="H24" s="28">
        <f>[13]Quantity_shares!BF250</f>
        <v>5.0420168067226892E-2</v>
      </c>
      <c r="I24" s="28">
        <f>[13]Quantity_shares!BG250</f>
        <v>8.4033613445378158E-2</v>
      </c>
      <c r="K24" s="17">
        <f t="shared" si="1"/>
        <v>0.713723297334938</v>
      </c>
      <c r="L24" s="17">
        <f t="shared" si="2"/>
        <v>0.11929749417906511</v>
      </c>
      <c r="M24" s="17">
        <f t="shared" si="3"/>
        <v>0.1478670885119375</v>
      </c>
      <c r="N24" s="17">
        <f t="shared" si="4"/>
        <v>1.9112119974059358E-2</v>
      </c>
      <c r="O24" t="s">
        <v>40</v>
      </c>
      <c r="Q24" s="31">
        <f>MECS_data_SIC!BP20</f>
        <v>6.8043026562208689E-2</v>
      </c>
      <c r="R24" s="31">
        <f>MECS_data_SIC!BQ20</f>
        <v>5.1254467616856425E-2</v>
      </c>
      <c r="S24" s="31">
        <f>MECS_data_SIC!BR20</f>
        <v>0.713723297334938</v>
      </c>
      <c r="T24" s="31">
        <f>MECS_data_SIC!BS20</f>
        <v>1.9112119974059358E-2</v>
      </c>
      <c r="U24" s="31">
        <f>MECS_data_SIC!BT20</f>
        <v>0.1478670885119375</v>
      </c>
      <c r="V24" s="31">
        <v>0</v>
      </c>
      <c r="W24" s="74">
        <v>0</v>
      </c>
      <c r="X24" s="74">
        <f t="shared" si="5"/>
        <v>1</v>
      </c>
      <c r="Y24" s="73"/>
      <c r="AA24" s="4">
        <f>'[33]Predicted Residual Prices'!AP24</f>
        <v>4.6399999999999997</v>
      </c>
      <c r="AB24" s="4">
        <f>'[34]Predicted Distillate Prices'!AP24</f>
        <v>6.23</v>
      </c>
      <c r="AC24" s="4">
        <f>'[35]Predicted Gas Prices'!AQ24</f>
        <v>4.67</v>
      </c>
      <c r="AD24" s="4">
        <f>'[36]Predicted LPG Prices'!AP24</f>
        <v>8.8699999999999992</v>
      </c>
      <c r="AE24" s="4">
        <f>'[37]Predicted Coal Prices'!AP24</f>
        <v>1.83</v>
      </c>
      <c r="AF24" s="4">
        <v>0</v>
      </c>
      <c r="AG24" s="4">
        <v>0</v>
      </c>
      <c r="AH24" s="4"/>
      <c r="AI24" s="17" t="str">
        <f t="shared" si="6"/>
        <v>333</v>
      </c>
      <c r="AJ24" s="115">
        <f t="shared" si="0"/>
        <v>4.4082440512025762</v>
      </c>
      <c r="AM24" s="4">
        <f>AJ64</f>
        <v>3.6619849648050065</v>
      </c>
    </row>
    <row r="25" spans="4:39" x14ac:dyDescent="0.2">
      <c r="D25" s="27">
        <f>[13]Quantity_shares!BB251</f>
        <v>1998</v>
      </c>
      <c r="E25" s="27" t="str">
        <f>[13]Quantity_shares!BC251</f>
        <v>334</v>
      </c>
      <c r="F25" s="28">
        <f>[13]Quantity_shares!BD251</f>
        <v>0.94814814814814818</v>
      </c>
      <c r="G25" s="28">
        <f>[13]Quantity_shares!BE251</f>
        <v>2.9629629629629631E-2</v>
      </c>
      <c r="H25" s="28">
        <f>[13]Quantity_shares!BF251</f>
        <v>3.7037037037037038E-3</v>
      </c>
      <c r="I25" s="28">
        <f>[13]Quantity_shares!BG251</f>
        <v>1.8518518518518517E-2</v>
      </c>
      <c r="K25" s="17">
        <f t="shared" si="1"/>
        <v>0.69423850005788812</v>
      </c>
      <c r="L25" s="17">
        <f t="shared" si="2"/>
        <v>0.12764874004825441</v>
      </c>
      <c r="M25" s="17">
        <f t="shared" si="3"/>
        <v>0.16770133229643977</v>
      </c>
      <c r="N25" s="17">
        <f t="shared" si="4"/>
        <v>1.0411427597417732E-2</v>
      </c>
      <c r="O25" t="s">
        <v>42</v>
      </c>
      <c r="Q25" s="31">
        <f>MECS_data_SIC!BP21</f>
        <v>9.4125648081122879E-2</v>
      </c>
      <c r="R25" s="31">
        <f>MECS_data_SIC!BQ21</f>
        <v>3.3523091967131532E-2</v>
      </c>
      <c r="S25" s="31">
        <f>MECS_data_SIC!BR21</f>
        <v>0.69423850005788812</v>
      </c>
      <c r="T25" s="31">
        <f>MECS_data_SIC!BS21</f>
        <v>1.0411427597417732E-2</v>
      </c>
      <c r="U25" s="31">
        <f>MECS_data_SIC!BT21</f>
        <v>0.16770133229643977</v>
      </c>
      <c r="V25" s="31">
        <v>0</v>
      </c>
      <c r="W25" s="74">
        <v>0</v>
      </c>
      <c r="X25" s="74">
        <f t="shared" si="5"/>
        <v>1</v>
      </c>
      <c r="Y25" s="73"/>
      <c r="AA25" s="4">
        <f>'[33]Predicted Residual Prices'!AP25</f>
        <v>4.6659999999999995</v>
      </c>
      <c r="AB25" s="4">
        <f>'[34]Predicted Distillate Prices'!AP25</f>
        <v>6.109</v>
      </c>
      <c r="AC25" s="4">
        <f>'[35]Predicted Gas Prices'!AQ25</f>
        <v>4.6839999999999993</v>
      </c>
      <c r="AD25" s="4">
        <f>'[36]Predicted LPG Prices'!AP25</f>
        <v>6.6579999999999995</v>
      </c>
      <c r="AE25" s="4">
        <f>'[37]Predicted Coal Prices'!AP25</f>
        <v>1.4349999999999998</v>
      </c>
      <c r="AF25" s="4">
        <v>0</v>
      </c>
      <c r="AG25" s="4">
        <v>0</v>
      </c>
      <c r="AH25" s="4"/>
      <c r="AI25" s="17" t="str">
        <f t="shared" si="6"/>
        <v>334</v>
      </c>
      <c r="AJ25" s="115">
        <f t="shared" si="0"/>
        <v>4.205766673833871</v>
      </c>
      <c r="AM25" s="4">
        <f>AJ85</f>
        <v>3.5129451783709857</v>
      </c>
    </row>
    <row r="26" spans="4:39" x14ac:dyDescent="0.2">
      <c r="D26" s="27">
        <f>[13]Quantity_shares!BB252</f>
        <v>1998</v>
      </c>
      <c r="E26" s="27" t="str">
        <f>[13]Quantity_shares!BC252</f>
        <v>335</v>
      </c>
      <c r="F26" s="28">
        <f>[13]Quantity_shares!BD252</f>
        <v>0.60056657223796039</v>
      </c>
      <c r="G26" s="28">
        <f>[13]Quantity_shares!BE252</f>
        <v>2.2662889518413599E-2</v>
      </c>
      <c r="H26" s="28">
        <f>[13]Quantity_shares!BF252</f>
        <v>1.1331444759206799E-2</v>
      </c>
      <c r="I26" s="28">
        <f>[13]Quantity_shares!BG252</f>
        <v>0.36543909348441928</v>
      </c>
      <c r="K26" s="17">
        <f t="shared" si="1"/>
        <v>0.81216902137088254</v>
      </c>
      <c r="L26" s="17">
        <f t="shared" si="2"/>
        <v>9.3659321981122243E-2</v>
      </c>
      <c r="M26" s="17">
        <f t="shared" si="3"/>
        <v>8.135290119851199E-2</v>
      </c>
      <c r="N26" s="17">
        <f t="shared" si="4"/>
        <v>1.2818755449483132E-2</v>
      </c>
      <c r="O26" t="s">
        <v>44</v>
      </c>
      <c r="Q26" s="31">
        <f>MECS_data_SIC!BP22</f>
        <v>6.1628016523905878E-2</v>
      </c>
      <c r="R26" s="31">
        <f>MECS_data_SIC!BQ22</f>
        <v>3.2031305457216365E-2</v>
      </c>
      <c r="S26" s="31">
        <f>MECS_data_SIC!BR22</f>
        <v>0.81216902137088254</v>
      </c>
      <c r="T26" s="31">
        <f>MECS_data_SIC!BS22</f>
        <v>1.2818755449483132E-2</v>
      </c>
      <c r="U26" s="31">
        <f>MECS_data_SIC!BT22</f>
        <v>8.135290119851199E-2</v>
      </c>
      <c r="V26" s="31">
        <v>0</v>
      </c>
      <c r="W26" s="74">
        <v>0</v>
      </c>
      <c r="X26" s="74">
        <f t="shared" si="5"/>
        <v>0.99999999999999989</v>
      </c>
      <c r="Y26" s="73"/>
      <c r="AA26" s="4">
        <f>'[33]Predicted Residual Prices'!AP26</f>
        <v>4.75</v>
      </c>
      <c r="AB26" s="4">
        <f>'[34]Predicted Distillate Prices'!AP26</f>
        <v>6.1</v>
      </c>
      <c r="AC26" s="4">
        <f>'[35]Predicted Gas Prices'!AQ26</f>
        <v>4.72</v>
      </c>
      <c r="AD26" s="4">
        <f>'[36]Predicted LPG Prices'!AP26</f>
        <v>7.54</v>
      </c>
      <c r="AE26" s="4">
        <f>'[37]Predicted Coal Prices'!AP26</f>
        <v>2.0499999999999998</v>
      </c>
      <c r="AF26" s="4">
        <v>0</v>
      </c>
      <c r="AG26" s="4">
        <v>0</v>
      </c>
      <c r="AH26" s="4"/>
      <c r="AI26" s="17" t="str">
        <f t="shared" si="6"/>
        <v>335</v>
      </c>
      <c r="AJ26" s="115">
        <f t="shared" si="0"/>
        <v>4.5849886861941904</v>
      </c>
    </row>
    <row r="27" spans="4:39" x14ac:dyDescent="0.2">
      <c r="D27" s="27">
        <f>[13]Quantity_shares!BB253</f>
        <v>1998</v>
      </c>
      <c r="E27" s="27" t="str">
        <f>[13]Quantity_shares!BC253</f>
        <v>336</v>
      </c>
      <c r="F27" s="28">
        <f>[13]Quantity_shares!BD253</f>
        <v>0.71380471380471378</v>
      </c>
      <c r="G27" s="28">
        <f>[13]Quantity_shares!BE253</f>
        <v>6.7340067340067339E-2</v>
      </c>
      <c r="H27" s="28">
        <f>[13]Quantity_shares!BF253</f>
        <v>9.7643097643097643E-2</v>
      </c>
      <c r="I27" s="28">
        <f>[13]Quantity_shares!BG253</f>
        <v>0.12121212121212122</v>
      </c>
      <c r="K27" s="17">
        <f t="shared" si="1"/>
        <v>0.66439670685898411</v>
      </c>
      <c r="L27" s="17">
        <f t="shared" si="2"/>
        <v>0.12605296048081088</v>
      </c>
      <c r="M27" s="17">
        <f t="shared" si="3"/>
        <v>0.19652808249820511</v>
      </c>
      <c r="N27" s="17">
        <f t="shared" si="4"/>
        <v>1.3022250161999902E-2</v>
      </c>
      <c r="O27" t="s">
        <v>46</v>
      </c>
      <c r="Q27" s="31">
        <f>MECS_data_SIC!BP23</f>
        <v>8.0658226040001127E-2</v>
      </c>
      <c r="R27" s="31">
        <f>MECS_data_SIC!BQ23</f>
        <v>4.5394734440809763E-2</v>
      </c>
      <c r="S27" s="31">
        <f>MECS_data_SIC!BR23</f>
        <v>0.66439670685898411</v>
      </c>
      <c r="T27" s="31">
        <f>MECS_data_SIC!BS23</f>
        <v>1.3022250161999902E-2</v>
      </c>
      <c r="U27" s="31">
        <f>MECS_data_SIC!BT23</f>
        <v>0.19652808249820511</v>
      </c>
      <c r="V27" s="31">
        <v>0</v>
      </c>
      <c r="W27" s="74">
        <v>0</v>
      </c>
      <c r="X27" s="74">
        <f t="shared" si="5"/>
        <v>0.99999999999999989</v>
      </c>
      <c r="Y27" s="73"/>
      <c r="AA27" s="4">
        <f>'[33]Predicted Residual Prices'!AP27</f>
        <v>4.84</v>
      </c>
      <c r="AB27" s="4">
        <f>'[34]Predicted Distillate Prices'!AP27</f>
        <v>6.17</v>
      </c>
      <c r="AC27" s="4">
        <f>'[35]Predicted Gas Prices'!AQ27</f>
        <v>4.6399999999999997</v>
      </c>
      <c r="AD27" s="4">
        <f>'[36]Predicted LPG Prices'!AP27</f>
        <v>7.06</v>
      </c>
      <c r="AE27" s="4">
        <f>'[37]Predicted Coal Prices'!AP27</f>
        <v>2.33</v>
      </c>
      <c r="AF27" s="4">
        <v>0</v>
      </c>
      <c r="AG27" s="4">
        <v>0</v>
      </c>
      <c r="AH27" s="4"/>
      <c r="AI27" s="17" t="str">
        <f t="shared" si="6"/>
        <v>336</v>
      </c>
      <c r="AJ27" s="115">
        <f t="shared" si="0"/>
        <v>4.3031195637236248</v>
      </c>
    </row>
    <row r="28" spans="4:39" x14ac:dyDescent="0.2">
      <c r="D28" s="27">
        <f>[13]Quantity_shares!BB254</f>
        <v>1998</v>
      </c>
      <c r="E28" s="27" t="str">
        <f>[13]Quantity_shares!BC254</f>
        <v>337</v>
      </c>
      <c r="F28" s="28">
        <f>[13]Quantity_shares!BD254</f>
        <v>0.45569620253164556</v>
      </c>
      <c r="G28" s="28">
        <f>[13]Quantity_shares!BE254</f>
        <v>2.1097046413502109E-2</v>
      </c>
      <c r="H28" s="28">
        <f>[13]Quantity_shares!BF254</f>
        <v>3.3755274261603373E-2</v>
      </c>
      <c r="I28" s="28">
        <f>[13]Quantity_shares!BG254</f>
        <v>0.48945147679324896</v>
      </c>
      <c r="K28" s="17">
        <f t="shared" si="1"/>
        <v>0.76998584835979289</v>
      </c>
      <c r="L28" s="17">
        <f t="shared" si="2"/>
        <v>0.12036272378135626</v>
      </c>
      <c r="M28" s="17">
        <f t="shared" si="3"/>
        <v>8.1204491600695664E-2</v>
      </c>
      <c r="N28" s="17">
        <f t="shared" si="4"/>
        <v>2.8446936258155267E-2</v>
      </c>
      <c r="O28" t="s">
        <v>48</v>
      </c>
      <c r="Q28" s="31">
        <f>MECS_data_SIC!BP24</f>
        <v>3.7786964316995721E-2</v>
      </c>
      <c r="R28" s="31">
        <f>MECS_data_SIC!BQ24</f>
        <v>8.2575759464360535E-2</v>
      </c>
      <c r="S28" s="31">
        <f>MECS_data_SIC!BR24</f>
        <v>0.76998584835979289</v>
      </c>
      <c r="T28" s="31">
        <f>MECS_data_SIC!BS24</f>
        <v>2.8446936258155267E-2</v>
      </c>
      <c r="U28" s="31">
        <f>MECS_data_SIC!BT24</f>
        <v>8.1204491600695664E-2</v>
      </c>
      <c r="V28" s="31">
        <v>0</v>
      </c>
      <c r="W28" s="74">
        <v>0</v>
      </c>
      <c r="X28" s="74">
        <f t="shared" si="5"/>
        <v>1.0000000000000002</v>
      </c>
      <c r="Y28" s="73"/>
      <c r="AA28" s="4">
        <f>'[33]Predicted Residual Prices'!AP28</f>
        <v>4.88</v>
      </c>
      <c r="AB28" s="4">
        <f>'[34]Predicted Distillate Prices'!AP28</f>
        <v>6.59</v>
      </c>
      <c r="AC28" s="4">
        <f>'[35]Predicted Gas Prices'!AQ28</f>
        <v>5.03</v>
      </c>
      <c r="AD28" s="4">
        <f>'[36]Predicted LPG Prices'!AP28</f>
        <v>7.35</v>
      </c>
      <c r="AE28" s="4">
        <f>'[37]Predicted Coal Prices'!AP28</f>
        <v>2.46</v>
      </c>
      <c r="AF28" s="4">
        <v>0</v>
      </c>
      <c r="AG28" s="4">
        <v>0</v>
      </c>
      <c r="AH28" s="4"/>
      <c r="AI28" s="17" t="str">
        <f t="shared" si="6"/>
        <v>337</v>
      </c>
      <c r="AJ28" s="115">
        <f t="shared" si="0"/>
        <v>5.0104514888219862</v>
      </c>
    </row>
    <row r="29" spans="4:39" x14ac:dyDescent="0.2">
      <c r="D29" s="27">
        <f>[13]Quantity_shares!BB255</f>
        <v>1998</v>
      </c>
      <c r="E29" s="27" t="str">
        <f>[13]Quantity_shares!BC255</f>
        <v>339</v>
      </c>
      <c r="F29" s="28">
        <f>[13]Quantity_shares!BD255</f>
        <v>0.82901554404145072</v>
      </c>
      <c r="G29" s="28">
        <f>[13]Quantity_shares!BE255</f>
        <v>6.2176165803108807E-2</v>
      </c>
      <c r="H29" s="28">
        <f>[13]Quantity_shares!BF255</f>
        <v>5.1813471502590676E-3</v>
      </c>
      <c r="I29" s="28">
        <f>[13]Quantity_shares!BG255</f>
        <v>0.10362694300518134</v>
      </c>
      <c r="K29" s="17">
        <f t="shared" si="1"/>
        <v>0.6268687510761588</v>
      </c>
      <c r="L29" s="17">
        <f t="shared" si="2"/>
        <v>0.17589335973766745</v>
      </c>
      <c r="M29" s="17">
        <f t="shared" si="3"/>
        <v>0.18972218262668397</v>
      </c>
      <c r="N29" s="17">
        <f t="shared" si="4"/>
        <v>7.515706559489869E-3</v>
      </c>
      <c r="O29" t="s">
        <v>50</v>
      </c>
      <c r="Q29" s="31">
        <f>MECS_data_SIC!BP25</f>
        <v>0.13671705614509191</v>
      </c>
      <c r="R29" s="31">
        <f>MECS_data_SIC!BQ25</f>
        <v>3.9176303592575526E-2</v>
      </c>
      <c r="S29" s="31">
        <f>MECS_data_SIC!BR25</f>
        <v>0.6268687510761588</v>
      </c>
      <c r="T29" s="31">
        <f>MECS_data_SIC!BS25</f>
        <v>7.515706559489869E-3</v>
      </c>
      <c r="U29" s="31">
        <f>MECS_data_SIC!BT25</f>
        <v>0.18972218262668397</v>
      </c>
      <c r="V29" s="31">
        <v>0</v>
      </c>
      <c r="W29" s="74">
        <v>0</v>
      </c>
      <c r="X29" s="74">
        <f t="shared" si="5"/>
        <v>1.0000000000000002</v>
      </c>
      <c r="Y29" s="73"/>
      <c r="AA29" s="4">
        <f>'[33]Predicted Residual Prices'!AP29</f>
        <v>4.95</v>
      </c>
      <c r="AB29" s="4">
        <f>'[34]Predicted Distillate Prices'!AP29</f>
        <v>6.61</v>
      </c>
      <c r="AC29" s="4">
        <f>'[35]Predicted Gas Prices'!AQ29</f>
        <v>3.72</v>
      </c>
      <c r="AD29" s="4">
        <f>'[36]Predicted LPG Prices'!AP29</f>
        <v>10</v>
      </c>
      <c r="AE29" s="4">
        <f>'[37]Predicted Coal Prices'!AP29</f>
        <v>2.2599999999999998</v>
      </c>
      <c r="AF29" s="4">
        <v>0</v>
      </c>
      <c r="AG29" s="4">
        <v>0</v>
      </c>
      <c r="AH29" s="4"/>
      <c r="AI29" s="17" t="str">
        <f t="shared" si="6"/>
        <v>339</v>
      </c>
      <c r="AJ29" s="115">
        <f t="shared" si="0"/>
        <v>3.7715857469996448</v>
      </c>
    </row>
    <row r="30" spans="4:39" x14ac:dyDescent="0.2">
      <c r="D30">
        <f>[13]Quantity_shares!BB256</f>
        <v>1999</v>
      </c>
      <c r="E30" t="str">
        <f>[13]Quantity_shares!BC256</f>
        <v>311</v>
      </c>
      <c r="F30" s="26">
        <f>[13]Quantity_shares!BD256</f>
        <v>0.67488142872277135</v>
      </c>
      <c r="G30" s="26">
        <f>[13]Quantity_shares!BE256</f>
        <v>3.6105157646828728E-2</v>
      </c>
      <c r="H30" s="26">
        <f>[13]Quantity_shares!BF256</f>
        <v>0.16834472867143127</v>
      </c>
      <c r="I30" s="26">
        <f>[13]Quantity_shares!BG256</f>
        <v>0.12066868495896864</v>
      </c>
      <c r="O30" t="s">
        <v>10</v>
      </c>
      <c r="P30">
        <v>1986</v>
      </c>
      <c r="Q30" s="26">
        <f>0.667*Q9+0.333*Q72</f>
        <v>5.9463284475044322E-2</v>
      </c>
      <c r="R30" s="26">
        <f t="shared" ref="R30:U30" si="7">0.667*R9+0.333*R72</f>
        <v>4.1015860256945841E-2</v>
      </c>
      <c r="S30" s="26">
        <f t="shared" si="7"/>
        <v>0.70581115948782225</v>
      </c>
      <c r="T30" s="26">
        <f t="shared" si="7"/>
        <v>1.2720205681643679E-2</v>
      </c>
      <c r="U30" s="26">
        <f t="shared" si="7"/>
        <v>0.18098949009854393</v>
      </c>
      <c r="V30" s="26">
        <v>0</v>
      </c>
      <c r="W30" s="26">
        <v>0</v>
      </c>
      <c r="X30" s="26">
        <f>SUM(Q30:W30)</f>
        <v>1</v>
      </c>
      <c r="Y30" s="26"/>
      <c r="Z30">
        <v>1986</v>
      </c>
      <c r="AA30" s="4">
        <f>'[33]Predicted Residual Prices'!AP30</f>
        <v>3.0821778384810279</v>
      </c>
      <c r="AB30" s="4">
        <f>'[34]Predicted Distillate Prices'!AP30</f>
        <v>4.824934084359592</v>
      </c>
      <c r="AC30" s="4">
        <f>'[35]Predicted Gas Prices'!AQ30</f>
        <v>3.4300618601745683</v>
      </c>
      <c r="AD30" s="4">
        <f>'[36]Predicted LPG Prices'!AP30</f>
        <v>6.9863561784387667</v>
      </c>
      <c r="AE30" s="4">
        <f>'[37]Predicted Coal Prices'!AP30</f>
        <v>1.6355070748418483</v>
      </c>
      <c r="AF30" s="4">
        <v>0</v>
      </c>
      <c r="AG30" s="4">
        <v>0</v>
      </c>
      <c r="AH30" s="4"/>
      <c r="AI30" s="17" t="str">
        <f t="shared" si="6"/>
        <v>311</v>
      </c>
      <c r="AJ30" s="115">
        <f t="shared" si="0"/>
        <v>3.1870286574932614</v>
      </c>
    </row>
    <row r="31" spans="4:39" x14ac:dyDescent="0.2">
      <c r="D31">
        <f>[13]Quantity_shares!BB257</f>
        <v>1999</v>
      </c>
      <c r="E31" t="str">
        <f>[13]Quantity_shares!BC257</f>
        <v>312</v>
      </c>
      <c r="F31" s="26">
        <f>[13]Quantity_shares!BD257</f>
        <v>0.5540624034599938</v>
      </c>
      <c r="G31" s="26">
        <f>[13]Quantity_shares!BE257</f>
        <v>4.8965091133765834E-2</v>
      </c>
      <c r="H31" s="26">
        <f>[13]Quantity_shares!BF257</f>
        <v>0.31653537225826389</v>
      </c>
      <c r="I31" s="26">
        <f>[13]Quantity_shares!BG257</f>
        <v>8.0437133147976514E-2</v>
      </c>
      <c r="O31" t="s">
        <v>12</v>
      </c>
      <c r="Q31" s="26">
        <f t="shared" ref="Q31:V50" si="8">0.667*Q10+0.333*Q73</f>
        <v>0.10622544271962457</v>
      </c>
      <c r="R31" s="26">
        <f t="shared" si="8"/>
        <v>1.6068197304740482E-2</v>
      </c>
      <c r="S31" s="26">
        <f t="shared" si="8"/>
        <v>0.43264603411751529</v>
      </c>
      <c r="T31" s="26">
        <f t="shared" si="8"/>
        <v>2.3760379962517644E-3</v>
      </c>
      <c r="U31" s="26">
        <f t="shared" si="8"/>
        <v>0.44268428786186798</v>
      </c>
      <c r="V31" s="26">
        <v>0</v>
      </c>
      <c r="W31" s="26">
        <v>0</v>
      </c>
      <c r="X31" s="26">
        <f t="shared" ref="X31:X94" si="9">SUM(Q31:W31)</f>
        <v>1</v>
      </c>
      <c r="Y31" s="26"/>
      <c r="AA31" s="4">
        <f>'[33]Predicted Residual Prices'!AP31</f>
        <v>3.1567655541517241</v>
      </c>
      <c r="AB31" s="4">
        <f>'[34]Predicted Distillate Prices'!AP31</f>
        <v>3.9824000000000006</v>
      </c>
      <c r="AC31" s="4">
        <f>'[35]Predicted Gas Prices'!AQ31</f>
        <v>3.8947400000000001</v>
      </c>
      <c r="AD31" s="4">
        <f>'[36]Predicted LPG Prices'!AP31</f>
        <v>8.3648618957179295</v>
      </c>
      <c r="AE31" s="4">
        <f>'[37]Predicted Coal Prices'!AP31</f>
        <v>2.1928852700317663</v>
      </c>
      <c r="AF31" s="4">
        <v>0</v>
      </c>
      <c r="AG31" s="4">
        <v>0</v>
      </c>
      <c r="AH31" s="4"/>
      <c r="AI31" s="17" t="str">
        <f t="shared" si="6"/>
        <v>312</v>
      </c>
      <c r="AJ31" s="115">
        <f t="shared" si="0"/>
        <v>3.0749937062414947</v>
      </c>
    </row>
    <row r="32" spans="4:39" x14ac:dyDescent="0.2">
      <c r="D32">
        <f>[13]Quantity_shares!BB258</f>
        <v>1999</v>
      </c>
      <c r="E32" t="str">
        <f>[13]Quantity_shares!BC258</f>
        <v>313</v>
      </c>
      <c r="F32" s="26">
        <f>[13]Quantity_shares!BD258</f>
        <v>0.66036414565826329</v>
      </c>
      <c r="G32" s="26">
        <f>[13]Quantity_shares!BE258</f>
        <v>9.1036414565826326E-2</v>
      </c>
      <c r="H32" s="26">
        <f>[13]Quantity_shares!BF258</f>
        <v>0.14425770308123251</v>
      </c>
      <c r="I32" s="26">
        <f>[13]Quantity_shares!BG258</f>
        <v>0.10434173669467786</v>
      </c>
      <c r="O32" t="s">
        <v>14</v>
      </c>
      <c r="Q32" s="26">
        <f t="shared" si="8"/>
        <v>0.11783613855060736</v>
      </c>
      <c r="R32" s="26">
        <f t="shared" si="8"/>
        <v>3.7263537149519542E-2</v>
      </c>
      <c r="S32" s="26">
        <f t="shared" si="8"/>
        <v>0.59338354223535195</v>
      </c>
      <c r="T32" s="26">
        <f t="shared" si="8"/>
        <v>1.4503210120476942E-2</v>
      </c>
      <c r="U32" s="26">
        <f t="shared" si="8"/>
        <v>0.23701357194404435</v>
      </c>
      <c r="V32" s="26">
        <v>0</v>
      </c>
      <c r="W32" s="26">
        <v>0</v>
      </c>
      <c r="X32" s="26">
        <f t="shared" si="9"/>
        <v>1</v>
      </c>
      <c r="Y32" s="26"/>
      <c r="AA32" s="4">
        <f>'[33]Predicted Residual Prices'!AP32</f>
        <v>2.8702483814413711</v>
      </c>
      <c r="AB32" s="4">
        <f>'[34]Predicted Distillate Prices'!AP32</f>
        <v>3.8257309880952231</v>
      </c>
      <c r="AC32" s="4">
        <f>'[35]Predicted Gas Prices'!AQ32</f>
        <v>3.7130927565392353</v>
      </c>
      <c r="AD32" s="4">
        <f>'[36]Predicted LPG Prices'!AP32</f>
        <v>6.4236180780010219</v>
      </c>
      <c r="AE32" s="4">
        <f>'[37]Predicted Coal Prices'!AP32</f>
        <v>2.0947918049267931</v>
      </c>
      <c r="AF32" s="4">
        <v>0</v>
      </c>
      <c r="AG32" s="4">
        <v>0</v>
      </c>
      <c r="AH32" s="4"/>
      <c r="AI32" s="17" t="str">
        <f t="shared" si="6"/>
        <v>313</v>
      </c>
      <c r="AJ32" s="115">
        <f t="shared" si="0"/>
        <v>3.2737245581565695</v>
      </c>
    </row>
    <row r="33" spans="4:36" x14ac:dyDescent="0.2">
      <c r="D33">
        <f>[13]Quantity_shares!BB259</f>
        <v>1999</v>
      </c>
      <c r="E33" t="str">
        <f>[13]Quantity_shares!BC259</f>
        <v>314</v>
      </c>
      <c r="F33" s="26">
        <f>[13]Quantity_shares!BD259</f>
        <v>0.79955631660996185</v>
      </c>
      <c r="G33" s="26">
        <f>[13]Quantity_shares!BE259</f>
        <v>2.8634811912862577E-2</v>
      </c>
      <c r="H33" s="26">
        <f>[13]Quantity_shares!BF259</f>
        <v>0.15465698136472444</v>
      </c>
      <c r="I33" s="26">
        <f>[13]Quantity_shares!BG259</f>
        <v>1.715189011245102E-2</v>
      </c>
      <c r="O33" t="s">
        <v>16</v>
      </c>
      <c r="Q33" s="26">
        <f t="shared" si="8"/>
        <v>0.11783613855060736</v>
      </c>
      <c r="R33" s="26">
        <f t="shared" si="8"/>
        <v>3.7263537149519542E-2</v>
      </c>
      <c r="S33" s="26">
        <f t="shared" si="8"/>
        <v>0.59338354223535195</v>
      </c>
      <c r="T33" s="26">
        <f t="shared" si="8"/>
        <v>1.4503210120476942E-2</v>
      </c>
      <c r="U33" s="26">
        <f t="shared" si="8"/>
        <v>0.23701357194404435</v>
      </c>
      <c r="V33" s="26">
        <v>0</v>
      </c>
      <c r="W33" s="26">
        <v>0</v>
      </c>
      <c r="X33" s="26">
        <f t="shared" si="9"/>
        <v>1</v>
      </c>
      <c r="Y33" s="26"/>
      <c r="AA33" s="4">
        <f>'[33]Predicted Residual Prices'!AP33</f>
        <v>2.578867994027759</v>
      </c>
      <c r="AB33" s="4">
        <f>'[34]Predicted Distillate Prices'!AP33</f>
        <v>4.9535465311862819</v>
      </c>
      <c r="AC33" s="4">
        <f>'[35]Predicted Gas Prices'!AQ33</f>
        <v>3.713370029935712</v>
      </c>
      <c r="AD33" s="4">
        <f>'[36]Predicted LPG Prices'!AP33</f>
        <v>6.4219042687151964</v>
      </c>
      <c r="AE33" s="4">
        <f>'[37]Predicted Coal Prices'!AP33</f>
        <v>2.1868307792034605</v>
      </c>
      <c r="AF33" s="4">
        <v>0</v>
      </c>
      <c r="AG33" s="4">
        <v>0</v>
      </c>
      <c r="AH33" s="4"/>
      <c r="AI33" s="17" t="str">
        <f t="shared" si="6"/>
        <v>314</v>
      </c>
      <c r="AJ33" s="115">
        <f t="shared" si="0"/>
        <v>3.3033699746275174</v>
      </c>
    </row>
    <row r="34" spans="4:36" x14ac:dyDescent="0.2">
      <c r="D34">
        <f>[13]Quantity_shares!BB260</f>
        <v>1999</v>
      </c>
      <c r="E34" t="str">
        <f>[13]Quantity_shares!BC260</f>
        <v>315</v>
      </c>
      <c r="F34" s="26">
        <f>[13]Quantity_shares!BD260</f>
        <v>0.75527871621621612</v>
      </c>
      <c r="G34" s="26">
        <f>[13]Quantity_shares!BE260</f>
        <v>9.0582770270270258E-2</v>
      </c>
      <c r="H34" s="26">
        <f>[13]Quantity_shares!BF260</f>
        <v>2.3437500000000135E-2</v>
      </c>
      <c r="I34" s="26">
        <f>[13]Quantity_shares!BG260</f>
        <v>0.13070101351351351</v>
      </c>
      <c r="O34" t="s">
        <v>18</v>
      </c>
      <c r="Q34" s="26">
        <f t="shared" si="8"/>
        <v>6.4103142219612913E-2</v>
      </c>
      <c r="R34" s="26">
        <f t="shared" si="8"/>
        <v>0.11395300441275995</v>
      </c>
      <c r="S34" s="26">
        <f t="shared" si="8"/>
        <v>0.70459332517727102</v>
      </c>
      <c r="T34" s="26">
        <f t="shared" si="8"/>
        <v>2.2615325897557506E-2</v>
      </c>
      <c r="U34" s="26">
        <f t="shared" si="8"/>
        <v>9.4735202292798609E-2</v>
      </c>
      <c r="V34" s="26">
        <v>0</v>
      </c>
      <c r="W34" s="26">
        <v>0</v>
      </c>
      <c r="X34" s="26">
        <f t="shared" si="9"/>
        <v>1</v>
      </c>
      <c r="Y34" s="26"/>
      <c r="AA34" s="4">
        <f>'[33]Predicted Residual Prices'!AP34</f>
        <v>2.7442271122515418</v>
      </c>
      <c r="AB34" s="4">
        <f>'[34]Predicted Distillate Prices'!AP34</f>
        <v>6.2929756814624724</v>
      </c>
      <c r="AC34" s="4">
        <f>'[35]Predicted Gas Prices'!AQ34</f>
        <v>4.3361176625083422</v>
      </c>
      <c r="AD34" s="4">
        <f>'[36]Predicted LPG Prices'!AP34</f>
        <v>7.6892196784865749</v>
      </c>
      <c r="AE34" s="4">
        <f>'[37]Predicted Coal Prices'!AP34</f>
        <v>2.4137378468054798</v>
      </c>
      <c r="AF34" s="4">
        <v>0</v>
      </c>
      <c r="AG34" s="4">
        <v>0</v>
      </c>
      <c r="AH34" s="4"/>
      <c r="AI34" s="17" t="str">
        <f t="shared" si="6"/>
        <v>315</v>
      </c>
      <c r="AJ34" s="115">
        <f t="shared" si="0"/>
        <v>4.3507767807710991</v>
      </c>
    </row>
    <row r="35" spans="4:36" x14ac:dyDescent="0.2">
      <c r="D35">
        <f>[13]Quantity_shares!BB261</f>
        <v>1999</v>
      </c>
      <c r="E35" t="str">
        <f>[13]Quantity_shares!BC261</f>
        <v>316</v>
      </c>
      <c r="F35" s="26">
        <f>[13]Quantity_shares!BD261</f>
        <v>0.80833333333333179</v>
      </c>
      <c r="G35" s="26">
        <f>[13]Quantity_shares!BE261</f>
        <v>9.5833333333333146E-2</v>
      </c>
      <c r="H35" s="26">
        <f>[13]Quantity_shares!BF261</f>
        <v>2.0208333333333293E-15</v>
      </c>
      <c r="I35" s="26">
        <f>[13]Quantity_shares!BG261</f>
        <v>9.5833333333333146E-2</v>
      </c>
      <c r="O35" t="s">
        <v>20</v>
      </c>
      <c r="Q35" s="26">
        <f t="shared" si="8"/>
        <v>0.28974457212826277</v>
      </c>
      <c r="R35" s="26">
        <f t="shared" si="8"/>
        <v>0.12029111611235144</v>
      </c>
      <c r="S35" s="26">
        <f t="shared" si="8"/>
        <v>0.47837283197878172</v>
      </c>
      <c r="T35" s="26">
        <f t="shared" si="8"/>
        <v>1.5993526240676653E-2</v>
      </c>
      <c r="U35" s="26">
        <f t="shared" si="8"/>
        <v>9.5597953539927505E-2</v>
      </c>
      <c r="V35" s="26">
        <v>0</v>
      </c>
      <c r="W35" s="26">
        <v>0</v>
      </c>
      <c r="X35" s="26">
        <f t="shared" si="9"/>
        <v>1</v>
      </c>
      <c r="Y35" s="26"/>
      <c r="AA35" s="4">
        <f>'[33]Predicted Residual Prices'!AP35</f>
        <v>2.2882199526444738</v>
      </c>
      <c r="AB35" s="4">
        <f>'[34]Predicted Distillate Prices'!AP35</f>
        <v>4.4170808108986765</v>
      </c>
      <c r="AC35" s="4">
        <f>'[35]Predicted Gas Prices'!AQ35</f>
        <v>3.8523015658713637</v>
      </c>
      <c r="AD35" s="4">
        <f>'[36]Predicted LPG Prices'!AP35</f>
        <v>7.1130631234964303</v>
      </c>
      <c r="AE35" s="4">
        <f>'[37]Predicted Coal Prices'!AP35</f>
        <v>1.8905067748291056</v>
      </c>
      <c r="AF35" s="4">
        <v>0</v>
      </c>
      <c r="AG35" s="4">
        <v>0</v>
      </c>
      <c r="AH35" s="4"/>
      <c r="AI35" s="17" t="str">
        <f t="shared" si="6"/>
        <v>316</v>
      </c>
      <c r="AJ35" s="115">
        <f t="shared" si="0"/>
        <v>3.3316628420622196</v>
      </c>
    </row>
    <row r="36" spans="4:36" x14ac:dyDescent="0.2">
      <c r="D36">
        <f>[13]Quantity_shares!BB262</f>
        <v>1999</v>
      </c>
      <c r="E36" t="str">
        <f>[13]Quantity_shares!BC262</f>
        <v>321</v>
      </c>
      <c r="F36" s="26">
        <f>[13]Quantity_shares!BD262</f>
        <v>0.17260309746570984</v>
      </c>
      <c r="G36" s="26">
        <f>[13]Quantity_shares!BE262</f>
        <v>3.3158476398098526E-2</v>
      </c>
      <c r="H36" s="26">
        <f>[13]Quantity_shares!BF262</f>
        <v>4.2654494807278891E-3</v>
      </c>
      <c r="I36" s="26">
        <f>[13]Quantity_shares!BG262</f>
        <v>0.78997297665546373</v>
      </c>
      <c r="O36" t="s">
        <v>22</v>
      </c>
      <c r="Q36" s="26">
        <f t="shared" si="8"/>
        <v>1.8038614723056765E-2</v>
      </c>
      <c r="R36" s="26">
        <f t="shared" si="8"/>
        <v>0.40859958859051054</v>
      </c>
      <c r="S36" s="26">
        <f t="shared" si="8"/>
        <v>0.50152666016580971</v>
      </c>
      <c r="T36" s="26">
        <f t="shared" si="8"/>
        <v>5.3796521797566277E-2</v>
      </c>
      <c r="U36" s="26">
        <f t="shared" si="8"/>
        <v>1.8038614723056765E-2</v>
      </c>
      <c r="V36" s="26">
        <v>0</v>
      </c>
      <c r="W36" s="26">
        <v>0</v>
      </c>
      <c r="X36" s="26">
        <f t="shared" si="9"/>
        <v>1</v>
      </c>
      <c r="Y36" s="26"/>
      <c r="AA36" s="4">
        <f>'[33]Predicted Residual Prices'!AP36</f>
        <v>3.227149286381136</v>
      </c>
      <c r="AB36" s="4">
        <f>'[34]Predicted Distillate Prices'!AP36</f>
        <v>5.719406545979588</v>
      </c>
      <c r="AC36" s="4">
        <f>'[35]Predicted Gas Prices'!AQ36</f>
        <v>3.8029368994454553</v>
      </c>
      <c r="AD36" s="4">
        <f>'[36]Predicted LPG Prices'!AP36</f>
        <v>6.5778836757075894</v>
      </c>
      <c r="AE36" s="4">
        <f>'[37]Predicted Coal Prices'!AP36</f>
        <v>2.854597540261774</v>
      </c>
      <c r="AF36" s="4">
        <v>0</v>
      </c>
      <c r="AG36" s="4">
        <v>0</v>
      </c>
      <c r="AH36" s="4"/>
      <c r="AI36" s="17" t="str">
        <f t="shared" si="6"/>
        <v>321</v>
      </c>
      <c r="AJ36" s="115">
        <f t="shared" si="0"/>
        <v>4.7077949540603745</v>
      </c>
    </row>
    <row r="37" spans="4:36" x14ac:dyDescent="0.2">
      <c r="D37">
        <f>[13]Quantity_shares!BB263</f>
        <v>1999</v>
      </c>
      <c r="E37" t="str">
        <f>[13]Quantity_shares!BC263</f>
        <v>322</v>
      </c>
      <c r="F37" s="26">
        <f>[13]Quantity_shares!BD263</f>
        <v>0.23434025068894082</v>
      </c>
      <c r="G37" s="26">
        <f>[13]Quantity_shares!BE263</f>
        <v>6.110454235991785E-2</v>
      </c>
      <c r="H37" s="26">
        <f>[13]Quantity_shares!BF263</f>
        <v>0.1102758620303317</v>
      </c>
      <c r="I37" s="26">
        <f>[13]Quantity_shares!BG263</f>
        <v>0.59427934492080969</v>
      </c>
      <c r="O37" t="s">
        <v>24</v>
      </c>
      <c r="Q37" s="26">
        <f t="shared" si="8"/>
        <v>0.18083328462433723</v>
      </c>
      <c r="R37" s="26">
        <f t="shared" si="8"/>
        <v>1.3131659570769488E-2</v>
      </c>
      <c r="S37" s="26">
        <f t="shared" si="8"/>
        <v>0.45619365624265629</v>
      </c>
      <c r="T37" s="26">
        <f t="shared" si="8"/>
        <v>5.2711972023459924E-3</v>
      </c>
      <c r="U37" s="26">
        <f t="shared" si="8"/>
        <v>0.34457020235989094</v>
      </c>
      <c r="V37" s="26">
        <v>0</v>
      </c>
      <c r="W37" s="26">
        <v>0</v>
      </c>
      <c r="X37" s="26">
        <f t="shared" si="9"/>
        <v>1</v>
      </c>
      <c r="Y37" s="26"/>
      <c r="AA37" s="4">
        <f>'[33]Predicted Residual Prices'!AP37</f>
        <v>2.6498622850573219</v>
      </c>
      <c r="AB37" s="4">
        <f>'[34]Predicted Distillate Prices'!AP37</f>
        <v>4.3638179555566774</v>
      </c>
      <c r="AC37" s="4">
        <f>'[35]Predicted Gas Prices'!AQ37</f>
        <v>3.1383836442209754</v>
      </c>
      <c r="AD37" s="4">
        <f>'[36]Predicted LPG Prices'!AP37</f>
        <v>7.3462298321107742</v>
      </c>
      <c r="AE37" s="4">
        <f>'[37]Predicted Coal Prices'!AP37</f>
        <v>1.9254037171013469</v>
      </c>
      <c r="AF37" s="4">
        <v>0</v>
      </c>
      <c r="AG37" s="4">
        <v>0</v>
      </c>
      <c r="AH37" s="4"/>
      <c r="AI37" s="17" t="str">
        <f t="shared" si="6"/>
        <v>322</v>
      </c>
      <c r="AJ37" s="115">
        <f t="shared" si="0"/>
        <v>2.6703583565444782</v>
      </c>
    </row>
    <row r="38" spans="4:36" x14ac:dyDescent="0.2">
      <c r="D38">
        <f>[13]Quantity_shares!BB264</f>
        <v>1999</v>
      </c>
      <c r="E38" t="str">
        <f>[13]Quantity_shares!BC264</f>
        <v>323</v>
      </c>
      <c r="F38" s="26">
        <f>[13]Quantity_shares!BD264</f>
        <v>0.92772499084308269</v>
      </c>
      <c r="G38" s="26">
        <f>[13]Quantity_shares!BE264</f>
        <v>1.0939822894447677E-2</v>
      </c>
      <c r="H38" s="26">
        <f>[13]Quantity_shares!BF264</f>
        <v>3.9267015706806801E-3</v>
      </c>
      <c r="I38" s="26">
        <f>[13]Quantity_shares!BG264</f>
        <v>5.7408484691788927E-2</v>
      </c>
      <c r="O38" t="s">
        <v>26</v>
      </c>
      <c r="Q38" s="26">
        <f t="shared" si="8"/>
        <v>1.3431863604206182E-2</v>
      </c>
      <c r="R38" s="26">
        <f t="shared" si="8"/>
        <v>4.1916394281896183E-2</v>
      </c>
      <c r="S38" s="26">
        <f t="shared" si="8"/>
        <v>0.90250934905477898</v>
      </c>
      <c r="T38" s="26">
        <f t="shared" si="8"/>
        <v>2.73331944388693E-2</v>
      </c>
      <c r="U38" s="26">
        <f t="shared" si="8"/>
        <v>1.4809198620249471E-2</v>
      </c>
      <c r="V38" s="26">
        <v>0</v>
      </c>
      <c r="W38" s="26">
        <v>0</v>
      </c>
      <c r="X38" s="26">
        <f t="shared" si="9"/>
        <v>1</v>
      </c>
      <c r="Y38" s="26"/>
      <c r="AA38" s="4">
        <f>'[33]Predicted Residual Prices'!AP38</f>
        <v>3.521389097576312</v>
      </c>
      <c r="AB38" s="4">
        <f>'[34]Predicted Distillate Prices'!AP38</f>
        <v>3.9340188568090442</v>
      </c>
      <c r="AC38" s="4">
        <f>'[35]Predicted Gas Prices'!AQ38</f>
        <v>4.1967514648868862</v>
      </c>
      <c r="AD38" s="4">
        <f>'[36]Predicted LPG Prices'!AP38</f>
        <v>8.9010965392094494</v>
      </c>
      <c r="AE38" s="4">
        <f>'[37]Predicted Coal Prices'!AP38</f>
        <v>1.9343240920370477</v>
      </c>
      <c r="AF38" s="4">
        <v>0</v>
      </c>
      <c r="AG38" s="4">
        <v>0</v>
      </c>
      <c r="AH38" s="4"/>
      <c r="AI38" s="17" t="str">
        <f t="shared" si="6"/>
        <v>323</v>
      </c>
      <c r="AJ38" s="115">
        <f t="shared" si="0"/>
        <v>4.271747328390429</v>
      </c>
    </row>
    <row r="39" spans="4:36" x14ac:dyDescent="0.2">
      <c r="D39">
        <f>[13]Quantity_shares!BB265</f>
        <v>1999</v>
      </c>
      <c r="E39" t="str">
        <f>[13]Quantity_shares!BC265</f>
        <v>324</v>
      </c>
      <c r="F39" s="26">
        <f>[13]Quantity_shares!BD265</f>
        <v>0.28655305399207842</v>
      </c>
      <c r="G39" s="26">
        <f>[13]Quantity_shares!BE265</f>
        <v>2.4700854700854702E-2</v>
      </c>
      <c r="H39" s="26">
        <f>[13]Quantity_shares!BF265</f>
        <v>3.6210131332082554E-3</v>
      </c>
      <c r="I39" s="26">
        <f>[13]Quantity_shares!BG265</f>
        <v>0.68512507817385859</v>
      </c>
      <c r="O39" t="s">
        <v>28</v>
      </c>
      <c r="Q39" s="26">
        <f t="shared" si="8"/>
        <v>2.5267460056918094E-2</v>
      </c>
      <c r="R39" s="26">
        <f t="shared" si="8"/>
        <v>1.9834025730834051E-2</v>
      </c>
      <c r="S39" s="26">
        <f t="shared" si="8"/>
        <v>0.93832462447006293</v>
      </c>
      <c r="T39" s="26">
        <f t="shared" si="8"/>
        <v>7.1384091932885389E-3</v>
      </c>
      <c r="U39" s="26">
        <f t="shared" si="8"/>
        <v>9.4354805488964348E-3</v>
      </c>
      <c r="V39" s="26">
        <v>0</v>
      </c>
      <c r="W39" s="26">
        <v>0</v>
      </c>
      <c r="X39" s="26">
        <f t="shared" si="9"/>
        <v>1.0000000000000002</v>
      </c>
      <c r="Y39" s="26"/>
      <c r="AA39" s="4">
        <f>'[33]Predicted Residual Prices'!AP39</f>
        <v>3.2076942976603604</v>
      </c>
      <c r="AB39" s="4">
        <f>'[34]Predicted Distillate Prices'!AP39</f>
        <v>4.0800901250593089</v>
      </c>
      <c r="AC39" s="4">
        <f>'[35]Predicted Gas Prices'!AQ39</f>
        <v>2.5487773357052745</v>
      </c>
      <c r="AD39" s="4">
        <f>'[36]Predicted LPG Prices'!AP39</f>
        <v>5.0446814996997436</v>
      </c>
      <c r="AE39" s="4">
        <f>'[37]Predicted Coal Prices'!AP39</f>
        <v>1.8133409538374998</v>
      </c>
      <c r="AF39" s="4">
        <v>0</v>
      </c>
      <c r="AG39" s="4">
        <v>0</v>
      </c>
      <c r="AH39" s="4"/>
      <c r="AI39" s="17" t="str">
        <f t="shared" si="6"/>
        <v>324</v>
      </c>
      <c r="AJ39" s="115">
        <f t="shared" si="0"/>
        <v>2.6066761805420651</v>
      </c>
    </row>
    <row r="40" spans="4:36" x14ac:dyDescent="0.2">
      <c r="D40">
        <f>[13]Quantity_shares!BB266</f>
        <v>1999</v>
      </c>
      <c r="E40" t="str">
        <f>[13]Quantity_shares!BC266</f>
        <v>325</v>
      </c>
      <c r="F40" s="26">
        <f>[13]Quantity_shares!BD266</f>
        <v>0.65577583667055861</v>
      </c>
      <c r="G40" s="26">
        <f>[13]Quantity_shares!BE266</f>
        <v>1.7401574588348265E-2</v>
      </c>
      <c r="H40" s="26">
        <f>[13]Quantity_shares!BF266</f>
        <v>9.9596750433748341E-2</v>
      </c>
      <c r="I40" s="26">
        <f>[13]Quantity_shares!BG266</f>
        <v>0.22722583830734477</v>
      </c>
      <c r="O40" t="s">
        <v>30</v>
      </c>
      <c r="Q40" s="26">
        <f t="shared" si="8"/>
        <v>4.7737426414206072E-2</v>
      </c>
      <c r="R40" s="26">
        <f t="shared" si="8"/>
        <v>9.1640394810722989E-3</v>
      </c>
      <c r="S40" s="26">
        <f t="shared" si="8"/>
        <v>0.75865482370589965</v>
      </c>
      <c r="T40" s="26">
        <f t="shared" si="8"/>
        <v>4.1980882849038947E-3</v>
      </c>
      <c r="U40" s="26">
        <f t="shared" si="8"/>
        <v>0.18024562211391809</v>
      </c>
      <c r="V40" s="26">
        <v>0</v>
      </c>
      <c r="W40" s="26">
        <v>0</v>
      </c>
      <c r="X40" s="26">
        <f t="shared" si="9"/>
        <v>1</v>
      </c>
      <c r="Y40" s="26"/>
      <c r="AA40" s="4">
        <f>'[33]Predicted Residual Prices'!AP40</f>
        <v>3.0883871444376663</v>
      </c>
      <c r="AB40" s="4">
        <f>'[34]Predicted Distillate Prices'!AP40</f>
        <v>4.4072911682183529</v>
      </c>
      <c r="AC40" s="4">
        <f>'[35]Predicted Gas Prices'!AQ40</f>
        <v>2.3696478983056535</v>
      </c>
      <c r="AD40" s="4">
        <f>'[36]Predicted LPG Prices'!AP40</f>
        <v>5.4670087152925433</v>
      </c>
      <c r="AE40" s="4">
        <f>'[37]Predicted Coal Prices'!AP40</f>
        <v>1.7946757446750952</v>
      </c>
      <c r="AF40" s="4">
        <v>0</v>
      </c>
      <c r="AG40" s="4">
        <v>0</v>
      </c>
      <c r="AH40" s="4"/>
      <c r="AI40" s="17" t="str">
        <f t="shared" si="6"/>
        <v>325</v>
      </c>
      <c r="AJ40" s="115">
        <f t="shared" si="0"/>
        <v>2.331998484183297</v>
      </c>
    </row>
    <row r="41" spans="4:36" x14ac:dyDescent="0.2">
      <c r="D41">
        <f>[13]Quantity_shares!BB267</f>
        <v>1999</v>
      </c>
      <c r="E41" t="str">
        <f>[13]Quantity_shares!BC267</f>
        <v>326</v>
      </c>
      <c r="F41" s="26">
        <f>[13]Quantity_shares!BD267</f>
        <v>0.86280593212628509</v>
      </c>
      <c r="G41" s="26">
        <f>[13]Quantity_shares!BE267</f>
        <v>4.5876171412974252E-2</v>
      </c>
      <c r="H41" s="26">
        <f>[13]Quantity_shares!BF267</f>
        <v>2.6401146392502954E-2</v>
      </c>
      <c r="I41" s="26">
        <f>[13]Quantity_shares!BG267</f>
        <v>6.4916750068237647E-2</v>
      </c>
      <c r="O41" t="s">
        <v>32</v>
      </c>
      <c r="Q41" s="26">
        <f t="shared" si="8"/>
        <v>9.5465006037724592E-2</v>
      </c>
      <c r="R41" s="26">
        <f t="shared" si="8"/>
        <v>3.4269287424731239E-2</v>
      </c>
      <c r="S41" s="26">
        <f t="shared" si="8"/>
        <v>0.79629705327380551</v>
      </c>
      <c r="T41" s="26">
        <f t="shared" si="8"/>
        <v>1.655680576061018E-2</v>
      </c>
      <c r="U41" s="26">
        <f t="shared" si="8"/>
        <v>5.7411847503128548E-2</v>
      </c>
      <c r="V41" s="26">
        <v>0</v>
      </c>
      <c r="W41" s="26">
        <v>0</v>
      </c>
      <c r="X41" s="26">
        <f t="shared" si="9"/>
        <v>1</v>
      </c>
      <c r="Y41" s="26"/>
      <c r="AA41" s="4">
        <f>'[33]Predicted Residual Prices'!AP41</f>
        <v>2.691386486450726</v>
      </c>
      <c r="AB41" s="4">
        <f>'[34]Predicted Distillate Prices'!AP41</f>
        <v>4.9333983355892297</v>
      </c>
      <c r="AC41" s="4">
        <f>'[35]Predicted Gas Prices'!AQ41</f>
        <v>3.6190499685391408</v>
      </c>
      <c r="AD41" s="4">
        <f>'[36]Predicted LPG Prices'!AP41</f>
        <v>7.7927687159365497</v>
      </c>
      <c r="AE41" s="4">
        <f>'[37]Predicted Coal Prices'!AP41</f>
        <v>2.0709038733915923</v>
      </c>
      <c r="AF41" s="4">
        <v>0</v>
      </c>
      <c r="AG41" s="4">
        <v>0</v>
      </c>
      <c r="AH41" s="4"/>
      <c r="AI41" s="17" t="str">
        <f t="shared" si="6"/>
        <v>326</v>
      </c>
      <c r="AJ41" s="115">
        <f t="shared" si="0"/>
        <v>3.5557538736601608</v>
      </c>
    </row>
    <row r="42" spans="4:36" x14ac:dyDescent="0.2">
      <c r="D42">
        <f>[13]Quantity_shares!BB268</f>
        <v>1999</v>
      </c>
      <c r="E42" t="str">
        <f>[13]Quantity_shares!BC268</f>
        <v>327</v>
      </c>
      <c r="F42" s="26">
        <f>[13]Quantity_shares!BD268</f>
        <v>0.50961522223449096</v>
      </c>
      <c r="G42" s="26">
        <f>[13]Quantity_shares!BE268</f>
        <v>2.7969459401528979E-2</v>
      </c>
      <c r="H42" s="26">
        <f>[13]Quantity_shares!BF268</f>
        <v>0.33988659318389958</v>
      </c>
      <c r="I42" s="26">
        <f>[13]Quantity_shares!BG268</f>
        <v>0.1225287251800804</v>
      </c>
      <c r="O42" t="s">
        <v>34</v>
      </c>
      <c r="Q42" s="26">
        <f t="shared" si="8"/>
        <v>1.4330524249841417E-2</v>
      </c>
      <c r="R42" s="26">
        <f t="shared" si="8"/>
        <v>4.3768045660803778E-2</v>
      </c>
      <c r="S42" s="26">
        <f t="shared" si="8"/>
        <v>0.53451451604573541</v>
      </c>
      <c r="T42" s="26">
        <f t="shared" si="8"/>
        <v>5.0300427768033259E-3</v>
      </c>
      <c r="U42" s="26">
        <f t="shared" si="8"/>
        <v>0.40235687126681607</v>
      </c>
      <c r="V42" s="26">
        <v>0</v>
      </c>
      <c r="W42" s="26">
        <v>0</v>
      </c>
      <c r="X42" s="26">
        <f t="shared" si="9"/>
        <v>1</v>
      </c>
      <c r="Y42" s="26"/>
      <c r="AA42" s="4">
        <f>'[33]Predicted Residual Prices'!AP42</f>
        <v>3.1028231108682549</v>
      </c>
      <c r="AB42" s="4">
        <f>'[34]Predicted Distillate Prices'!AP42</f>
        <v>5.4879174861529929</v>
      </c>
      <c r="AC42" s="4">
        <f>'[35]Predicted Gas Prices'!AQ42</f>
        <v>3.3011366835157281</v>
      </c>
      <c r="AD42" s="4">
        <f>'[36]Predicted LPG Prices'!AP42</f>
        <v>6.348947773008474</v>
      </c>
      <c r="AE42" s="4">
        <f>'[37]Predicted Coal Prices'!AP42</f>
        <v>1.7678306041740404</v>
      </c>
      <c r="AF42" s="4">
        <v>0</v>
      </c>
      <c r="AG42" s="4">
        <v>0</v>
      </c>
      <c r="AH42" s="4"/>
      <c r="AI42" s="17" t="str">
        <f t="shared" si="6"/>
        <v>327</v>
      </c>
      <c r="AJ42" s="115">
        <f t="shared" si="0"/>
        <v>2.7924002514512818</v>
      </c>
    </row>
    <row r="43" spans="4:36" x14ac:dyDescent="0.2">
      <c r="D43">
        <f>[13]Quantity_shares!BB269</f>
        <v>1999</v>
      </c>
      <c r="E43" t="str">
        <f>[13]Quantity_shares!BC269</f>
        <v>331</v>
      </c>
      <c r="F43" s="26">
        <f>[13]Quantity_shares!BD269</f>
        <v>0.42116923487288921</v>
      </c>
      <c r="G43" s="26">
        <f>[13]Quantity_shares!BE269</f>
        <v>1.5078412208798275E-2</v>
      </c>
      <c r="H43" s="26">
        <f>[13]Quantity_shares!BF269</f>
        <v>0.34823572000152425</v>
      </c>
      <c r="I43" s="26">
        <f>[13]Quantity_shares!BG269</f>
        <v>0.21551663291678835</v>
      </c>
      <c r="O43" t="s">
        <v>36</v>
      </c>
      <c r="Q43" s="26">
        <f t="shared" si="8"/>
        <v>3.6675899204854819E-2</v>
      </c>
      <c r="R43" s="26">
        <f t="shared" si="8"/>
        <v>1.1926834474274802E-2</v>
      </c>
      <c r="S43" s="26">
        <f t="shared" si="8"/>
        <v>0.64508350158470562</v>
      </c>
      <c r="T43" s="26">
        <f t="shared" si="8"/>
        <v>4.6139351693564937E-3</v>
      </c>
      <c r="U43" s="26">
        <f t="shared" si="8"/>
        <v>6.7578495848535244E-2</v>
      </c>
      <c r="V43" s="26">
        <f t="shared" si="8"/>
        <v>0.23412133371827298</v>
      </c>
      <c r="W43" s="26">
        <v>0</v>
      </c>
      <c r="X43" s="26">
        <f t="shared" si="9"/>
        <v>1</v>
      </c>
      <c r="Y43" s="26"/>
      <c r="AA43" s="4">
        <f>'[33]Predicted Residual Prices'!AP43</f>
        <v>2.8715016678328227</v>
      </c>
      <c r="AB43" s="4">
        <f>'[34]Predicted Distillate Prices'!AP43</f>
        <v>4.919192177824427</v>
      </c>
      <c r="AC43" s="4">
        <f>'[35]Predicted Gas Prices'!AQ43</f>
        <v>3.3759461060781399</v>
      </c>
      <c r="AD43" s="4">
        <f>'[36]Predicted LPG Prices'!AP43</f>
        <v>6.0451882054747621</v>
      </c>
      <c r="AE43" s="4">
        <f>'[37]Predicted Coal Prices'!AP43</f>
        <v>2.1581996832763148</v>
      </c>
      <c r="AF43" s="36">
        <f>3*AE43</f>
        <v>6.4745990498289441</v>
      </c>
      <c r="AG43" s="4">
        <v>0</v>
      </c>
      <c r="AH43" s="4"/>
      <c r="AI43" s="17" t="str">
        <f t="shared" si="6"/>
        <v>331</v>
      </c>
      <c r="AJ43" s="115">
        <f t="shared" si="0"/>
        <v>4.0313341914984395</v>
      </c>
    </row>
    <row r="44" spans="4:36" x14ac:dyDescent="0.2">
      <c r="D44">
        <f>[13]Quantity_shares!BB270</f>
        <v>1999</v>
      </c>
      <c r="E44" t="str">
        <f>[13]Quantity_shares!BC270</f>
        <v>332</v>
      </c>
      <c r="F44" s="26">
        <f>[13]Quantity_shares!BD270</f>
        <v>0.90082390676264634</v>
      </c>
      <c r="G44" s="26">
        <f>[13]Quantity_shares!BE270</f>
        <v>3.1257039322266297E-2</v>
      </c>
      <c r="H44" s="26">
        <f>[13]Quantity_shares!BF270</f>
        <v>9.9860437784633459E-3</v>
      </c>
      <c r="I44" s="26">
        <f>[13]Quantity_shares!BG270</f>
        <v>5.7933010136624066E-2</v>
      </c>
      <c r="O44" t="s">
        <v>38</v>
      </c>
      <c r="Q44" s="26">
        <f t="shared" si="8"/>
        <v>2.5797847375476038E-2</v>
      </c>
      <c r="R44" s="26">
        <f t="shared" si="8"/>
        <v>4.5008759271611361E-2</v>
      </c>
      <c r="S44" s="26">
        <f t="shared" si="8"/>
        <v>0.8628929709618367</v>
      </c>
      <c r="T44" s="26">
        <f t="shared" si="8"/>
        <v>1.9432683588823319E-2</v>
      </c>
      <c r="U44" s="26">
        <f t="shared" si="8"/>
        <v>4.6867738802252805E-2</v>
      </c>
      <c r="V44" s="26">
        <v>0</v>
      </c>
      <c r="W44" s="26">
        <v>0</v>
      </c>
      <c r="X44" s="26">
        <f t="shared" si="9"/>
        <v>1.0000000000000002</v>
      </c>
      <c r="Y44" s="26"/>
      <c r="AA44" s="4">
        <f>'[33]Predicted Residual Prices'!AP44</f>
        <v>3.5642803139758854</v>
      </c>
      <c r="AB44" s="4">
        <f>'[34]Predicted Distillate Prices'!AP44</f>
        <v>4.1490745079318065</v>
      </c>
      <c r="AC44" s="4">
        <f>'[35]Predicted Gas Prices'!AQ44</f>
        <v>3.8730320755254599</v>
      </c>
      <c r="AD44" s="4">
        <f>'[36]Predicted LPG Prices'!AP44</f>
        <v>8.0567265940124528</v>
      </c>
      <c r="AE44" s="4">
        <f>'[37]Predicted Coal Prices'!AP44</f>
        <v>2.088311805604484</v>
      </c>
      <c r="AF44" s="4">
        <v>0</v>
      </c>
      <c r="AG44" s="4">
        <v>0</v>
      </c>
      <c r="AH44" s="4"/>
      <c r="AI44" s="17" t="str">
        <f t="shared" si="6"/>
        <v>332</v>
      </c>
      <c r="AJ44" s="115">
        <f t="shared" si="0"/>
        <v>3.8751458804573322</v>
      </c>
    </row>
    <row r="45" spans="4:36" x14ac:dyDescent="0.2">
      <c r="D45">
        <f>[13]Quantity_shares!BB271</f>
        <v>1999</v>
      </c>
      <c r="E45" t="str">
        <f>[13]Quantity_shares!BC271</f>
        <v>333</v>
      </c>
      <c r="F45" s="26">
        <f>[13]Quantity_shares!BD271</f>
        <v>0.84320091673032849</v>
      </c>
      <c r="G45" s="26">
        <f>[13]Quantity_shares!BE271</f>
        <v>3.4568372803666925E-2</v>
      </c>
      <c r="H45" s="26">
        <f>[13]Quantity_shares!BF271</f>
        <v>4.048892284186402E-2</v>
      </c>
      <c r="I45" s="26">
        <f>[13]Quantity_shares!BG271</f>
        <v>8.1741787624140555E-2</v>
      </c>
      <c r="O45" t="s">
        <v>40</v>
      </c>
      <c r="Q45" s="26">
        <f t="shared" si="8"/>
        <v>5.7810692342061994E-2</v>
      </c>
      <c r="R45" s="26">
        <f t="shared" si="8"/>
        <v>5.1203675402104479E-2</v>
      </c>
      <c r="S45" s="26">
        <f t="shared" si="8"/>
        <v>0.72755651799635701</v>
      </c>
      <c r="T45" s="26">
        <f t="shared" si="8"/>
        <v>1.7652309306528786E-2</v>
      </c>
      <c r="U45" s="26">
        <f t="shared" si="8"/>
        <v>0.14577680495294776</v>
      </c>
      <c r="V45" s="26">
        <v>0</v>
      </c>
      <c r="W45" s="26">
        <v>0</v>
      </c>
      <c r="X45" s="26">
        <f t="shared" si="9"/>
        <v>1</v>
      </c>
      <c r="Y45" s="26"/>
      <c r="AA45" s="4">
        <f>'[33]Predicted Residual Prices'!AP45</f>
        <v>3.4474835414024154</v>
      </c>
      <c r="AB45" s="4">
        <f>'[34]Predicted Distillate Prices'!AP45</f>
        <v>4.3109730480828219</v>
      </c>
      <c r="AC45" s="4">
        <f>'[35]Predicted Gas Prices'!AQ45</f>
        <v>3.9008023534831522</v>
      </c>
      <c r="AD45" s="4">
        <f>'[36]Predicted LPG Prices'!AP45</f>
        <v>8.2080957060809947</v>
      </c>
      <c r="AE45" s="4">
        <f>'[37]Predicted Coal Prices'!AP45</f>
        <v>1.7469811331441263</v>
      </c>
      <c r="AF45" s="4">
        <v>0</v>
      </c>
      <c r="AG45" s="4">
        <v>0</v>
      </c>
      <c r="AH45" s="4"/>
      <c r="AI45" s="17" t="str">
        <f t="shared" si="6"/>
        <v>333</v>
      </c>
      <c r="AJ45" s="115">
        <f t="shared" si="0"/>
        <v>3.6576544248039511</v>
      </c>
    </row>
    <row r="46" spans="4:36" x14ac:dyDescent="0.2">
      <c r="D46">
        <f>[13]Quantity_shares!BB272</f>
        <v>1999</v>
      </c>
      <c r="E46" t="str">
        <f>[13]Quantity_shares!BC272</f>
        <v>334</v>
      </c>
      <c r="F46" s="26">
        <f>[13]Quantity_shares!BD272</f>
        <v>0.94193497474747478</v>
      </c>
      <c r="G46" s="26">
        <f>[13]Quantity_shares!BE272</f>
        <v>2.9324494949494951E-2</v>
      </c>
      <c r="H46" s="26">
        <f>[13]Quantity_shares!BF272</f>
        <v>3.4880050505050504E-3</v>
      </c>
      <c r="I46" s="26">
        <f>[13]Quantity_shares!BG272</f>
        <v>2.5252525252525252E-2</v>
      </c>
      <c r="O46" t="s">
        <v>42</v>
      </c>
      <c r="Q46" s="26">
        <f t="shared" si="8"/>
        <v>8.6143277603198856E-2</v>
      </c>
      <c r="R46" s="26">
        <f t="shared" si="8"/>
        <v>3.7580494849269674E-2</v>
      </c>
      <c r="S46" s="26">
        <f t="shared" si="8"/>
        <v>0.69738388526783168</v>
      </c>
      <c r="T46" s="26">
        <f t="shared" si="8"/>
        <v>1.2261959621965581E-2</v>
      </c>
      <c r="U46" s="26">
        <f t="shared" si="8"/>
        <v>0.16663038265773428</v>
      </c>
      <c r="V46" s="26">
        <v>0</v>
      </c>
      <c r="W46" s="26">
        <v>0</v>
      </c>
      <c r="X46" s="26">
        <f t="shared" si="9"/>
        <v>1.0000000000000002</v>
      </c>
      <c r="Y46" s="26"/>
      <c r="AA46" s="4">
        <f>'[33]Predicted Residual Prices'!AP46</f>
        <v>2.6132330997919131</v>
      </c>
      <c r="AB46" s="4">
        <f>'[34]Predicted Distillate Prices'!AP46</f>
        <v>3.9388903134040487</v>
      </c>
      <c r="AC46" s="4">
        <f>'[35]Predicted Gas Prices'!AQ46</f>
        <v>4.092968242776319</v>
      </c>
      <c r="AD46" s="4">
        <f>'[36]Predicted LPG Prices'!AP46</f>
        <v>6.5756724455195981</v>
      </c>
      <c r="AE46" s="4">
        <f>'[37]Predicted Coal Prices'!AP46</f>
        <v>1.2699239978659436</v>
      </c>
      <c r="AF46" s="4">
        <v>0</v>
      </c>
      <c r="AG46" s="4">
        <v>0</v>
      </c>
      <c r="AH46" s="4"/>
      <c r="AI46" s="17" t="str">
        <f t="shared" si="6"/>
        <v>334</v>
      </c>
      <c r="AJ46" s="115">
        <f t="shared" si="0"/>
        <v>3.5197465586420358</v>
      </c>
    </row>
    <row r="47" spans="4:36" x14ac:dyDescent="0.2">
      <c r="D47">
        <f>[13]Quantity_shares!BB273</f>
        <v>1999</v>
      </c>
      <c r="E47" t="str">
        <f>[13]Quantity_shares!BC273</f>
        <v>335</v>
      </c>
      <c r="F47" s="26">
        <f>[13]Quantity_shares!BD273</f>
        <v>0.68328960404666017</v>
      </c>
      <c r="G47" s="26">
        <f>[13]Quantity_shares!BE273</f>
        <v>2.3587676804891045E-2</v>
      </c>
      <c r="H47" s="26">
        <f>[13]Quantity_shares!BF273</f>
        <v>1.0256052813693324E-2</v>
      </c>
      <c r="I47" s="26">
        <f>[13]Quantity_shares!BG273</f>
        <v>0.2828666663347556</v>
      </c>
      <c r="O47" t="s">
        <v>44</v>
      </c>
      <c r="Q47" s="26">
        <f t="shared" si="8"/>
        <v>5.5632550149588594E-2</v>
      </c>
      <c r="R47" s="26">
        <f t="shared" si="8"/>
        <v>3.8388412442613234E-2</v>
      </c>
      <c r="S47" s="26">
        <f t="shared" si="8"/>
        <v>0.81141487529642586</v>
      </c>
      <c r="T47" s="26">
        <f t="shared" si="8"/>
        <v>1.7572327750237263E-2</v>
      </c>
      <c r="U47" s="26">
        <f t="shared" si="8"/>
        <v>7.6991834361134909E-2</v>
      </c>
      <c r="V47" s="26">
        <v>0</v>
      </c>
      <c r="W47" s="26">
        <v>0</v>
      </c>
      <c r="X47" s="26">
        <f t="shared" si="9"/>
        <v>0.99999999999999989</v>
      </c>
      <c r="Y47" s="26"/>
      <c r="AA47" s="4">
        <f>'[33]Predicted Residual Prices'!AP47</f>
        <v>3.2723101192693478</v>
      </c>
      <c r="AB47" s="4">
        <f>'[34]Predicted Distillate Prices'!AP47</f>
        <v>4.6794786956520742</v>
      </c>
      <c r="AC47" s="4">
        <f>'[35]Predicted Gas Prices'!AQ47</f>
        <v>3.8266214902121751</v>
      </c>
      <c r="AD47" s="4">
        <f>'[36]Predicted LPG Prices'!AP47</f>
        <v>7.285927888518378</v>
      </c>
      <c r="AE47" s="4">
        <f>'[37]Predicted Coal Prices'!AP47</f>
        <v>1.846870397171233</v>
      </c>
      <c r="AF47" s="4">
        <v>0</v>
      </c>
      <c r="AG47" s="4">
        <v>0</v>
      </c>
      <c r="AH47" s="4"/>
      <c r="AI47" s="17" t="str">
        <f t="shared" si="6"/>
        <v>335</v>
      </c>
      <c r="AJ47" s="115">
        <f t="shared" si="0"/>
        <v>3.7368869668146369</v>
      </c>
    </row>
    <row r="48" spans="4:36" x14ac:dyDescent="0.2">
      <c r="D48">
        <f>[13]Quantity_shares!BB274</f>
        <v>1999</v>
      </c>
      <c r="E48" t="str">
        <f>[13]Quantity_shares!BC274</f>
        <v>336</v>
      </c>
      <c r="F48" s="26">
        <f>[13]Quantity_shares!BD274</f>
        <v>0.73390596101863714</v>
      </c>
      <c r="G48" s="26">
        <f>[13]Quantity_shares!BE274</f>
        <v>6.0285958173282118E-2</v>
      </c>
      <c r="H48" s="26">
        <f>[13]Quantity_shares!BF274</f>
        <v>8.1057049366908523E-2</v>
      </c>
      <c r="I48" s="26">
        <f>[13]Quantity_shares!BG274</f>
        <v>0.12475103144117229</v>
      </c>
      <c r="O48" t="s">
        <v>46</v>
      </c>
      <c r="Q48" s="26">
        <f t="shared" si="8"/>
        <v>8.1838471966426657E-2</v>
      </c>
      <c r="R48" s="26">
        <f t="shared" si="8"/>
        <v>4.6120659094182795E-2</v>
      </c>
      <c r="S48" s="26">
        <f t="shared" si="8"/>
        <v>0.67395201413138273</v>
      </c>
      <c r="T48" s="26">
        <f t="shared" si="8"/>
        <v>1.2358463489527176E-2</v>
      </c>
      <c r="U48" s="26">
        <f t="shared" si="8"/>
        <v>0.18573039131848068</v>
      </c>
      <c r="V48" s="26">
        <v>0</v>
      </c>
      <c r="W48" s="26">
        <v>0</v>
      </c>
      <c r="X48" s="26">
        <f t="shared" si="9"/>
        <v>1</v>
      </c>
      <c r="Y48" s="26"/>
      <c r="AA48" s="4">
        <f>'[33]Predicted Residual Prices'!AP48</f>
        <v>3.6280270557347376</v>
      </c>
      <c r="AB48" s="4">
        <f>'[34]Predicted Distillate Prices'!AP48</f>
        <v>3.9093973524873276</v>
      </c>
      <c r="AC48" s="4">
        <f>'[35]Predicted Gas Prices'!AQ48</f>
        <v>3.8495900721401584</v>
      </c>
      <c r="AD48" s="4">
        <f>'[36]Predicted LPG Prices'!AP48</f>
        <v>6.6096090029437482</v>
      </c>
      <c r="AE48" s="4">
        <f>'[37]Predicted Coal Prices'!AP48</f>
        <v>2.1587669408085306</v>
      </c>
      <c r="AF48" s="4">
        <v>0</v>
      </c>
      <c r="AG48" s="4">
        <v>0</v>
      </c>
      <c r="AH48" s="4"/>
      <c r="AI48" s="17" t="str">
        <f t="shared" si="6"/>
        <v>336</v>
      </c>
      <c r="AJ48" s="115">
        <f t="shared" si="0"/>
        <v>3.5542883959756866</v>
      </c>
    </row>
    <row r="49" spans="4:36" x14ac:dyDescent="0.2">
      <c r="D49">
        <f>[13]Quantity_shares!BB275</f>
        <v>1999</v>
      </c>
      <c r="E49" t="str">
        <f>[13]Quantity_shares!BC275</f>
        <v>337</v>
      </c>
      <c r="F49" s="26">
        <f>[13]Quantity_shares!BD275</f>
        <v>0.49920288237732358</v>
      </c>
      <c r="G49" s="26">
        <f>[13]Quantity_shares!BE275</f>
        <v>2.3379459873098876E-2</v>
      </c>
      <c r="H49" s="26">
        <f>[13]Quantity_shares!BF275</f>
        <v>3.476229952491789E-2</v>
      </c>
      <c r="I49" s="26">
        <f>[13]Quantity_shares!BG275</f>
        <v>0.44265535822465962</v>
      </c>
      <c r="O49" t="s">
        <v>48</v>
      </c>
      <c r="Q49" s="26">
        <f t="shared" si="8"/>
        <v>3.753225710924691E-2</v>
      </c>
      <c r="R49" s="26">
        <f t="shared" si="8"/>
        <v>9.1567979568623781E-2</v>
      </c>
      <c r="S49" s="26">
        <f t="shared" si="8"/>
        <v>0.75423407734461234</v>
      </c>
      <c r="T49" s="26">
        <f t="shared" si="8"/>
        <v>3.1704236562715163E-2</v>
      </c>
      <c r="U49" s="26">
        <f t="shared" si="8"/>
        <v>8.4961449414801979E-2</v>
      </c>
      <c r="V49" s="26">
        <v>0</v>
      </c>
      <c r="W49" s="26">
        <v>0</v>
      </c>
      <c r="X49" s="26">
        <f t="shared" si="9"/>
        <v>1</v>
      </c>
      <c r="Y49" s="26"/>
      <c r="AA49" s="4">
        <f>'[33]Predicted Residual Prices'!AP49</f>
        <v>2.7202525554473702</v>
      </c>
      <c r="AB49" s="4">
        <f>'[34]Predicted Distillate Prices'!AP49</f>
        <v>5.041889061802185</v>
      </c>
      <c r="AC49" s="4">
        <f>'[35]Predicted Gas Prices'!AQ49</f>
        <v>4.128429710416019</v>
      </c>
      <c r="AD49" s="4">
        <f>'[36]Predicted LPG Prices'!AP49</f>
        <v>7.1347977991801468</v>
      </c>
      <c r="AE49" s="4">
        <f>'[37]Predicted Coal Prices'!AP49</f>
        <v>2.3571402508220261</v>
      </c>
      <c r="AF49" s="4">
        <v>0</v>
      </c>
      <c r="AG49" s="4">
        <v>0</v>
      </c>
      <c r="AH49" s="4"/>
      <c r="AI49" s="17" t="str">
        <f t="shared" si="6"/>
        <v>337</v>
      </c>
      <c r="AJ49" s="115">
        <f t="shared" si="0"/>
        <v>4.1040445558653742</v>
      </c>
    </row>
    <row r="50" spans="4:36" x14ac:dyDescent="0.2">
      <c r="D50">
        <f>[13]Quantity_shares!BB276</f>
        <v>1999</v>
      </c>
      <c r="E50" t="str">
        <f>[13]Quantity_shares!BC276</f>
        <v>339</v>
      </c>
      <c r="F50" s="26">
        <f>[13]Quantity_shares!BD276</f>
        <v>0.84398388025331028</v>
      </c>
      <c r="G50" s="26">
        <f>[13]Quantity_shares!BE276</f>
        <v>5.3576568796776046E-2</v>
      </c>
      <c r="H50" s="26">
        <f>[13]Quantity_shares!BF276</f>
        <v>3.8860103626943698E-3</v>
      </c>
      <c r="I50" s="26">
        <f>[13]Quantity_shares!BG276</f>
        <v>9.8553540587219338E-2</v>
      </c>
      <c r="O50" t="s">
        <v>50</v>
      </c>
      <c r="Q50" s="26">
        <f t="shared" si="8"/>
        <v>0.11982931985566694</v>
      </c>
      <c r="R50" s="26">
        <f t="shared" si="8"/>
        <v>4.3046352702262522E-2</v>
      </c>
      <c r="S50" s="26">
        <f t="shared" si="8"/>
        <v>0.63937766608045221</v>
      </c>
      <c r="T50" s="26">
        <f t="shared" si="8"/>
        <v>8.7486720481321483E-3</v>
      </c>
      <c r="U50" s="26">
        <f t="shared" si="8"/>
        <v>0.18899798931348627</v>
      </c>
      <c r="V50" s="26">
        <v>0</v>
      </c>
      <c r="W50" s="26">
        <v>0</v>
      </c>
      <c r="X50" s="26">
        <f t="shared" si="9"/>
        <v>1</v>
      </c>
      <c r="Y50" s="26"/>
      <c r="AA50" s="4">
        <f>'[33]Predicted Residual Prices'!AP50</f>
        <v>2.642224427972609</v>
      </c>
      <c r="AB50" s="4">
        <f>'[34]Predicted Distillate Prices'!AP50</f>
        <v>4.8489434518158179</v>
      </c>
      <c r="AC50" s="4">
        <f>'[35]Predicted Gas Prices'!AQ50</f>
        <v>3.2238733478376975</v>
      </c>
      <c r="AD50" s="4">
        <f>'[36]Predicted LPG Prices'!AP50</f>
        <v>9.2599486380028857</v>
      </c>
      <c r="AE50" s="4">
        <f>'[37]Predicted Coal Prices'!AP50</f>
        <v>2.126762717403798</v>
      </c>
      <c r="AF50" s="4">
        <v>0</v>
      </c>
      <c r="AG50" s="4">
        <v>0</v>
      </c>
      <c r="AH50" s="4"/>
      <c r="AI50" s="17" t="str">
        <f t="shared" si="6"/>
        <v>339</v>
      </c>
      <c r="AJ50" s="115">
        <f t="shared" si="0"/>
        <v>3.0695840342022569</v>
      </c>
    </row>
    <row r="51" spans="4:36" x14ac:dyDescent="0.2">
      <c r="D51">
        <f>[13]Quantity_shares!BB277</f>
        <v>2000</v>
      </c>
      <c r="E51" t="str">
        <f>[13]Quantity_shares!BC277</f>
        <v>311</v>
      </c>
      <c r="F51" s="26">
        <f>[13]Quantity_shares!BD277</f>
        <v>0.666249018697047</v>
      </c>
      <c r="G51" s="26">
        <f>[13]Quantity_shares!BE277</f>
        <v>3.6109232261166482E-2</v>
      </c>
      <c r="H51" s="26">
        <f>[13]Quantity_shares!BF277</f>
        <v>0.18145480030315131</v>
      </c>
      <c r="I51" s="26">
        <f>[13]Quantity_shares!BG277</f>
        <v>0.11618694873863522</v>
      </c>
      <c r="O51" t="s">
        <v>10</v>
      </c>
      <c r="P51">
        <v>1987</v>
      </c>
      <c r="Q51" s="26">
        <f>0.333*Q9+0.667*Q72</f>
        <v>6.2532787903924747E-2</v>
      </c>
      <c r="R51" s="26">
        <f t="shared" ref="R51:U51" si="10">0.333*R9+0.667*R72</f>
        <v>4.4016085692150181E-2</v>
      </c>
      <c r="S51" s="26">
        <f t="shared" si="10"/>
        <v>0.69178838672864063</v>
      </c>
      <c r="T51" s="26">
        <f t="shared" si="10"/>
        <v>1.3585106353651861E-2</v>
      </c>
      <c r="U51" s="26">
        <f t="shared" si="10"/>
        <v>0.18807763332163266</v>
      </c>
      <c r="V51" s="26">
        <v>0</v>
      </c>
      <c r="W51" s="26">
        <v>0</v>
      </c>
      <c r="X51" s="26">
        <f t="shared" si="9"/>
        <v>1</v>
      </c>
      <c r="Y51" s="26"/>
      <c r="Z51">
        <v>1987</v>
      </c>
      <c r="AA51" s="4">
        <f>'[33]Predicted Residual Prices'!AP51</f>
        <v>2.7019797668074661</v>
      </c>
      <c r="AB51" s="4">
        <f>'[34]Predicted Distillate Prices'!AP51</f>
        <v>4.9956155561381284</v>
      </c>
      <c r="AC51" s="4">
        <f>'[35]Predicted Gas Prices'!AQ51</f>
        <v>3.0143601584015993</v>
      </c>
      <c r="AD51" s="4">
        <f>'[36]Predicted LPG Prices'!AP51</f>
        <v>6.6839457851182154</v>
      </c>
      <c r="AE51" s="4">
        <f>'[37]Predicted Coal Prices'!AP51</f>
        <v>1.576187740176167</v>
      </c>
      <c r="AF51" s="4">
        <v>0</v>
      </c>
      <c r="AG51" s="4">
        <v>0</v>
      </c>
      <c r="AH51" s="4"/>
      <c r="AI51" s="17" t="str">
        <f t="shared" si="6"/>
        <v>311</v>
      </c>
      <c r="AJ51" s="115">
        <f t="shared" si="0"/>
        <v>2.8613968952779936</v>
      </c>
    </row>
    <row r="52" spans="4:36" x14ac:dyDescent="0.2">
      <c r="D52">
        <f>[13]Quantity_shares!BB278</f>
        <v>2000</v>
      </c>
      <c r="E52" t="str">
        <f>[13]Quantity_shares!BC278</f>
        <v>312</v>
      </c>
      <c r="F52" s="26">
        <f>[13]Quantity_shares!BD278</f>
        <v>0.56595613222119245</v>
      </c>
      <c r="G52" s="26">
        <f>[13]Quantity_shares!BE278</f>
        <v>4.9737411183194316E-2</v>
      </c>
      <c r="H52" s="26">
        <f>[13]Quantity_shares!BF278</f>
        <v>0.28367315415508187</v>
      </c>
      <c r="I52" s="26">
        <f>[13]Quantity_shares!BG278</f>
        <v>0.10063330244053136</v>
      </c>
      <c r="O52" t="s">
        <v>12</v>
      </c>
      <c r="Q52" s="26">
        <f t="shared" ref="Q52:V71" si="11">0.333*Q10+0.667*Q73</f>
        <v>0.10220910148616326</v>
      </c>
      <c r="R52" s="26">
        <f t="shared" si="11"/>
        <v>1.6858272199164279E-2</v>
      </c>
      <c r="S52" s="26">
        <f t="shared" si="11"/>
        <v>0.40323392740248842</v>
      </c>
      <c r="T52" s="26">
        <f t="shared" si="11"/>
        <v>2.3075859400989514E-3</v>
      </c>
      <c r="U52" s="26">
        <f t="shared" si="11"/>
        <v>0.47539111297208514</v>
      </c>
      <c r="V52" s="26">
        <v>0</v>
      </c>
      <c r="W52" s="26">
        <v>0</v>
      </c>
      <c r="X52" s="26">
        <f t="shared" si="9"/>
        <v>1</v>
      </c>
      <c r="Y52" s="26"/>
      <c r="AA52" s="4">
        <f>'[33]Predicted Residual Prices'!AP52</f>
        <v>2.7125905022476129</v>
      </c>
      <c r="AB52" s="4">
        <f>'[34]Predicted Distillate Prices'!AP52</f>
        <v>4.1676000000000002</v>
      </c>
      <c r="AC52" s="4">
        <f>'[35]Predicted Gas Prices'!AQ52</f>
        <v>3.5202599999999995</v>
      </c>
      <c r="AD52" s="4">
        <f>'[36]Predicted LPG Prices'!AP52</f>
        <v>7.3576758913767515</v>
      </c>
      <c r="AE52" s="4">
        <f>'[37]Predicted Coal Prices'!AP52</f>
        <v>2.0872946644535082</v>
      </c>
      <c r="AF52" s="4">
        <v>0</v>
      </c>
      <c r="AG52" s="4">
        <v>0</v>
      </c>
      <c r="AH52" s="4"/>
      <c r="AI52" s="17" t="str">
        <f t="shared" si="6"/>
        <v>312</v>
      </c>
      <c r="AJ52" s="115">
        <f t="shared" si="0"/>
        <v>2.7762580415037439</v>
      </c>
    </row>
    <row r="53" spans="4:36" x14ac:dyDescent="0.2">
      <c r="D53">
        <f>[13]Quantity_shares!BB279</f>
        <v>2000</v>
      </c>
      <c r="E53" t="str">
        <f>[13]Quantity_shares!BC279</f>
        <v>313</v>
      </c>
      <c r="F53" s="26">
        <f>[13]Quantity_shares!BD279</f>
        <v>0.64752567693744167</v>
      </c>
      <c r="G53" s="26">
        <f>[13]Quantity_shares!BE279</f>
        <v>7.7497665732959853E-2</v>
      </c>
      <c r="H53" s="26">
        <f>[13]Quantity_shares!BF279</f>
        <v>0.15779645191409897</v>
      </c>
      <c r="I53" s="26">
        <f>[13]Quantity_shares!BG279</f>
        <v>0.11718020541549953</v>
      </c>
      <c r="O53" t="s">
        <v>14</v>
      </c>
      <c r="Q53" s="26">
        <f t="shared" si="11"/>
        <v>0.11834726591605635</v>
      </c>
      <c r="R53" s="26">
        <f t="shared" si="11"/>
        <v>3.9465146169513417E-2</v>
      </c>
      <c r="S53" s="26">
        <f t="shared" si="11"/>
        <v>0.58701177350393341</v>
      </c>
      <c r="T53" s="26">
        <f t="shared" si="11"/>
        <v>1.5565964512729683E-2</v>
      </c>
      <c r="U53" s="26">
        <f t="shared" si="11"/>
        <v>0.23960984989776724</v>
      </c>
      <c r="V53" s="26">
        <v>0</v>
      </c>
      <c r="W53" s="26">
        <v>0</v>
      </c>
      <c r="X53" s="26">
        <f t="shared" si="9"/>
        <v>1</v>
      </c>
      <c r="Y53" s="26"/>
      <c r="AA53" s="4">
        <f>'[33]Predicted Residual Prices'!AP53</f>
        <v>3.3100544871107251</v>
      </c>
      <c r="AB53" s="4">
        <f>'[34]Predicted Distillate Prices'!AP53</f>
        <v>4.3527169933606444</v>
      </c>
      <c r="AC53" s="4">
        <f>'[35]Predicted Gas Prices'!AQ53</f>
        <v>3.3832757364701025</v>
      </c>
      <c r="AD53" s="4">
        <f>'[36]Predicted LPG Prices'!AP53</f>
        <v>5.1474887468197776</v>
      </c>
      <c r="AE53" s="4">
        <f>'[37]Predicted Coal Prices'!AP53</f>
        <v>2.0022844977862402</v>
      </c>
      <c r="AF53" s="4">
        <v>0</v>
      </c>
      <c r="AG53" s="4">
        <v>0</v>
      </c>
      <c r="AH53" s="4"/>
      <c r="AI53" s="17" t="str">
        <f t="shared" si="6"/>
        <v>313</v>
      </c>
      <c r="AJ53" s="115">
        <f t="shared" si="0"/>
        <v>3.1094319164082322</v>
      </c>
    </row>
    <row r="54" spans="4:36" x14ac:dyDescent="0.2">
      <c r="D54">
        <f>[13]Quantity_shares!BB280</f>
        <v>2000</v>
      </c>
      <c r="E54" t="str">
        <f>[13]Quantity_shares!BC280</f>
        <v>314</v>
      </c>
      <c r="F54" s="26">
        <f>[13]Quantity_shares!BD280</f>
        <v>0.75784374595702886</v>
      </c>
      <c r="G54" s="26">
        <f>[13]Quantity_shares!BE280</f>
        <v>3.4593750577567299E-2</v>
      </c>
      <c r="H54" s="26">
        <f>[13]Quantity_shares!BF280</f>
        <v>0.18837597207260698</v>
      </c>
      <c r="I54" s="26">
        <f>[13]Quantity_shares!BG280</f>
        <v>1.9186531392796802E-2</v>
      </c>
      <c r="O54" t="s">
        <v>16</v>
      </c>
      <c r="Q54" s="26">
        <f t="shared" si="11"/>
        <v>0.11834726591605635</v>
      </c>
      <c r="R54" s="26">
        <f t="shared" si="11"/>
        <v>3.9465146169513417E-2</v>
      </c>
      <c r="S54" s="26">
        <f t="shared" si="11"/>
        <v>0.58701177350393341</v>
      </c>
      <c r="T54" s="26">
        <f t="shared" si="11"/>
        <v>1.5565964512729683E-2</v>
      </c>
      <c r="U54" s="26">
        <f t="shared" si="11"/>
        <v>0.23960984989776724</v>
      </c>
      <c r="V54" s="26">
        <v>0</v>
      </c>
      <c r="W54" s="26">
        <v>0</v>
      </c>
      <c r="X54" s="26">
        <f t="shared" si="9"/>
        <v>1</v>
      </c>
      <c r="Y54" s="26"/>
      <c r="AA54" s="4">
        <f>'[33]Predicted Residual Prices'!AP54</f>
        <v>3.3870289726850631</v>
      </c>
      <c r="AB54" s="4">
        <f>'[34]Predicted Distillate Prices'!AP54</f>
        <v>3.933046697921724</v>
      </c>
      <c r="AC54" s="4">
        <f>'[35]Predicted Gas Prices'!AQ54</f>
        <v>3.3835174619952362</v>
      </c>
      <c r="AD54" s="4">
        <f>'[36]Predicted LPG Prices'!AP54</f>
        <v>5.1482918103144479</v>
      </c>
      <c r="AE54" s="4">
        <f>'[37]Predicted Coal Prices'!AP54</f>
        <v>2.0336899002079289</v>
      </c>
      <c r="AF54" s="4">
        <v>0</v>
      </c>
      <c r="AG54" s="4">
        <v>0</v>
      </c>
      <c r="AH54" s="4"/>
      <c r="AI54" s="17" t="str">
        <f t="shared" si="6"/>
        <v>314</v>
      </c>
      <c r="AJ54" s="115">
        <f t="shared" si="0"/>
        <v>3.1096587267160594</v>
      </c>
    </row>
    <row r="55" spans="4:36" x14ac:dyDescent="0.2">
      <c r="D55">
        <f>[13]Quantity_shares!BB281</f>
        <v>2000</v>
      </c>
      <c r="E55" t="str">
        <f>[13]Quantity_shares!BC281</f>
        <v>315</v>
      </c>
      <c r="F55" s="26">
        <f>[13]Quantity_shares!BD281</f>
        <v>0.79180743243243223</v>
      </c>
      <c r="G55" s="26">
        <f>[13]Quantity_shares!BE281</f>
        <v>8.7415540540540515E-2</v>
      </c>
      <c r="H55" s="26">
        <f>[13]Quantity_shares!BF281</f>
        <v>1.5625000000000271E-2</v>
      </c>
      <c r="I55" s="26">
        <f>[13]Quantity_shares!BG281</f>
        <v>0.10515202702702701</v>
      </c>
      <c r="O55" t="s">
        <v>18</v>
      </c>
      <c r="Q55" s="26">
        <f t="shared" si="11"/>
        <v>6.5110761631107697E-2</v>
      </c>
      <c r="R55" s="26">
        <f t="shared" si="11"/>
        <v>9.60477378757017E-2</v>
      </c>
      <c r="S55" s="26">
        <f t="shared" si="11"/>
        <v>0.71872801117181107</v>
      </c>
      <c r="T55" s="26">
        <f t="shared" si="11"/>
        <v>2.4363752020132894E-2</v>
      </c>
      <c r="U55" s="26">
        <f t="shared" si="11"/>
        <v>9.5749737301246682E-2</v>
      </c>
      <c r="V55" s="26">
        <v>0</v>
      </c>
      <c r="W55" s="26">
        <v>0</v>
      </c>
      <c r="X55" s="26">
        <f t="shared" si="9"/>
        <v>1</v>
      </c>
      <c r="Y55" s="26"/>
      <c r="AA55" s="4">
        <f>'[33]Predicted Residual Prices'!AP55</f>
        <v>3.6848052521026315</v>
      </c>
      <c r="AB55" s="4">
        <f>'[34]Predicted Distillate Prices'!AP55</f>
        <v>4.4777266639019606</v>
      </c>
      <c r="AC55" s="4">
        <f>'[35]Predicted Gas Prices'!AQ55</f>
        <v>4.0645410391098364</v>
      </c>
      <c r="AD55" s="4">
        <f>'[36]Predicted LPG Prices'!AP55</f>
        <v>7.003205276302582</v>
      </c>
      <c r="AE55" s="4">
        <f>'[37]Predicted Coal Prices'!AP55</f>
        <v>2.3161624233053786</v>
      </c>
      <c r="AF55" s="4">
        <v>0</v>
      </c>
      <c r="AG55" s="4">
        <v>0</v>
      </c>
      <c r="AH55" s="4"/>
      <c r="AI55" s="17" t="str">
        <f t="shared" si="6"/>
        <v>315</v>
      </c>
      <c r="AJ55" s="115">
        <f t="shared" si="0"/>
        <v>3.9836917909622547</v>
      </c>
    </row>
    <row r="56" spans="4:36" x14ac:dyDescent="0.2">
      <c r="D56">
        <f>[13]Quantity_shares!BB282</f>
        <v>2000</v>
      </c>
      <c r="E56" t="str">
        <f>[13]Quantity_shares!BC282</f>
        <v>316</v>
      </c>
      <c r="F56" s="26">
        <f>[13]Quantity_shares!BD282</f>
        <v>0.81666666666666499</v>
      </c>
      <c r="G56" s="26">
        <f>[13]Quantity_shares!BE282</f>
        <v>9.166666666666648E-2</v>
      </c>
      <c r="H56" s="26">
        <f>[13]Quantity_shares!BF282</f>
        <v>2.0416666666666624E-15</v>
      </c>
      <c r="I56" s="26">
        <f>[13]Quantity_shares!BG282</f>
        <v>9.166666666666648E-2</v>
      </c>
      <c r="O56" t="s">
        <v>20</v>
      </c>
      <c r="Q56" s="26">
        <f t="shared" si="11"/>
        <v>0.30123399525863115</v>
      </c>
      <c r="R56" s="26">
        <f t="shared" si="11"/>
        <v>0.10479496227806942</v>
      </c>
      <c r="S56" s="26">
        <f t="shared" si="11"/>
        <v>0.47333650831085927</v>
      </c>
      <c r="T56" s="26">
        <f t="shared" si="11"/>
        <v>1.1883513447904438E-2</v>
      </c>
      <c r="U56" s="26">
        <f t="shared" si="11"/>
        <v>0.10875102070453585</v>
      </c>
      <c r="V56" s="26">
        <v>0</v>
      </c>
      <c r="W56" s="26">
        <v>0</v>
      </c>
      <c r="X56" s="26">
        <f t="shared" si="9"/>
        <v>1</v>
      </c>
      <c r="Y56" s="26"/>
      <c r="AA56" s="4">
        <f>'[33]Predicted Residual Prices'!AP56</f>
        <v>3.0595836730077388</v>
      </c>
      <c r="AB56" s="4">
        <f>'[34]Predicted Distillate Prices'!AP56</f>
        <v>4.9047411787852786</v>
      </c>
      <c r="AC56" s="4">
        <f>'[35]Predicted Gas Prices'!AQ56</f>
        <v>3.4895064933237521</v>
      </c>
      <c r="AD56" s="4">
        <f>'[36]Predicted LPG Prices'!AP56</f>
        <v>7.4204451578021224</v>
      </c>
      <c r="AE56" s="4">
        <f>'[37]Predicted Coal Prices'!AP56</f>
        <v>1.9034348197262045</v>
      </c>
      <c r="AF56" s="4">
        <v>0</v>
      </c>
      <c r="AG56" s="4">
        <v>0</v>
      </c>
      <c r="AH56" s="4"/>
      <c r="AI56" s="17" t="str">
        <f t="shared" si="6"/>
        <v>316</v>
      </c>
      <c r="AJ56" s="115">
        <f t="shared" si="0"/>
        <v>3.3825350390525886</v>
      </c>
    </row>
    <row r="57" spans="4:36" x14ac:dyDescent="0.2">
      <c r="D57">
        <f>[13]Quantity_shares!BB283</f>
        <v>2000</v>
      </c>
      <c r="E57" t="str">
        <f>[13]Quantity_shares!BC283</f>
        <v>321</v>
      </c>
      <c r="F57" s="26">
        <f>[13]Quantity_shares!BD283</f>
        <v>0.17777500227086929</v>
      </c>
      <c r="G57" s="26">
        <f>[13]Quantity_shares!BE283</f>
        <v>3.4206861053077783E-2</v>
      </c>
      <c r="H57" s="26">
        <f>[13]Quantity_shares!BF283</f>
        <v>3.9437429981530265E-3</v>
      </c>
      <c r="I57" s="26">
        <f>[13]Quantity_shares!BG283</f>
        <v>0.78407439367789988</v>
      </c>
      <c r="O57" t="s">
        <v>22</v>
      </c>
      <c r="Q57" s="26">
        <f t="shared" si="11"/>
        <v>1.6982996245057461E-2</v>
      </c>
      <c r="R57" s="26">
        <f t="shared" si="11"/>
        <v>0.38219541899436615</v>
      </c>
      <c r="S57" s="26">
        <f t="shared" si="11"/>
        <v>0.53029175556313335</v>
      </c>
      <c r="T57" s="26">
        <f t="shared" si="11"/>
        <v>5.3546832952385756E-2</v>
      </c>
      <c r="U57" s="26">
        <f t="shared" si="11"/>
        <v>1.6982996245057461E-2</v>
      </c>
      <c r="V57" s="26">
        <v>0</v>
      </c>
      <c r="W57" s="26">
        <v>0</v>
      </c>
      <c r="X57" s="26">
        <f t="shared" si="9"/>
        <v>1.0000000000000002</v>
      </c>
      <c r="Y57" s="26"/>
      <c r="AA57" s="4">
        <f>'[33]Predicted Residual Prices'!AP57</f>
        <v>2.8874584483255537</v>
      </c>
      <c r="AB57" s="4">
        <f>'[34]Predicted Distillate Prices'!AP57</f>
        <v>4.5937696861876054</v>
      </c>
      <c r="AC57" s="4">
        <f>'[35]Predicted Gas Prices'!AQ57</f>
        <v>3.5253347328498839</v>
      </c>
      <c r="AD57" s="4">
        <f>'[36]Predicted LPG Prices'!AP57</f>
        <v>5.9430206449717957</v>
      </c>
      <c r="AE57" s="4">
        <f>'[37]Predicted Coal Prices'!AP57</f>
        <v>2.6398945541532131</v>
      </c>
      <c r="AF57" s="4">
        <v>0</v>
      </c>
      <c r="AG57" s="4">
        <v>0</v>
      </c>
      <c r="AH57" s="4"/>
      <c r="AI57" s="17" t="str">
        <f t="shared" si="6"/>
        <v>321</v>
      </c>
      <c r="AJ57" s="115">
        <f t="shared" si="0"/>
        <v>4.0372746234018333</v>
      </c>
    </row>
    <row r="58" spans="4:36" x14ac:dyDescent="0.2">
      <c r="D58">
        <f>[13]Quantity_shares!BB284</f>
        <v>2000</v>
      </c>
      <c r="E58" t="str">
        <f>[13]Quantity_shares!BC284</f>
        <v>322</v>
      </c>
      <c r="F58" s="26">
        <f>[13]Quantity_shares!BD284</f>
        <v>0.23484171446646906</v>
      </c>
      <c r="G58" s="26">
        <f>[13]Quantity_shares!BE284</f>
        <v>5.836231696245342E-2</v>
      </c>
      <c r="H58" s="26">
        <f>[13]Quantity_shares!BF284</f>
        <v>0.11001700738069531</v>
      </c>
      <c r="I58" s="26">
        <f>[13]Quantity_shares!BG284</f>
        <v>0.59677896119038221</v>
      </c>
      <c r="O58" t="s">
        <v>24</v>
      </c>
      <c r="Q58" s="26">
        <f t="shared" si="11"/>
        <v>0.18578758381501026</v>
      </c>
      <c r="R58" s="26">
        <f t="shared" si="11"/>
        <v>1.3250343814509817E-2</v>
      </c>
      <c r="S58" s="26">
        <f t="shared" si="11"/>
        <v>0.45786194580953921</v>
      </c>
      <c r="T58" s="26">
        <f t="shared" si="11"/>
        <v>5.0744760898858605E-3</v>
      </c>
      <c r="U58" s="26">
        <f t="shared" si="11"/>
        <v>0.33802565047105482</v>
      </c>
      <c r="V58" s="26">
        <v>0</v>
      </c>
      <c r="W58" s="26">
        <v>0</v>
      </c>
      <c r="X58" s="26">
        <f t="shared" si="9"/>
        <v>1</v>
      </c>
      <c r="Y58" s="26"/>
      <c r="AA58" s="4">
        <f>'[33]Predicted Residual Prices'!AP58</f>
        <v>2.7885069468446835</v>
      </c>
      <c r="AB58" s="4">
        <f>'[34]Predicted Distillate Prices'!AP58</f>
        <v>4.2026581547913251</v>
      </c>
      <c r="AC58" s="4">
        <f>'[35]Predicted Gas Prices'!AQ58</f>
        <v>2.6477538284196833</v>
      </c>
      <c r="AD58" s="4">
        <f>'[36]Predicted LPG Prices'!AP58</f>
        <v>6.3867124929107355</v>
      </c>
      <c r="AE58" s="4">
        <f>'[37]Predicted Coal Prices'!AP58</f>
        <v>1.8258296557792131</v>
      </c>
      <c r="AF58" s="4">
        <v>0</v>
      </c>
      <c r="AG58" s="4">
        <v>0</v>
      </c>
      <c r="AH58" s="4"/>
      <c r="AI58" s="17" t="str">
        <f t="shared" si="6"/>
        <v>322</v>
      </c>
      <c r="AJ58" s="115">
        <f t="shared" si="0"/>
        <v>2.4356488303787378</v>
      </c>
    </row>
    <row r="59" spans="4:36" x14ac:dyDescent="0.2">
      <c r="D59">
        <f>[13]Quantity_shares!BB285</f>
        <v>2000</v>
      </c>
      <c r="E59" t="str">
        <f>[13]Quantity_shares!BC285</f>
        <v>323</v>
      </c>
      <c r="F59" s="26">
        <f>[13]Quantity_shares!BD285</f>
        <v>0.93398401309977797</v>
      </c>
      <c r="G59" s="26">
        <f>[13]Quantity_shares!BE285</f>
        <v>1.1408441600413675E-2</v>
      </c>
      <c r="H59" s="26">
        <f>[13]Quantity_shares!BF285</f>
        <v>2.6178010471205218E-3</v>
      </c>
      <c r="I59" s="26">
        <f>[13]Quantity_shares!BG285</f>
        <v>5.198974425268782E-2</v>
      </c>
      <c r="O59" t="s">
        <v>26</v>
      </c>
      <c r="Q59" s="26">
        <f t="shared" si="11"/>
        <v>1.3653001436226516E-2</v>
      </c>
      <c r="R59" s="26">
        <f t="shared" si="11"/>
        <v>4.2052119524485281E-2</v>
      </c>
      <c r="S59" s="26">
        <f t="shared" si="11"/>
        <v>0.9086716947386474</v>
      </c>
      <c r="T59" s="26">
        <f t="shared" si="11"/>
        <v>2.8229686338807215E-2</v>
      </c>
      <c r="U59" s="26">
        <f t="shared" si="11"/>
        <v>7.393497961833694E-3</v>
      </c>
      <c r="V59" s="26">
        <v>0</v>
      </c>
      <c r="W59" s="26">
        <v>0</v>
      </c>
      <c r="X59" s="26">
        <f t="shared" si="9"/>
        <v>1</v>
      </c>
      <c r="Y59" s="26"/>
      <c r="AA59" s="4">
        <f>'[33]Predicted Residual Prices'!AP59</f>
        <v>3.0831072873789154</v>
      </c>
      <c r="AB59" s="4">
        <f>'[34]Predicted Distillate Prices'!AP59</f>
        <v>4.7001953791383135</v>
      </c>
      <c r="AC59" s="4">
        <f>'[35]Predicted Gas Prices'!AQ59</f>
        <v>3.9339525591321567</v>
      </c>
      <c r="AD59" s="4">
        <f>'[36]Predicted LPG Prices'!AP59</f>
        <v>7.9813241516290656</v>
      </c>
      <c r="AE59" s="4">
        <f>'[37]Predicted Coal Prices'!AP59</f>
        <v>1.9050540689406097</v>
      </c>
      <c r="AF59" s="4">
        <v>0</v>
      </c>
      <c r="AG59" s="4">
        <v>0</v>
      </c>
      <c r="AH59" s="4"/>
      <c r="AI59" s="17" t="str">
        <f t="shared" si="6"/>
        <v>323</v>
      </c>
      <c r="AJ59" s="115">
        <f t="shared" si="0"/>
        <v>4.0538134757673694</v>
      </c>
    </row>
    <row r="60" spans="4:36" x14ac:dyDescent="0.2">
      <c r="D60">
        <f>[13]Quantity_shares!BB286</f>
        <v>2000</v>
      </c>
      <c r="E60" t="str">
        <f>[13]Quantity_shares!BC286</f>
        <v>324</v>
      </c>
      <c r="F60" s="26">
        <f>[13]Quantity_shares!BD286</f>
        <v>0.28621152108956988</v>
      </c>
      <c r="G60" s="26">
        <f>[13]Quantity_shares!BE286</f>
        <v>2.0911680911680913E-2</v>
      </c>
      <c r="H60" s="26">
        <f>[13]Quantity_shares!BF286</f>
        <v>3.8232228476130915E-3</v>
      </c>
      <c r="I60" s="26">
        <f>[13]Quantity_shares!BG286</f>
        <v>0.68905357515113619</v>
      </c>
      <c r="O60" t="s">
        <v>28</v>
      </c>
      <c r="Q60" s="26">
        <f t="shared" si="11"/>
        <v>3.6798040123648297E-2</v>
      </c>
      <c r="R60" s="26">
        <f t="shared" si="11"/>
        <v>2.3922855227479351E-2</v>
      </c>
      <c r="S60" s="26">
        <f t="shared" si="11"/>
        <v>0.92080251941137115</v>
      </c>
      <c r="T60" s="26">
        <f t="shared" si="11"/>
        <v>9.7412221736694928E-3</v>
      </c>
      <c r="U60" s="26">
        <f t="shared" si="11"/>
        <v>8.7353630638318507E-3</v>
      </c>
      <c r="V60" s="26">
        <v>0</v>
      </c>
      <c r="W60" s="26">
        <v>0</v>
      </c>
      <c r="X60" s="26">
        <f t="shared" si="9"/>
        <v>1.0000000000000002</v>
      </c>
      <c r="Y60" s="26"/>
      <c r="AA60" s="4">
        <f>'[33]Predicted Residual Prices'!AP60</f>
        <v>2.9409244042314437</v>
      </c>
      <c r="AB60" s="4">
        <f>'[34]Predicted Distillate Prices'!AP60</f>
        <v>4.377890700786816</v>
      </c>
      <c r="AC60" s="4">
        <f>'[35]Predicted Gas Prices'!AQ60</f>
        <v>2.1922748305783166</v>
      </c>
      <c r="AD60" s="4">
        <f>'[36]Predicted LPG Prices'!AP60</f>
        <v>4.1399757524070289</v>
      </c>
      <c r="AE60" s="4">
        <f>'[37]Predicted Coal Prices'!AP60</f>
        <v>1.9095762116211838</v>
      </c>
      <c r="AF60" s="4">
        <v>0</v>
      </c>
      <c r="AG60" s="4">
        <v>0</v>
      </c>
      <c r="AH60" s="4"/>
      <c r="AI60" s="17" t="str">
        <f t="shared" si="6"/>
        <v>324</v>
      </c>
      <c r="AJ60" s="115">
        <f t="shared" si="0"/>
        <v>2.2886133520071961</v>
      </c>
    </row>
    <row r="61" spans="4:36" x14ac:dyDescent="0.2">
      <c r="D61">
        <f>[13]Quantity_shares!BB287</f>
        <v>2000</v>
      </c>
      <c r="E61" t="str">
        <f>[13]Quantity_shares!BC287</f>
        <v>325</v>
      </c>
      <c r="F61" s="26">
        <f>[13]Quantity_shares!BD287</f>
        <v>0.60960477068624996</v>
      </c>
      <c r="G61" s="26">
        <f>[13]Quantity_shares!BE287</f>
        <v>1.7458016433333695E-2</v>
      </c>
      <c r="H61" s="26">
        <f>[13]Quantity_shares!BF287</f>
        <v>9.8662527416169266E-2</v>
      </c>
      <c r="I61" s="26">
        <f>[13]Quantity_shares!BG287</f>
        <v>0.2742746854642471</v>
      </c>
      <c r="O61" t="s">
        <v>30</v>
      </c>
      <c r="Q61" s="26">
        <f t="shared" si="11"/>
        <v>4.9717747875661147E-2</v>
      </c>
      <c r="R61" s="26">
        <f t="shared" si="11"/>
        <v>8.5261547981960728E-3</v>
      </c>
      <c r="S61" s="26">
        <f t="shared" si="11"/>
        <v>0.7741104109501743</v>
      </c>
      <c r="T61" s="26">
        <f t="shared" si="11"/>
        <v>3.0638060675832251E-3</v>
      </c>
      <c r="U61" s="26">
        <f t="shared" si="11"/>
        <v>0.16458188030838536</v>
      </c>
      <c r="V61" s="26">
        <v>0</v>
      </c>
      <c r="W61" s="26">
        <v>0</v>
      </c>
      <c r="X61" s="26">
        <f t="shared" si="9"/>
        <v>1.0000000000000002</v>
      </c>
      <c r="Y61" s="26"/>
      <c r="AA61" s="4">
        <f>'[33]Predicted Residual Prices'!AP61</f>
        <v>2.6318199362179096</v>
      </c>
      <c r="AB61" s="4">
        <f>'[34]Predicted Distillate Prices'!AP61</f>
        <v>4.288652061823357</v>
      </c>
      <c r="AC61" s="4">
        <f>'[35]Predicted Gas Prices'!AQ61</f>
        <v>2.0381751780983155</v>
      </c>
      <c r="AD61" s="4">
        <f>'[36]Predicted LPG Prices'!AP61</f>
        <v>5.1032366163727652</v>
      </c>
      <c r="AE61" s="4">
        <f>'[37]Predicted Coal Prices'!AP61</f>
        <v>1.687194113089306</v>
      </c>
      <c r="AF61" s="4">
        <v>0</v>
      </c>
      <c r="AG61" s="4">
        <v>0</v>
      </c>
      <c r="AH61" s="4"/>
      <c r="AI61" s="17" t="str">
        <f t="shared" si="6"/>
        <v>325</v>
      </c>
      <c r="AJ61" s="115">
        <f t="shared" si="0"/>
        <v>2.0385034029908935</v>
      </c>
    </row>
    <row r="62" spans="4:36" x14ac:dyDescent="0.2">
      <c r="D62">
        <f>[13]Quantity_shares!BB288</f>
        <v>2000</v>
      </c>
      <c r="E62" t="str">
        <f>[13]Quantity_shares!BC288</f>
        <v>326</v>
      </c>
      <c r="F62" s="26">
        <f>[13]Quantity_shares!BD288</f>
        <v>0.85664634701119091</v>
      </c>
      <c r="G62" s="26">
        <f>[13]Quantity_shares!BE288</f>
        <v>5.0373032481120919E-2</v>
      </c>
      <c r="H62" s="26">
        <f>[13]Quantity_shares!BF288</f>
        <v>3.2112637612592115E-2</v>
      </c>
      <c r="I62" s="26">
        <f>[13]Quantity_shares!BG288</f>
        <v>6.0867982895095984E-2</v>
      </c>
      <c r="O62" t="s">
        <v>32</v>
      </c>
      <c r="Q62" s="26">
        <f t="shared" si="11"/>
        <v>0.10121662010051594</v>
      </c>
      <c r="R62" s="26">
        <f t="shared" si="11"/>
        <v>3.3434957358697684E-2</v>
      </c>
      <c r="S62" s="26">
        <f t="shared" si="11"/>
        <v>0.79180709659975701</v>
      </c>
      <c r="T62" s="26">
        <f t="shared" si="11"/>
        <v>1.5406748822309999E-2</v>
      </c>
      <c r="U62" s="26">
        <f t="shared" si="11"/>
        <v>5.8134577118719291E-2</v>
      </c>
      <c r="V62" s="26">
        <v>0</v>
      </c>
      <c r="W62" s="26">
        <v>0</v>
      </c>
      <c r="X62" s="26">
        <f t="shared" si="9"/>
        <v>0.99999999999999989</v>
      </c>
      <c r="Y62" s="26"/>
      <c r="AA62" s="4">
        <f>'[33]Predicted Residual Prices'!AP62</f>
        <v>3.1778646981128564</v>
      </c>
      <c r="AB62" s="4">
        <f>'[34]Predicted Distillate Prices'!AP62</f>
        <v>6.6843190709630509</v>
      </c>
      <c r="AC62" s="4">
        <f>'[35]Predicted Gas Prices'!AQ62</f>
        <v>3.2007090887204428</v>
      </c>
      <c r="AD62" s="4">
        <f>'[36]Predicted LPG Prices'!AP62</f>
        <v>7.7155104494047571</v>
      </c>
      <c r="AE62" s="4">
        <f>'[37]Predicted Coal Prices'!AP62</f>
        <v>2.1513506569828849</v>
      </c>
      <c r="AF62" s="4">
        <v>0</v>
      </c>
      <c r="AG62" s="4">
        <v>0</v>
      </c>
      <c r="AH62" s="4"/>
      <c r="AI62" s="17" t="str">
        <f t="shared" si="6"/>
        <v>326</v>
      </c>
      <c r="AJ62" s="115">
        <f t="shared" si="0"/>
        <v>3.3234256097971628</v>
      </c>
    </row>
    <row r="63" spans="4:36" x14ac:dyDescent="0.2">
      <c r="D63">
        <f>[13]Quantity_shares!BB289</f>
        <v>2000</v>
      </c>
      <c r="E63" t="str">
        <f>[13]Quantity_shares!BC289</f>
        <v>327</v>
      </c>
      <c r="F63" s="26">
        <f>[13]Quantity_shares!BD289</f>
        <v>0.49378665748673345</v>
      </c>
      <c r="G63" s="26">
        <f>[13]Quantity_shares!BE289</f>
        <v>3.1086847797140795E-2</v>
      </c>
      <c r="H63" s="26">
        <f>[13]Quantity_shares!BF289</f>
        <v>0.34367851181158621</v>
      </c>
      <c r="I63" s="26">
        <f>[13]Quantity_shares!BG289</f>
        <v>0.13144798290453952</v>
      </c>
      <c r="O63" t="s">
        <v>34</v>
      </c>
      <c r="Q63" s="26">
        <f t="shared" si="11"/>
        <v>1.6153987990126063E-2</v>
      </c>
      <c r="R63" s="26">
        <f t="shared" si="11"/>
        <v>4.3659500389539932E-2</v>
      </c>
      <c r="S63" s="26">
        <f t="shared" si="11"/>
        <v>0.55665142248527955</v>
      </c>
      <c r="T63" s="26">
        <f t="shared" si="11"/>
        <v>5.021675756670986E-3</v>
      </c>
      <c r="U63" s="26">
        <f t="shared" si="11"/>
        <v>0.3785134133783834</v>
      </c>
      <c r="V63" s="26">
        <v>0</v>
      </c>
      <c r="W63" s="26">
        <v>0</v>
      </c>
      <c r="X63" s="26">
        <f t="shared" si="9"/>
        <v>1</v>
      </c>
      <c r="Y63" s="26"/>
      <c r="AA63" s="4">
        <f>'[33]Predicted Residual Prices'!AP63</f>
        <v>2.7411415216898778</v>
      </c>
      <c r="AB63" s="4">
        <f>'[34]Predicted Distillate Prices'!AP63</f>
        <v>4.6434820269218671</v>
      </c>
      <c r="AC63" s="4">
        <f>'[35]Predicted Gas Prices'!AQ63</f>
        <v>2.8671114676803784</v>
      </c>
      <c r="AD63" s="4">
        <f>'[36]Predicted LPG Prices'!AP63</f>
        <v>5.8480048259679389</v>
      </c>
      <c r="AE63" s="4">
        <f>'[37]Predicted Coal Prices'!AP63</f>
        <v>1.6244583404966702</v>
      </c>
      <c r="AF63" s="4">
        <v>0</v>
      </c>
      <c r="AG63" s="4">
        <v>0</v>
      </c>
      <c r="AH63" s="4"/>
      <c r="AI63" s="17" t="str">
        <f t="shared" si="6"/>
        <v>327</v>
      </c>
      <c r="AJ63" s="115">
        <f t="shared" si="0"/>
        <v>2.487240204903808</v>
      </c>
    </row>
    <row r="64" spans="4:36" x14ac:dyDescent="0.2">
      <c r="D64">
        <f>[13]Quantity_shares!BB290</f>
        <v>2000</v>
      </c>
      <c r="E64" t="str">
        <f>[13]Quantity_shares!BC290</f>
        <v>331</v>
      </c>
      <c r="F64" s="26">
        <f>[13]Quantity_shares!BD290</f>
        <v>0.41758930586617971</v>
      </c>
      <c r="G64" s="26">
        <f>[13]Quantity_shares!BE290</f>
        <v>1.3324258445947316E-2</v>
      </c>
      <c r="H64" s="26">
        <f>[13]Quantity_shares!BF290</f>
        <v>0.35485653317075028</v>
      </c>
      <c r="I64" s="26">
        <f>[13]Quantity_shares!BG290</f>
        <v>0.21422990251712271</v>
      </c>
      <c r="O64" t="s">
        <v>36</v>
      </c>
      <c r="Q64" s="26">
        <f t="shared" si="11"/>
        <v>3.4275390195827142E-2</v>
      </c>
      <c r="R64" s="26">
        <f t="shared" si="11"/>
        <v>1.1996912840248449E-2</v>
      </c>
      <c r="S64" s="26">
        <f t="shared" si="11"/>
        <v>0.62425910595222833</v>
      </c>
      <c r="T64" s="26">
        <f t="shared" si="11"/>
        <v>4.399808818573994E-3</v>
      </c>
      <c r="U64" s="26">
        <f t="shared" si="11"/>
        <v>5.749564318064708E-2</v>
      </c>
      <c r="V64" s="26">
        <f t="shared" si="11"/>
        <v>0.26757313901247498</v>
      </c>
      <c r="W64" s="26">
        <v>0</v>
      </c>
      <c r="X64" s="26">
        <f t="shared" si="9"/>
        <v>1</v>
      </c>
      <c r="Y64" s="26"/>
      <c r="AA64" s="4">
        <f>'[33]Predicted Residual Prices'!AP64</f>
        <v>2.5709718576130638</v>
      </c>
      <c r="AB64" s="4">
        <f>'[34]Predicted Distillate Prices'!AP64</f>
        <v>4.1023472299181423</v>
      </c>
      <c r="AC64" s="4">
        <f>'[35]Predicted Gas Prices'!AQ64</f>
        <v>2.9164159031669827</v>
      </c>
      <c r="AD64" s="4">
        <f>'[36]Predicted LPG Prices'!AP64</f>
        <v>5.5196715427695588</v>
      </c>
      <c r="AE64" s="4">
        <f>'[37]Predicted Coal Prices'!AP64</f>
        <v>1.9527253042905808</v>
      </c>
      <c r="AF64" s="36">
        <f>3*AE64</f>
        <v>5.8581759128717419</v>
      </c>
      <c r="AG64" s="4">
        <v>0</v>
      </c>
      <c r="AH64" s="4"/>
      <c r="AI64" s="17" t="str">
        <f t="shared" si="6"/>
        <v>331</v>
      </c>
      <c r="AJ64" s="115">
        <f t="shared" si="0"/>
        <v>3.6619849648050065</v>
      </c>
    </row>
    <row r="65" spans="4:36" x14ac:dyDescent="0.2">
      <c r="D65">
        <f>[13]Quantity_shares!BB291</f>
        <v>2000</v>
      </c>
      <c r="E65" t="str">
        <f>[13]Quantity_shares!BC291</f>
        <v>332</v>
      </c>
      <c r="F65" s="26">
        <f>[13]Quantity_shares!BD291</f>
        <v>0.90905522093270008</v>
      </c>
      <c r="G65" s="26">
        <f>[13]Quantity_shares!BE291</f>
        <v>3.2884449014902964E-2</v>
      </c>
      <c r="H65" s="26">
        <f>[13]Quantity_shares!BF291</f>
        <v>8.8609764458155819E-3</v>
      </c>
      <c r="I65" s="26">
        <f>[13]Quantity_shares!BG291</f>
        <v>4.9199353606581467E-2</v>
      </c>
      <c r="O65" t="s">
        <v>38</v>
      </c>
      <c r="Q65" s="26">
        <f t="shared" si="11"/>
        <v>2.3138322576657981E-2</v>
      </c>
      <c r="R65" s="26">
        <f t="shared" si="11"/>
        <v>3.9212258786554349E-2</v>
      </c>
      <c r="S65" s="26">
        <f t="shared" si="11"/>
        <v>0.87103427231098363</v>
      </c>
      <c r="T65" s="26">
        <f t="shared" si="11"/>
        <v>1.8849140158337531E-2</v>
      </c>
      <c r="U65" s="26">
        <f t="shared" si="11"/>
        <v>4.7766006167466624E-2</v>
      </c>
      <c r="V65" s="26">
        <v>0</v>
      </c>
      <c r="W65" s="26">
        <v>0</v>
      </c>
      <c r="X65" s="26">
        <f t="shared" si="9"/>
        <v>1</v>
      </c>
      <c r="Y65" s="26"/>
      <c r="AA65" s="4">
        <f>'[33]Predicted Residual Prices'!AP65</f>
        <v>3.3489569712874609</v>
      </c>
      <c r="AB65" s="4">
        <f>'[34]Predicted Distillate Prices'!AP65</f>
        <v>4.9757529895669217</v>
      </c>
      <c r="AC65" s="4">
        <f>'[35]Predicted Gas Prices'!AQ65</f>
        <v>3.5610561684068105</v>
      </c>
      <c r="AD65" s="4">
        <f>'[36]Predicted LPG Prices'!AP65</f>
        <v>7.4835586941835137</v>
      </c>
      <c r="AE65" s="4">
        <f>'[37]Predicted Coal Prices'!AP65</f>
        <v>1.9959252026462169</v>
      </c>
      <c r="AF65" s="4">
        <v>0</v>
      </c>
      <c r="AG65" s="4">
        <v>0</v>
      </c>
      <c r="AH65" s="4"/>
      <c r="AI65" s="17" t="str">
        <f t="shared" si="6"/>
        <v>332</v>
      </c>
      <c r="AJ65" s="115">
        <f t="shared" si="0"/>
        <v>3.6107977511378437</v>
      </c>
    </row>
    <row r="66" spans="4:36" x14ac:dyDescent="0.2">
      <c r="D66">
        <f>[13]Quantity_shares!BB292</f>
        <v>2000</v>
      </c>
      <c r="E66" t="str">
        <f>[13]Quantity_shares!BC292</f>
        <v>333</v>
      </c>
      <c r="F66" s="26">
        <f>[13]Quantity_shares!BD292</f>
        <v>0.85446906035141335</v>
      </c>
      <c r="G66" s="26">
        <f>[13]Quantity_shares!BE292</f>
        <v>3.5523300229182583E-2</v>
      </c>
      <c r="H66" s="26">
        <f>[13]Quantity_shares!BF292</f>
        <v>3.0557677616501147E-2</v>
      </c>
      <c r="I66" s="26">
        <f>[13]Quantity_shares!BG292</f>
        <v>7.944996180290298E-2</v>
      </c>
      <c r="O66" t="s">
        <v>40</v>
      </c>
      <c r="Q66" s="26">
        <f t="shared" si="11"/>
        <v>4.7547630391524473E-2</v>
      </c>
      <c r="R66" s="26">
        <f t="shared" si="11"/>
        <v>5.1152730658179095E-2</v>
      </c>
      <c r="S66" s="26">
        <f t="shared" si="11"/>
        <v>0.74143127986096347</v>
      </c>
      <c r="T66" s="26">
        <f t="shared" si="11"/>
        <v>1.6188114823179806E-2</v>
      </c>
      <c r="U66" s="26">
        <f t="shared" si="11"/>
        <v>0.14368024426615325</v>
      </c>
      <c r="V66" s="26">
        <v>0</v>
      </c>
      <c r="W66" s="26">
        <v>0</v>
      </c>
      <c r="X66" s="26">
        <f t="shared" si="9"/>
        <v>1.0000000000000002</v>
      </c>
      <c r="Y66" s="26"/>
      <c r="AA66" s="4">
        <f>'[33]Predicted Residual Prices'!AP66</f>
        <v>3.214485468626584</v>
      </c>
      <c r="AB66" s="4">
        <f>'[34]Predicted Distillate Prices'!AP66</f>
        <v>4.422368138271275</v>
      </c>
      <c r="AC66" s="4">
        <f>'[35]Predicted Gas Prices'!AQ66</f>
        <v>3.5373195848258687</v>
      </c>
      <c r="AD66" s="4">
        <f>'[36]Predicted LPG Prices'!AP66</f>
        <v>7.6299662939790416</v>
      </c>
      <c r="AE66" s="4">
        <f>'[37]Predicted Coal Prices'!AP66</f>
        <v>1.6406940314839986</v>
      </c>
      <c r="AF66" s="4">
        <v>0</v>
      </c>
      <c r="AG66" s="4">
        <v>0</v>
      </c>
      <c r="AH66" s="4"/>
      <c r="AI66" s="17" t="str">
        <f t="shared" si="6"/>
        <v>333</v>
      </c>
      <c r="AJ66" s="115">
        <f t="shared" si="0"/>
        <v>3.3609868499377473</v>
      </c>
    </row>
    <row r="67" spans="4:36" x14ac:dyDescent="0.2">
      <c r="D67">
        <f>[13]Quantity_shares!BB293</f>
        <v>2000</v>
      </c>
      <c r="E67" t="str">
        <f>[13]Quantity_shares!BC293</f>
        <v>334</v>
      </c>
      <c r="F67" s="26">
        <f>[13]Quantity_shares!BD293</f>
        <v>0.93572180134680139</v>
      </c>
      <c r="G67" s="26">
        <f>[13]Quantity_shares!BE293</f>
        <v>2.9019360269360271E-2</v>
      </c>
      <c r="H67" s="26">
        <f>[13]Quantity_shares!BF293</f>
        <v>3.2723063973063974E-3</v>
      </c>
      <c r="I67" s="26">
        <f>[13]Quantity_shares!BG293</f>
        <v>3.1986531986531987E-2</v>
      </c>
      <c r="O67" t="s">
        <v>42</v>
      </c>
      <c r="Q67" s="26">
        <f t="shared" si="11"/>
        <v>7.8136936042758551E-2</v>
      </c>
      <c r="R67" s="26">
        <f t="shared" si="11"/>
        <v>4.1650082124447263E-2</v>
      </c>
      <c r="S67" s="26">
        <f t="shared" si="11"/>
        <v>0.7005387160790062</v>
      </c>
      <c r="T67" s="26">
        <f t="shared" si="11"/>
        <v>1.4118048799740299E-2</v>
      </c>
      <c r="U67" s="26">
        <f t="shared" si="11"/>
        <v>0.16555621695404765</v>
      </c>
      <c r="V67" s="26">
        <v>0</v>
      </c>
      <c r="W67" s="26">
        <v>0</v>
      </c>
      <c r="X67" s="26">
        <f t="shared" si="9"/>
        <v>1</v>
      </c>
      <c r="Y67" s="26"/>
      <c r="AA67" s="4">
        <f>'[33]Predicted Residual Prices'!AP67</f>
        <v>3.266167021340654</v>
      </c>
      <c r="AB67" s="4">
        <f>'[34]Predicted Distillate Prices'!AP67</f>
        <v>4.496049595688616</v>
      </c>
      <c r="AC67" s="4">
        <f>'[35]Predicted Gas Prices'!AQ67</f>
        <v>3.5989385157192966</v>
      </c>
      <c r="AD67" s="4">
        <f>'[36]Predicted LPG Prices'!AP67</f>
        <v>5.4851919362819999</v>
      </c>
      <c r="AE67" s="4">
        <f>'[37]Predicted Coal Prices'!AP67</f>
        <v>1.2083227247555575</v>
      </c>
      <c r="AF67" s="4">
        <v>0</v>
      </c>
      <c r="AG67" s="4">
        <v>0</v>
      </c>
      <c r="AH67" s="4"/>
      <c r="AI67" s="17" t="str">
        <f t="shared" si="6"/>
        <v>334</v>
      </c>
      <c r="AJ67" s="115">
        <f t="shared" si="0"/>
        <v>3.2411504321992695</v>
      </c>
    </row>
    <row r="68" spans="4:36" x14ac:dyDescent="0.2">
      <c r="D68">
        <f>[13]Quantity_shares!BB294</f>
        <v>2000</v>
      </c>
      <c r="E68" t="str">
        <f>[13]Quantity_shares!BC294</f>
        <v>335</v>
      </c>
      <c r="F68" s="26">
        <f>[13]Quantity_shares!BD294</f>
        <v>0.76601263585535984</v>
      </c>
      <c r="G68" s="26">
        <f>[13]Quantity_shares!BE294</f>
        <v>2.4512464091368487E-2</v>
      </c>
      <c r="H68" s="26">
        <f>[13]Quantity_shares!BF294</f>
        <v>9.1806608681798494E-3</v>
      </c>
      <c r="I68" s="26">
        <f>[13]Quantity_shares!BG294</f>
        <v>0.2002942391850919</v>
      </c>
      <c r="O68" t="s">
        <v>44</v>
      </c>
      <c r="Q68" s="26">
        <f t="shared" si="11"/>
        <v>4.9619079371744833E-2</v>
      </c>
      <c r="R68" s="26">
        <f t="shared" si="11"/>
        <v>4.4764609839377661E-2</v>
      </c>
      <c r="S68" s="26">
        <f t="shared" si="11"/>
        <v>0.81065846451904311</v>
      </c>
      <c r="T68" s="26">
        <f t="shared" si="11"/>
        <v>2.234017504288555E-2</v>
      </c>
      <c r="U68" s="26">
        <f t="shared" si="11"/>
        <v>7.2617671226948899E-2</v>
      </c>
      <c r="V68" s="26">
        <v>0</v>
      </c>
      <c r="W68" s="26">
        <v>0</v>
      </c>
      <c r="X68" s="26">
        <f t="shared" si="9"/>
        <v>1</v>
      </c>
      <c r="Y68" s="26"/>
      <c r="AA68" s="4">
        <f>'[33]Predicted Residual Prices'!AP68</f>
        <v>2.8820398242015499</v>
      </c>
      <c r="AB68" s="4">
        <f>'[34]Predicted Distillate Prices'!AP68</f>
        <v>4.3609114385740773</v>
      </c>
      <c r="AC68" s="4">
        <f>'[35]Predicted Gas Prices'!AQ68</f>
        <v>3.4479802735183065</v>
      </c>
      <c r="AD68" s="4">
        <f>'[36]Predicted LPG Prices'!AP68</f>
        <v>6.283767581960289</v>
      </c>
      <c r="AE68" s="4">
        <f>'[37]Predicted Coal Prices'!AP68</f>
        <v>1.7480022876536849</v>
      </c>
      <c r="AF68" s="4">
        <v>0</v>
      </c>
      <c r="AG68" s="4">
        <v>0</v>
      </c>
      <c r="AH68" s="4"/>
      <c r="AI68" s="17" t="str">
        <f t="shared" si="6"/>
        <v>335</v>
      </c>
      <c r="AJ68" s="115">
        <f t="shared" si="0"/>
        <v>3.400669379242327</v>
      </c>
    </row>
    <row r="69" spans="4:36" x14ac:dyDescent="0.2">
      <c r="D69">
        <f>[13]Quantity_shares!BB295</f>
        <v>2000</v>
      </c>
      <c r="E69" t="str">
        <f>[13]Quantity_shares!BC295</f>
        <v>336</v>
      </c>
      <c r="F69" s="26">
        <f>[13]Quantity_shares!BD295</f>
        <v>0.7540072082325604</v>
      </c>
      <c r="G69" s="26">
        <f>[13]Quantity_shares!BE295</f>
        <v>5.3231849006496898E-2</v>
      </c>
      <c r="H69" s="26">
        <f>[13]Quantity_shares!BF295</f>
        <v>6.4471001090719404E-2</v>
      </c>
      <c r="I69" s="26">
        <f>[13]Quantity_shares!BG295</f>
        <v>0.12828994167022337</v>
      </c>
      <c r="O69" t="s">
        <v>46</v>
      </c>
      <c r="Q69" s="26">
        <f t="shared" si="11"/>
        <v>8.3022262174913514E-2</v>
      </c>
      <c r="R69" s="26">
        <f t="shared" si="11"/>
        <v>4.6848763701469849E-2</v>
      </c>
      <c r="S69" s="26">
        <f t="shared" si="11"/>
        <v>0.68353601602021485</v>
      </c>
      <c r="T69" s="26">
        <f t="shared" si="11"/>
        <v>1.1692683463683658E-2</v>
      </c>
      <c r="U69" s="26">
        <f t="shared" si="11"/>
        <v>0.17490027463971802</v>
      </c>
      <c r="V69" s="26">
        <v>0</v>
      </c>
      <c r="W69" s="26">
        <v>0</v>
      </c>
      <c r="X69" s="26">
        <f t="shared" si="9"/>
        <v>0.99999999999999989</v>
      </c>
      <c r="Y69" s="26"/>
      <c r="AA69" s="4">
        <f>'[33]Predicted Residual Prices'!AP69</f>
        <v>3.0370665123386038</v>
      </c>
      <c r="AB69" s="4">
        <f>'[34]Predicted Distillate Prices'!AP69</f>
        <v>4.6330424311013543</v>
      </c>
      <c r="AC69" s="4">
        <f>'[35]Predicted Gas Prices'!AQ69</f>
        <v>3.5074477551991121</v>
      </c>
      <c r="AD69" s="4">
        <f>'[36]Predicted LPG Prices'!AP69</f>
        <v>6.2184386433199883</v>
      </c>
      <c r="AE69" s="4">
        <f>'[37]Predicted Coal Prices'!AP69</f>
        <v>2.0893574371894585</v>
      </c>
      <c r="AF69" s="4">
        <v>0</v>
      </c>
      <c r="AG69" s="4">
        <v>0</v>
      </c>
      <c r="AH69" s="4"/>
      <c r="AI69" s="17" t="str">
        <f t="shared" si="6"/>
        <v>336</v>
      </c>
      <c r="AJ69" s="115">
        <f t="shared" si="0"/>
        <v>3.3048027315710762</v>
      </c>
    </row>
    <row r="70" spans="4:36" x14ac:dyDescent="0.2">
      <c r="D70">
        <f>[13]Quantity_shares!BB296</f>
        <v>2000</v>
      </c>
      <c r="E70" t="str">
        <f>[13]Quantity_shares!BC296</f>
        <v>337</v>
      </c>
      <c r="F70" s="26">
        <f>[13]Quantity_shares!BD296</f>
        <v>0.5427095622230016</v>
      </c>
      <c r="G70" s="26">
        <f>[13]Quantity_shares!BE296</f>
        <v>2.5661873332695637E-2</v>
      </c>
      <c r="H70" s="26">
        <f>[13]Quantity_shares!BF296</f>
        <v>3.5769324788232415E-2</v>
      </c>
      <c r="I70" s="26">
        <f>[13]Quantity_shares!BG296</f>
        <v>0.39585923965607028</v>
      </c>
      <c r="O70" t="s">
        <v>48</v>
      </c>
      <c r="Q70" s="26">
        <f t="shared" si="11"/>
        <v>3.7276785014988344E-2</v>
      </c>
      <c r="R70" s="26">
        <f t="shared" si="11"/>
        <v>0.10058720333686377</v>
      </c>
      <c r="S70" s="26">
        <f t="shared" si="11"/>
        <v>0.73843500371377035</v>
      </c>
      <c r="T70" s="26">
        <f t="shared" si="11"/>
        <v>3.4971318549871323E-2</v>
      </c>
      <c r="U70" s="26">
        <f t="shared" si="11"/>
        <v>8.8729689384506219E-2</v>
      </c>
      <c r="V70" s="26">
        <v>0</v>
      </c>
      <c r="W70" s="26">
        <v>0</v>
      </c>
      <c r="X70" s="26">
        <f t="shared" si="9"/>
        <v>1</v>
      </c>
      <c r="Y70" s="26"/>
      <c r="AA70" s="4">
        <f>'[33]Predicted Residual Prices'!AP70</f>
        <v>3.6628743171929599</v>
      </c>
      <c r="AB70" s="4">
        <f>'[34]Predicted Distillate Prices'!AP70</f>
        <v>5.0410552765129246</v>
      </c>
      <c r="AC70" s="4">
        <f>'[35]Predicted Gas Prices'!AQ70</f>
        <v>3.8120079526703758</v>
      </c>
      <c r="AD70" s="4">
        <f>'[36]Predicted LPG Prices'!AP70</f>
        <v>6.6762557466981098</v>
      </c>
      <c r="AE70" s="4">
        <f>'[37]Predicted Coal Prices'!AP70</f>
        <v>2.2530769675683686</v>
      </c>
      <c r="AF70" s="4">
        <v>0</v>
      </c>
      <c r="AG70" s="4">
        <v>0</v>
      </c>
      <c r="AH70" s="4"/>
      <c r="AI70" s="17" t="str">
        <f t="shared" si="6"/>
        <v>337</v>
      </c>
      <c r="AJ70" s="115">
        <f t="shared" si="0"/>
        <v>3.8919182232068859</v>
      </c>
    </row>
    <row r="71" spans="4:36" x14ac:dyDescent="0.2">
      <c r="D71">
        <f>[13]Quantity_shares!BB297</f>
        <v>2000</v>
      </c>
      <c r="E71" t="str">
        <f>[13]Quantity_shares!BC297</f>
        <v>339</v>
      </c>
      <c r="F71" s="26">
        <f>[13]Quantity_shares!BD297</f>
        <v>0.85895221646516973</v>
      </c>
      <c r="G71" s="26">
        <f>[13]Quantity_shares!BE297</f>
        <v>4.4976971790443292E-2</v>
      </c>
      <c r="H71" s="26">
        <f>[13]Quantity_shares!BF297</f>
        <v>2.5906735751296726E-3</v>
      </c>
      <c r="I71" s="26">
        <f>[13]Quantity_shares!BG297</f>
        <v>9.3480138169257321E-2</v>
      </c>
      <c r="O71" t="s">
        <v>50</v>
      </c>
      <c r="Q71" s="26">
        <f t="shared" si="11"/>
        <v>0.1028908696434509</v>
      </c>
      <c r="R71" s="26">
        <f t="shared" si="11"/>
        <v>4.6928023581047681E-2</v>
      </c>
      <c r="S71" s="26">
        <f t="shared" si="11"/>
        <v>0.65192414539406784</v>
      </c>
      <c r="T71" s="26">
        <f t="shared" si="11"/>
        <v>9.9853401358394184E-3</v>
      </c>
      <c r="U71" s="26">
        <f t="shared" si="11"/>
        <v>0.1882716212455943</v>
      </c>
      <c r="V71" s="26">
        <v>0</v>
      </c>
      <c r="W71" s="26">
        <v>0</v>
      </c>
      <c r="X71" s="26">
        <f t="shared" si="9"/>
        <v>1.0000000000000002</v>
      </c>
      <c r="Y71" s="26"/>
      <c r="AA71" s="4">
        <f>'[33]Predicted Residual Prices'!AP71</f>
        <v>3.5039145265397957</v>
      </c>
      <c r="AB71" s="4">
        <f>'[34]Predicted Distillate Prices'!AP71</f>
        <v>5.0137252565732977</v>
      </c>
      <c r="AC71" s="4">
        <f>'[35]Predicted Gas Prices'!AQ71</f>
        <v>3.2951254827302998</v>
      </c>
      <c r="AD71" s="4">
        <f>'[36]Predicted LPG Prices'!AP71</f>
        <v>8.7396977952758501</v>
      </c>
      <c r="AE71" s="4">
        <f>'[37]Predicted Coal Prices'!AP71</f>
        <v>1.9440409637409028</v>
      </c>
      <c r="AF71" s="4">
        <v>0</v>
      </c>
      <c r="AG71" s="4">
        <v>0</v>
      </c>
      <c r="AH71" s="4"/>
      <c r="AI71" s="17" t="str">
        <f t="shared" si="6"/>
        <v>339</v>
      </c>
      <c r="AJ71" s="115">
        <f t="shared" si="0"/>
        <v>3.1972534933381551</v>
      </c>
    </row>
    <row r="72" spans="4:36" x14ac:dyDescent="0.2">
      <c r="D72">
        <f>[13]Quantity_shares!BB298</f>
        <v>2001</v>
      </c>
      <c r="E72" t="str">
        <f>[13]Quantity_shares!BC298</f>
        <v>311</v>
      </c>
      <c r="F72" s="26">
        <f>[13]Quantity_shares!BD298</f>
        <v>0.65761660867132266</v>
      </c>
      <c r="G72" s="26">
        <f>[13]Quantity_shares!BE298</f>
        <v>3.6113306875504236E-2</v>
      </c>
      <c r="H72" s="26">
        <f>[13]Quantity_shares!BF298</f>
        <v>0.19456487193487135</v>
      </c>
      <c r="I72" s="26">
        <f>[13]Quantity_shares!BG298</f>
        <v>0.11170521251830182</v>
      </c>
      <c r="P72">
        <v>1988</v>
      </c>
      <c r="Q72" s="72">
        <f>MECS_data_SIC!BP32</f>
        <v>6.5593101202778586E-2</v>
      </c>
      <c r="R72" s="72">
        <f>MECS_data_SIC!BQ32</f>
        <v>4.7007328416470665E-2</v>
      </c>
      <c r="S72" s="72">
        <f>MECS_data_SIC!BR32</f>
        <v>0.67780759831903736</v>
      </c>
      <c r="T72" s="72">
        <f>MECS_data_SIC!BS32</f>
        <v>1.4447417502689956E-2</v>
      </c>
      <c r="U72" s="72">
        <f>MECS_data_SIC!BT32</f>
        <v>0.19514455455902352</v>
      </c>
      <c r="V72" s="26">
        <v>0</v>
      </c>
      <c r="W72" s="26">
        <v>0</v>
      </c>
      <c r="X72" s="26">
        <f t="shared" si="9"/>
        <v>1</v>
      </c>
      <c r="Y72" s="26"/>
      <c r="Z72">
        <v>1988</v>
      </c>
      <c r="AA72" s="4">
        <f>'[33]Predicted Residual Prices'!AP72</f>
        <v>2.65</v>
      </c>
      <c r="AB72" s="4">
        <f>'[34]Predicted Distillate Prices'!AP72</f>
        <v>4.9862000000000002</v>
      </c>
      <c r="AC72" s="4">
        <f>'[35]Predicted Gas Prices'!AQ72</f>
        <v>2.91</v>
      </c>
      <c r="AD72" s="4">
        <f>'[36]Predicted LPG Prices'!AP72</f>
        <v>6.72</v>
      </c>
      <c r="AE72" s="4">
        <f>'[37]Predicted Coal Prices'!AP72</f>
        <v>1.54</v>
      </c>
      <c r="AF72" s="4">
        <v>0</v>
      </c>
      <c r="AG72" s="4">
        <v>0</v>
      </c>
      <c r="AH72" s="4"/>
      <c r="AI72" s="17" t="str">
        <f>AI51</f>
        <v>311</v>
      </c>
      <c r="AJ72" s="115">
        <f t="shared" si="0"/>
        <v>2.7782390298849409</v>
      </c>
    </row>
    <row r="73" spans="4:36" x14ac:dyDescent="0.2">
      <c r="D73">
        <f>[13]Quantity_shares!BB299</f>
        <v>2001</v>
      </c>
      <c r="E73" t="str">
        <f>[13]Quantity_shares!BC299</f>
        <v>312</v>
      </c>
      <c r="F73" s="26">
        <f>[13]Quantity_shares!BD299</f>
        <v>0.57784986098239111</v>
      </c>
      <c r="G73" s="26">
        <f>[13]Quantity_shares!BE299</f>
        <v>5.0509731232622798E-2</v>
      </c>
      <c r="H73" s="26">
        <f>[13]Quantity_shares!BF299</f>
        <v>0.25081093605189991</v>
      </c>
      <c r="I73" s="26">
        <f>[13]Quantity_shares!BG299</f>
        <v>0.1208294717330862</v>
      </c>
      <c r="Q73" s="72">
        <f>MECS_data_SIC!BP33</f>
        <v>9.8204785226454816E-2</v>
      </c>
      <c r="R73" s="72">
        <f>MECS_data_SIC!BQ33</f>
        <v>1.7645981599892197E-2</v>
      </c>
      <c r="S73" s="72">
        <f>MECS_data_SIC!BR33</f>
        <v>0.37390988088720722</v>
      </c>
      <c r="T73" s="72">
        <f>MECS_data_SIC!BS33</f>
        <v>2.2393388302220448E-3</v>
      </c>
      <c r="U73" s="72">
        <f>MECS_data_SIC!BT33</f>
        <v>0.5080000134562237</v>
      </c>
      <c r="V73" s="26">
        <v>0</v>
      </c>
      <c r="W73" s="26">
        <v>0</v>
      </c>
      <c r="X73" s="26">
        <f t="shared" si="9"/>
        <v>1</v>
      </c>
      <c r="Y73" s="26"/>
      <c r="AA73" s="4">
        <f>'[33]Predicted Residual Prices'!AP73</f>
        <v>2.61</v>
      </c>
      <c r="AB73" s="4">
        <f>'[34]Predicted Distillate Prices'!AP73</f>
        <v>3.54</v>
      </c>
      <c r="AC73" s="4">
        <f>'[35]Predicted Gas Prices'!AQ73</f>
        <v>3.46</v>
      </c>
      <c r="AD73" s="4">
        <f>'[36]Predicted LPG Prices'!AP73</f>
        <v>7</v>
      </c>
      <c r="AE73" s="4">
        <f>'[37]Predicted Coal Prices'!AP73</f>
        <v>2.04</v>
      </c>
      <c r="AF73" s="4">
        <v>0</v>
      </c>
      <c r="AG73" s="4">
        <v>0</v>
      </c>
      <c r="AH73" s="4"/>
      <c r="AI73" s="17" t="str">
        <f t="shared" ref="AI73:AI92" si="12">AI52</f>
        <v>312</v>
      </c>
      <c r="AJ73" s="115">
        <f t="shared" ref="AJ73:AJ136" si="13">SUMPRODUCT(Q73:W73,AA73:AG73)</f>
        <v>2.6645048514366532</v>
      </c>
    </row>
    <row r="74" spans="4:36" x14ac:dyDescent="0.2">
      <c r="D74">
        <f>[13]Quantity_shares!BB300</f>
        <v>2001</v>
      </c>
      <c r="E74" t="str">
        <f>[13]Quantity_shares!BC300</f>
        <v>313</v>
      </c>
      <c r="F74" s="26">
        <f>[13]Quantity_shares!BD300</f>
        <v>0.63468720821661995</v>
      </c>
      <c r="G74" s="26">
        <f>[13]Quantity_shares!BE300</f>
        <v>6.3958916900093379E-2</v>
      </c>
      <c r="H74" s="26">
        <f>[13]Quantity_shares!BF300</f>
        <v>0.17133520074696545</v>
      </c>
      <c r="I74" s="26">
        <f>[13]Quantity_shares!BG300</f>
        <v>0.13001867413632118</v>
      </c>
      <c r="Q74" s="72">
        <f>MECS_data_SIC!BP34</f>
        <v>0.11885686296005191</v>
      </c>
      <c r="R74" s="72">
        <f>MECS_data_SIC!BQ34</f>
        <v>4.1660163545734846E-2</v>
      </c>
      <c r="S74" s="72">
        <f>MECS_data_SIC!BR34</f>
        <v>0.58065908192440541</v>
      </c>
      <c r="T74" s="72">
        <f>MECS_data_SIC!BS34</f>
        <v>1.6625537005604422E-2</v>
      </c>
      <c r="U74" s="72">
        <f>MECS_data_SIC!BT34</f>
        <v>0.24219835456420349</v>
      </c>
      <c r="V74" s="26">
        <v>0</v>
      </c>
      <c r="W74" s="26">
        <v>0</v>
      </c>
      <c r="X74" s="26">
        <f t="shared" si="9"/>
        <v>1.0000000000000002</v>
      </c>
      <c r="Y74" s="26"/>
      <c r="AA74" s="4">
        <f>'[33]Predicted Residual Prices'!AP74</f>
        <v>2.78</v>
      </c>
      <c r="AB74" s="4">
        <f>'[34]Predicted Distillate Prices'!AP74</f>
        <v>4.01</v>
      </c>
      <c r="AC74" s="4">
        <f>'[35]Predicted Gas Prices'!AQ74</f>
        <v>3.4</v>
      </c>
      <c r="AD74" s="4">
        <f>'[36]Predicted LPG Prices'!AP74</f>
        <v>4.59</v>
      </c>
      <c r="AE74" s="4">
        <f>'[37]Predicted Coal Prices'!AP74</f>
        <v>1.94</v>
      </c>
      <c r="AF74" s="4">
        <v>0</v>
      </c>
      <c r="AG74" s="4">
        <v>0</v>
      </c>
      <c r="AH74" s="4"/>
      <c r="AI74" s="17" t="str">
        <f t="shared" si="12"/>
        <v>313</v>
      </c>
      <c r="AJ74" s="115">
        <f t="shared" si="13"/>
        <v>3.0178962361005981</v>
      </c>
    </row>
    <row r="75" spans="4:36" x14ac:dyDescent="0.2">
      <c r="D75">
        <f>[13]Quantity_shares!BB301</f>
        <v>2001</v>
      </c>
      <c r="E75" t="str">
        <f>[13]Quantity_shares!BC301</f>
        <v>314</v>
      </c>
      <c r="F75" s="26">
        <f>[13]Quantity_shares!BD301</f>
        <v>0.71613117530409587</v>
      </c>
      <c r="G75" s="26">
        <f>[13]Quantity_shares!BE301</f>
        <v>4.0552689242272025E-2</v>
      </c>
      <c r="H75" s="26">
        <f>[13]Quantity_shares!BF301</f>
        <v>0.22209496278048954</v>
      </c>
      <c r="I75" s="26">
        <f>[13]Quantity_shares!BG301</f>
        <v>2.1221172673142587E-2</v>
      </c>
      <c r="Q75" s="72">
        <f>MECS_data_SIC!BP35</f>
        <v>0.11885686296005191</v>
      </c>
      <c r="R75" s="72">
        <f>MECS_data_SIC!BQ35</f>
        <v>4.1660163545734846E-2</v>
      </c>
      <c r="S75" s="72">
        <f>MECS_data_SIC!BR35</f>
        <v>0.58065908192440541</v>
      </c>
      <c r="T75" s="72">
        <f>MECS_data_SIC!BS35</f>
        <v>1.6625537005604422E-2</v>
      </c>
      <c r="U75" s="72">
        <f>MECS_data_SIC!BT35</f>
        <v>0.24219835456420349</v>
      </c>
      <c r="V75" s="26">
        <v>0</v>
      </c>
      <c r="W75" s="26">
        <v>0</v>
      </c>
      <c r="X75" s="26">
        <f t="shared" si="9"/>
        <v>1.0000000000000002</v>
      </c>
      <c r="Y75" s="26"/>
      <c r="AA75" s="4">
        <f>'[33]Predicted Residual Prices'!AP75</f>
        <v>2.78</v>
      </c>
      <c r="AB75" s="4">
        <f>'[34]Predicted Distillate Prices'!AP75</f>
        <v>4.01</v>
      </c>
      <c r="AC75" s="4">
        <f>'[35]Predicted Gas Prices'!AQ75</f>
        <v>3.4</v>
      </c>
      <c r="AD75" s="4">
        <f>'[36]Predicted LPG Prices'!AP75</f>
        <v>4.59</v>
      </c>
      <c r="AE75" s="4">
        <f>'[37]Predicted Coal Prices'!AP75</f>
        <v>1.94</v>
      </c>
      <c r="AF75" s="4">
        <v>0</v>
      </c>
      <c r="AG75" s="4">
        <v>0</v>
      </c>
      <c r="AH75" s="4"/>
      <c r="AI75" s="17" t="str">
        <f t="shared" si="12"/>
        <v>314</v>
      </c>
      <c r="AJ75" s="115">
        <f t="shared" si="13"/>
        <v>3.0178962361005981</v>
      </c>
    </row>
    <row r="76" spans="4:36" x14ac:dyDescent="0.2">
      <c r="D76">
        <f>[13]Quantity_shares!BB302</f>
        <v>2001</v>
      </c>
      <c r="E76" t="str">
        <f>[13]Quantity_shares!BC302</f>
        <v>315</v>
      </c>
      <c r="F76" s="26">
        <f>[13]Quantity_shares!BD302</f>
        <v>0.82833614864864824</v>
      </c>
      <c r="G76" s="26">
        <f>[13]Quantity_shares!BE302</f>
        <v>8.4248310810810773E-2</v>
      </c>
      <c r="H76" s="26">
        <f>[13]Quantity_shares!BF302</f>
        <v>7.8125000000004059E-3</v>
      </c>
      <c r="I76" s="26">
        <f>[13]Quantity_shares!BG302</f>
        <v>7.9603040540540515E-2</v>
      </c>
      <c r="Q76" s="72">
        <f>MECS_data_SIC!BP36</f>
        <v>6.6115364218017156E-2</v>
      </c>
      <c r="R76" s="72">
        <f>MECS_data_SIC!BQ36</f>
        <v>7.8196079921089734E-2</v>
      </c>
      <c r="S76" s="72">
        <f>MECS_data_SIC!BR36</f>
        <v>0.73282037774720565</v>
      </c>
      <c r="T76" s="72">
        <f>MECS_data_SIC!BS36</f>
        <v>2.6106943333958056E-2</v>
      </c>
      <c r="U76" s="72">
        <f>MECS_data_SIC!BT36</f>
        <v>9.676123477972931E-2</v>
      </c>
      <c r="V76" s="26">
        <v>0</v>
      </c>
      <c r="W76" s="26">
        <v>0</v>
      </c>
      <c r="X76" s="26">
        <f t="shared" si="9"/>
        <v>0.99999999999999989</v>
      </c>
      <c r="Y76" s="26"/>
      <c r="AA76" s="4">
        <f>'[33]Predicted Residual Prices'!AP76</f>
        <v>3.13</v>
      </c>
      <c r="AB76" s="4">
        <f>'[34]Predicted Distillate Prices'!AP76</f>
        <v>5.13</v>
      </c>
      <c r="AC76" s="4">
        <f>'[35]Predicted Gas Prices'!AQ76</f>
        <v>4.18</v>
      </c>
      <c r="AD76" s="4">
        <f>'[36]Predicted LPG Prices'!AP76</f>
        <v>6.77</v>
      </c>
      <c r="AE76" s="4">
        <f>'[37]Predicted Coal Prices'!AP76</f>
        <v>2.2799999999999998</v>
      </c>
      <c r="AF76" s="4">
        <v>0</v>
      </c>
      <c r="AG76" s="4">
        <v>0</v>
      </c>
      <c r="AH76" s="4"/>
      <c r="AI76" s="17" t="str">
        <f t="shared" si="12"/>
        <v>315</v>
      </c>
      <c r="AJ76" s="115">
        <f t="shared" si="13"/>
        <v>4.0686357806495819</v>
      </c>
    </row>
    <row r="77" spans="4:36" x14ac:dyDescent="0.2">
      <c r="D77">
        <f>[13]Quantity_shares!BB303</f>
        <v>2001</v>
      </c>
      <c r="E77" t="str">
        <f>[13]Quantity_shares!BC303</f>
        <v>316</v>
      </c>
      <c r="F77" s="26">
        <f>[13]Quantity_shares!BD303</f>
        <v>0.82499999999999829</v>
      </c>
      <c r="G77" s="26">
        <f>[13]Quantity_shares!BE303</f>
        <v>8.7499999999999828E-2</v>
      </c>
      <c r="H77" s="26">
        <f>[13]Quantity_shares!BF303</f>
        <v>2.0624999999999956E-15</v>
      </c>
      <c r="I77" s="26">
        <f>[13]Quantity_shares!BG303</f>
        <v>8.7499999999999828E-2</v>
      </c>
      <c r="Q77" s="72">
        <f>MECS_data_SIC!BP37</f>
        <v>0.31268901891854933</v>
      </c>
      <c r="R77" s="72">
        <f>MECS_data_SIC!BQ37</f>
        <v>8.9345204113949916E-2</v>
      </c>
      <c r="S77" s="72">
        <f>MECS_data_SIC!BR37</f>
        <v>0.46831526345631369</v>
      </c>
      <c r="T77" s="72">
        <f>MECS_data_SIC!BS37</f>
        <v>7.7858060826554928E-3</v>
      </c>
      <c r="U77" s="72">
        <f>MECS_data_SIC!BT37</f>
        <v>0.12186470742853159</v>
      </c>
      <c r="V77" s="26">
        <v>0</v>
      </c>
      <c r="W77" s="26">
        <v>0</v>
      </c>
      <c r="X77" s="26">
        <f t="shared" si="9"/>
        <v>1</v>
      </c>
      <c r="Y77" s="26"/>
      <c r="AA77" s="4">
        <f>'[33]Predicted Residual Prices'!AP77</f>
        <v>2.48</v>
      </c>
      <c r="AB77" s="4">
        <f>'[34]Predicted Distillate Prices'!AP77</f>
        <v>4.59</v>
      </c>
      <c r="AC77" s="4">
        <f>'[35]Predicted Gas Prices'!AQ77</f>
        <v>3.5</v>
      </c>
      <c r="AD77" s="4">
        <f>'[36]Predicted LPG Prices'!AP77</f>
        <v>6.79</v>
      </c>
      <c r="AE77" s="4">
        <f>'[37]Predicted Coal Prices'!AP77</f>
        <v>1.96</v>
      </c>
      <c r="AF77" s="4">
        <v>0</v>
      </c>
      <c r="AG77" s="4">
        <v>0</v>
      </c>
      <c r="AH77" s="4"/>
      <c r="AI77" s="17" t="str">
        <f t="shared" si="12"/>
        <v>316</v>
      </c>
      <c r="AJ77" s="115">
        <f t="shared" si="13"/>
        <v>3.116387125759283</v>
      </c>
    </row>
    <row r="78" spans="4:36" x14ac:dyDescent="0.2">
      <c r="D78">
        <f>[13]Quantity_shares!BB304</f>
        <v>2001</v>
      </c>
      <c r="E78" t="str">
        <f>[13]Quantity_shares!BC304</f>
        <v>321</v>
      </c>
      <c r="F78" s="26">
        <f>[13]Quantity_shares!BD304</f>
        <v>0.18294690707602873</v>
      </c>
      <c r="G78" s="26">
        <f>[13]Quantity_shares!BE304</f>
        <v>3.5255245708057048E-2</v>
      </c>
      <c r="H78" s="26">
        <f>[13]Quantity_shares!BF304</f>
        <v>3.6220365155781634E-3</v>
      </c>
      <c r="I78" s="26">
        <f>[13]Quantity_shares!BG304</f>
        <v>0.77817581070033615</v>
      </c>
      <c r="Q78" s="72">
        <f>MECS_data_SIC!BP38</f>
        <v>1.5930538301423425E-2</v>
      </c>
      <c r="R78" s="72">
        <f>MECS_data_SIC!BQ38</f>
        <v>0.35587030379821016</v>
      </c>
      <c r="S78" s="72">
        <f>MECS_data_SIC!BR38</f>
        <v>0.55897072792034519</v>
      </c>
      <c r="T78" s="72">
        <f>MECS_data_SIC!BS38</f>
        <v>5.329789167859799E-2</v>
      </c>
      <c r="U78" s="72">
        <f>MECS_data_SIC!BT38</f>
        <v>1.5930538301423425E-2</v>
      </c>
      <c r="V78" s="26">
        <v>0</v>
      </c>
      <c r="W78" s="26">
        <v>0</v>
      </c>
      <c r="X78" s="26">
        <f t="shared" si="9"/>
        <v>1.0000000000000002</v>
      </c>
      <c r="Y78" s="26"/>
      <c r="AA78" s="4">
        <f>'[33]Predicted Residual Prices'!AP78</f>
        <v>2.65</v>
      </c>
      <c r="AB78" s="4">
        <f>'[34]Predicted Distillate Prices'!AP78</f>
        <v>5.22</v>
      </c>
      <c r="AC78" s="4">
        <f>'[35]Predicted Gas Prices'!AQ78</f>
        <v>3.58</v>
      </c>
      <c r="AD78" s="4">
        <f>'[36]Predicted LPG Prices'!AP78</f>
        <v>5.38</v>
      </c>
      <c r="AE78" s="4">
        <f>'[37]Predicted Coal Prices'!AP78</f>
        <v>2.5</v>
      </c>
      <c r="AF78" s="4">
        <v>0</v>
      </c>
      <c r="AG78" s="4">
        <v>0</v>
      </c>
      <c r="AH78" s="4"/>
      <c r="AI78" s="17" t="str">
        <f t="shared" si="12"/>
        <v>321</v>
      </c>
      <c r="AJ78" s="115">
        <f t="shared" si="13"/>
        <v>4.2275431212646808</v>
      </c>
    </row>
    <row r="79" spans="4:36" x14ac:dyDescent="0.2">
      <c r="D79">
        <f>[13]Quantity_shares!BB305</f>
        <v>2001</v>
      </c>
      <c r="E79" t="str">
        <f>[13]Quantity_shares!BC305</f>
        <v>322</v>
      </c>
      <c r="F79" s="26">
        <f>[13]Quantity_shares!BD305</f>
        <v>0.23534317824399728</v>
      </c>
      <c r="G79" s="26">
        <f>[13]Quantity_shares!BE305</f>
        <v>5.5620091564988997E-2</v>
      </c>
      <c r="H79" s="26">
        <f>[13]Quantity_shares!BF305</f>
        <v>0.10975815273105893</v>
      </c>
      <c r="I79" s="26">
        <f>[13]Quantity_shares!BG305</f>
        <v>0.59927857745995472</v>
      </c>
      <c r="Q79" s="72">
        <f>MECS_data_SIC!BP39</f>
        <v>0.1907270497745735</v>
      </c>
      <c r="R79" s="72">
        <f>MECS_data_SIC!BQ39</f>
        <v>1.3368672716203019E-2</v>
      </c>
      <c r="S79" s="72">
        <f>MECS_data_SIC!BR39</f>
        <v>0.45952524049747923</v>
      </c>
      <c r="T79" s="72">
        <f>MECS_data_SIC!BS39</f>
        <v>4.8783439627923739E-3</v>
      </c>
      <c r="U79" s="72">
        <f>MECS_data_SIC!BT39</f>
        <v>0.33150069304895174</v>
      </c>
      <c r="V79" s="26">
        <v>0</v>
      </c>
      <c r="W79" s="26">
        <v>0</v>
      </c>
      <c r="X79" s="26">
        <f t="shared" si="9"/>
        <v>0.99999999999999978</v>
      </c>
      <c r="Y79" s="26"/>
      <c r="AA79" s="4">
        <f>'[33]Predicted Residual Prices'!AP79</f>
        <v>2.36</v>
      </c>
      <c r="AB79" s="4">
        <f>'[34]Predicted Distillate Prices'!AP79</f>
        <v>3.96</v>
      </c>
      <c r="AC79" s="4">
        <f>'[35]Predicted Gas Prices'!AQ79</f>
        <v>2.48</v>
      </c>
      <c r="AD79" s="4">
        <f>'[36]Predicted LPG Prices'!AP79</f>
        <v>5.98</v>
      </c>
      <c r="AE79" s="4">
        <f>'[37]Predicted Coal Prices'!AP79</f>
        <v>1.78</v>
      </c>
      <c r="AF79" s="4">
        <v>0</v>
      </c>
      <c r="AG79" s="4">
        <v>0</v>
      </c>
      <c r="AH79" s="4"/>
      <c r="AI79" s="17" t="str">
        <f t="shared" si="12"/>
        <v>322</v>
      </c>
      <c r="AJ79" s="115">
        <f t="shared" si="13"/>
        <v>2.2619221083825387</v>
      </c>
    </row>
    <row r="80" spans="4:36" x14ac:dyDescent="0.2">
      <c r="D80">
        <f>[13]Quantity_shares!BB306</f>
        <v>2001</v>
      </c>
      <c r="E80" t="str">
        <f>[13]Quantity_shares!BC306</f>
        <v>323</v>
      </c>
      <c r="F80" s="26">
        <f>[13]Quantity_shares!BD306</f>
        <v>0.94024303535647324</v>
      </c>
      <c r="G80" s="26">
        <f>[13]Quantity_shares!BE306</f>
        <v>1.1877060306379677E-2</v>
      </c>
      <c r="H80" s="26">
        <f>[13]Quantity_shares!BF306</f>
        <v>1.3089005235603639E-3</v>
      </c>
      <c r="I80" s="26">
        <f>[13]Quantity_shares!BG306</f>
        <v>4.6571003813586705E-2</v>
      </c>
      <c r="Q80" s="72">
        <f>MECS_data_SIC!BP40</f>
        <v>1.3873477178929422E-2</v>
      </c>
      <c r="R80" s="72">
        <f>MECS_data_SIC!BQ40</f>
        <v>4.2187438404072609E-2</v>
      </c>
      <c r="S80" s="72">
        <f>MECS_data_SIC!BR40</f>
        <v>0.91481559028573767</v>
      </c>
      <c r="T80" s="72">
        <f>MECS_data_SIC!BS40</f>
        <v>2.912349413126028E-2</v>
      </c>
      <c r="U80" s="72">
        <f>MECS_data_SIC!BT40</f>
        <v>0</v>
      </c>
      <c r="V80" s="26">
        <v>0</v>
      </c>
      <c r="W80" s="26">
        <v>0</v>
      </c>
      <c r="X80" s="26">
        <f t="shared" si="9"/>
        <v>1</v>
      </c>
      <c r="Y80" s="26"/>
      <c r="AA80" s="4">
        <f>'[33]Predicted Residual Prices'!AP80</f>
        <v>3.11</v>
      </c>
      <c r="AB80" s="4">
        <f>'[34]Predicted Distillate Prices'!AP80</f>
        <v>4.5599999999999996</v>
      </c>
      <c r="AC80" s="4">
        <f>'[35]Predicted Gas Prices'!AQ80</f>
        <v>4.01</v>
      </c>
      <c r="AD80" s="4">
        <f>'[36]Predicted LPG Prices'!AP80</f>
        <v>6.62</v>
      </c>
      <c r="AE80" s="4">
        <f>'[37]Predicted Coal Prices'!AP80</f>
        <v>1.9250000000000003</v>
      </c>
      <c r="AF80" s="4">
        <v>0</v>
      </c>
      <c r="AG80" s="4">
        <v>0</v>
      </c>
      <c r="AH80" s="4"/>
      <c r="AI80" s="17" t="str">
        <f t="shared" si="12"/>
        <v>323</v>
      </c>
      <c r="AJ80" s="115">
        <f t="shared" si="13"/>
        <v>4.0967292813437926</v>
      </c>
    </row>
    <row r="81" spans="4:36" x14ac:dyDescent="0.2">
      <c r="D81">
        <f>[13]Quantity_shares!BB307</f>
        <v>2001</v>
      </c>
      <c r="E81" t="str">
        <f>[13]Quantity_shares!BC307</f>
        <v>324</v>
      </c>
      <c r="F81" s="26">
        <f>[13]Quantity_shares!BD307</f>
        <v>0.28586998818706133</v>
      </c>
      <c r="G81" s="26">
        <f>[13]Quantity_shares!BE307</f>
        <v>1.7122507122507125E-2</v>
      </c>
      <c r="H81" s="26">
        <f>[13]Quantity_shares!BF307</f>
        <v>4.0254325620179277E-3</v>
      </c>
      <c r="I81" s="26">
        <f>[13]Quantity_shares!BG307</f>
        <v>0.69298207212841367</v>
      </c>
      <c r="Q81" s="72">
        <f>MECS_data_SIC!BP41</f>
        <v>4.8294097495567921E-2</v>
      </c>
      <c r="R81" s="72">
        <f>MECS_data_SIC!BQ41</f>
        <v>2.7999442719643677E-2</v>
      </c>
      <c r="S81" s="72">
        <f>MECS_data_SIC!BR41</f>
        <v>0.90333287574507037</v>
      </c>
      <c r="T81" s="72">
        <f>MECS_data_SIC!BS41</f>
        <v>1.2336242300815772E-2</v>
      </c>
      <c r="U81" s="72">
        <f>MECS_data_SIC!BT41</f>
        <v>8.0373417389021911E-3</v>
      </c>
      <c r="V81" s="26">
        <v>0</v>
      </c>
      <c r="W81" s="26">
        <v>0</v>
      </c>
      <c r="X81" s="26">
        <f t="shared" si="9"/>
        <v>0.99999999999999989</v>
      </c>
      <c r="Y81" s="26"/>
      <c r="AA81" s="4">
        <f>'[33]Predicted Residual Prices'!AP81</f>
        <v>3.03</v>
      </c>
      <c r="AB81" s="4">
        <f>'[34]Predicted Distillate Prices'!AP81</f>
        <v>4.5599999999999996</v>
      </c>
      <c r="AC81" s="4">
        <f>'[35]Predicted Gas Prices'!AQ81</f>
        <v>2.09</v>
      </c>
      <c r="AD81" s="4">
        <f>'[36]Predicted LPG Prices'!AP81</f>
        <v>3.92</v>
      </c>
      <c r="AE81" s="4">
        <f>'[37]Predicted Coal Prices'!AP81</f>
        <v>2.0299999999999998</v>
      </c>
      <c r="AF81" s="4">
        <v>0</v>
      </c>
      <c r="AG81" s="4">
        <v>0</v>
      </c>
      <c r="AH81" s="4"/>
      <c r="AI81" s="17" t="str">
        <f t="shared" si="12"/>
        <v>324</v>
      </c>
      <c r="AJ81" s="115">
        <f t="shared" si="13"/>
        <v>2.2266481580695126</v>
      </c>
    </row>
    <row r="82" spans="4:36" x14ac:dyDescent="0.2">
      <c r="D82">
        <f>[13]Quantity_shares!BB308</f>
        <v>2001</v>
      </c>
      <c r="E82" t="str">
        <f>[13]Quantity_shares!BC308</f>
        <v>325</v>
      </c>
      <c r="F82" s="26">
        <f>[13]Quantity_shares!BD308</f>
        <v>0.56343370470194121</v>
      </c>
      <c r="G82" s="26">
        <f>[13]Quantity_shares!BE308</f>
        <v>1.7514458278319128E-2</v>
      </c>
      <c r="H82" s="26">
        <f>[13]Quantity_shares!BF308</f>
        <v>9.7728304398590191E-2</v>
      </c>
      <c r="I82" s="26">
        <f>[13]Quantity_shares!BG308</f>
        <v>0.32132353262114943</v>
      </c>
      <c r="Q82" s="72">
        <f>MECS_data_SIC!BP42</f>
        <v>5.1692140230944199E-2</v>
      </c>
      <c r="R82" s="72">
        <f>MECS_data_SIC!BQ42</f>
        <v>7.8901799496997136E-3</v>
      </c>
      <c r="S82" s="72">
        <f>MECS_data_SIC!BR42</f>
        <v>0.78951972398114267</v>
      </c>
      <c r="T82" s="72">
        <f>MECS_data_SIC!BS42</f>
        <v>1.9329199048054315E-3</v>
      </c>
      <c r="U82" s="72">
        <f>MECS_data_SIC!BT42</f>
        <v>0.1489650359334081</v>
      </c>
      <c r="V82" s="26">
        <v>0</v>
      </c>
      <c r="W82" s="26">
        <v>0</v>
      </c>
      <c r="X82" s="26">
        <f t="shared" si="9"/>
        <v>1.0000000000000002</v>
      </c>
      <c r="Y82" s="26"/>
      <c r="AA82" s="4">
        <f>'[33]Predicted Residual Prices'!AP82</f>
        <v>2.4900000000000002</v>
      </c>
      <c r="AB82" s="4">
        <f>'[34]Predicted Distillate Prices'!AP82</f>
        <v>4.3</v>
      </c>
      <c r="AC82" s="4">
        <f>'[35]Predicted Gas Prices'!AQ82</f>
        <v>1.97</v>
      </c>
      <c r="AD82" s="4">
        <f>'[36]Predicted LPG Prices'!AP82</f>
        <v>5.25</v>
      </c>
      <c r="AE82" s="4">
        <f>'[37]Predicted Coal Prices'!AP82</f>
        <v>1.63</v>
      </c>
      <c r="AF82" s="4">
        <v>0</v>
      </c>
      <c r="AG82" s="4">
        <v>0</v>
      </c>
      <c r="AH82" s="4"/>
      <c r="AI82" s="17" t="str">
        <f t="shared" si="12"/>
        <v>325</v>
      </c>
      <c r="AJ82" s="115">
        <f t="shared" si="13"/>
        <v>1.9709558972732946</v>
      </c>
    </row>
    <row r="83" spans="4:36" x14ac:dyDescent="0.2">
      <c r="D83">
        <f>[13]Quantity_shares!BB309</f>
        <v>2001</v>
      </c>
      <c r="E83" t="str">
        <f>[13]Quantity_shares!BC309</f>
        <v>326</v>
      </c>
      <c r="F83" s="26">
        <f>[13]Quantity_shares!BD309</f>
        <v>0.85048676189609684</v>
      </c>
      <c r="G83" s="26">
        <f>[13]Quantity_shares!BE309</f>
        <v>5.4869893549267586E-2</v>
      </c>
      <c r="H83" s="26">
        <f>[13]Quantity_shares!BF309</f>
        <v>3.7824128832681284E-2</v>
      </c>
      <c r="I83" s="26">
        <f>[13]Quantity_shares!BG309</f>
        <v>5.6819215721954329E-2</v>
      </c>
      <c r="Q83" s="72">
        <f>MECS_data_SIC!BP43</f>
        <v>0.10695101376192169</v>
      </c>
      <c r="R83" s="72">
        <f>MECS_data_SIC!BQ43</f>
        <v>3.2603125286873806E-2</v>
      </c>
      <c r="S83" s="72">
        <f>MECS_data_SIC!BR43</f>
        <v>0.78733058290976277</v>
      </c>
      <c r="T83" s="72">
        <f>MECS_data_SIC!BS43</f>
        <v>1.4260135168256225E-2</v>
      </c>
      <c r="U83" s="72">
        <f>MECS_data_SIC!BT43</f>
        <v>5.8855142873185509E-2</v>
      </c>
      <c r="V83" s="26">
        <v>0</v>
      </c>
      <c r="W83" s="26">
        <v>0</v>
      </c>
      <c r="X83" s="26">
        <f t="shared" si="9"/>
        <v>1</v>
      </c>
      <c r="Y83" s="26"/>
      <c r="AA83" s="4">
        <f>'[33]Predicted Residual Prices'!AP83</f>
        <v>2.6</v>
      </c>
      <c r="AB83" s="4">
        <f>'[34]Predicted Distillate Prices'!AP83</f>
        <v>7.46</v>
      </c>
      <c r="AC83" s="4">
        <f>'[35]Predicted Gas Prices'!AQ83</f>
        <v>3.15</v>
      </c>
      <c r="AD83" s="4">
        <f>'[36]Predicted LPG Prices'!AP83</f>
        <v>7</v>
      </c>
      <c r="AE83" s="4">
        <f>'[37]Predicted Coal Prices'!AP83</f>
        <v>2.2599999999999998</v>
      </c>
      <c r="AF83" s="4">
        <v>0</v>
      </c>
      <c r="AG83" s="4">
        <v>0</v>
      </c>
      <c r="AH83" s="4"/>
      <c r="AI83" s="17" t="str">
        <f t="shared" si="12"/>
        <v>326</v>
      </c>
      <c r="AJ83" s="115">
        <f t="shared" si="13"/>
        <v>3.2342168556580209</v>
      </c>
    </row>
    <row r="84" spans="4:36" x14ac:dyDescent="0.2">
      <c r="D84">
        <f>[13]Quantity_shares!BB310</f>
        <v>2001</v>
      </c>
      <c r="E84" t="str">
        <f>[13]Quantity_shares!BC310</f>
        <v>327</v>
      </c>
      <c r="F84" s="26">
        <f>[13]Quantity_shares!BD310</f>
        <v>0.47795809273897594</v>
      </c>
      <c r="G84" s="26">
        <f>[13]Quantity_shares!BE310</f>
        <v>3.4204236192752611E-2</v>
      </c>
      <c r="H84" s="26">
        <f>[13]Quantity_shares!BF310</f>
        <v>0.34747043043927278</v>
      </c>
      <c r="I84" s="26">
        <f>[13]Quantity_shares!BG310</f>
        <v>0.14036724062899861</v>
      </c>
      <c r="Q84" s="72">
        <f>MECS_data_SIC!BP44</f>
        <v>1.7971992258134405E-2</v>
      </c>
      <c r="R84" s="72">
        <f>MECS_data_SIC!BQ44</f>
        <v>4.3551280104118184E-2</v>
      </c>
      <c r="S84" s="72">
        <f>MECS_data_SIC!BR44</f>
        <v>0.57872205076183103</v>
      </c>
      <c r="T84" s="72">
        <f>MECS_data_SIC!BS44</f>
        <v>5.0133337874971266E-3</v>
      </c>
      <c r="U84" s="72">
        <f>MECS_data_SIC!BT44</f>
        <v>0.35474134308841915</v>
      </c>
      <c r="V84" s="26">
        <v>0</v>
      </c>
      <c r="W84" s="26">
        <v>0</v>
      </c>
      <c r="X84" s="26">
        <f t="shared" si="9"/>
        <v>1</v>
      </c>
      <c r="Y84" s="26"/>
      <c r="AA84" s="4">
        <f>'[33]Predicted Residual Prices'!AP84</f>
        <v>2.7</v>
      </c>
      <c r="AB84" s="4">
        <f>'[34]Predicted Distillate Prices'!AP84</f>
        <v>5.04</v>
      </c>
      <c r="AC84" s="4">
        <f>'[35]Predicted Gas Prices'!AQ84</f>
        <v>2.75</v>
      </c>
      <c r="AD84" s="4">
        <f>'[36]Predicted LPG Prices'!AP84</f>
        <v>5.01</v>
      </c>
      <c r="AE84" s="4">
        <f>'[37]Predicted Coal Prices'!AP84</f>
        <v>1.53</v>
      </c>
      <c r="AF84" s="4">
        <v>0</v>
      </c>
      <c r="AG84" s="4">
        <v>0</v>
      </c>
      <c r="AH84" s="4"/>
      <c r="AI84" s="17" t="str">
        <f t="shared" si="12"/>
        <v>327</v>
      </c>
      <c r="AJ84" s="115">
        <f t="shared" si="13"/>
        <v>2.4273795276173957</v>
      </c>
    </row>
    <row r="85" spans="4:36" x14ac:dyDescent="0.2">
      <c r="D85">
        <f>[13]Quantity_shares!BB311</f>
        <v>2001</v>
      </c>
      <c r="E85" t="str">
        <f>[13]Quantity_shares!BC311</f>
        <v>331</v>
      </c>
      <c r="F85" s="26">
        <f>[13]Quantity_shares!BD311</f>
        <v>0.4140093768594702</v>
      </c>
      <c r="G85" s="26">
        <f>[13]Quantity_shares!BE311</f>
        <v>1.1570104683096358E-2</v>
      </c>
      <c r="H85" s="26">
        <f>[13]Quantity_shares!BF311</f>
        <v>0.3614773463399763</v>
      </c>
      <c r="I85" s="26">
        <f>[13]Quantity_shares!BG311</f>
        <v>0.21294317211745706</v>
      </c>
      <c r="Q85" s="72">
        <f>MECS_data_SIC!BP45</f>
        <v>3.1882068339521098E-2</v>
      </c>
      <c r="R85" s="72">
        <f>MECS_data_SIC!BQ45</f>
        <v>1.2066781390755107E-2</v>
      </c>
      <c r="S85" s="72">
        <f>MECS_data_SIC!BR45</f>
        <v>0.60349705880966864</v>
      </c>
      <c r="T85" s="72">
        <f>MECS_data_SIC!BS45</f>
        <v>4.186323564650124E-3</v>
      </c>
      <c r="U85" s="72">
        <f>MECS_data_SIC!BT45</f>
        <v>4.7442978694399285E-2</v>
      </c>
      <c r="V85" s="72">
        <f>MECS_data_SIC!BU45</f>
        <v>0.30092478920100574</v>
      </c>
      <c r="W85" s="26">
        <v>0</v>
      </c>
      <c r="X85" s="26">
        <f t="shared" si="9"/>
        <v>1</v>
      </c>
      <c r="Y85" s="26"/>
      <c r="AA85" s="4">
        <f>'[33]Predicted Residual Prices'!AP85</f>
        <v>2.29</v>
      </c>
      <c r="AB85" s="4">
        <f>'[34]Predicted Distillate Prices'!AP85</f>
        <v>4.18</v>
      </c>
      <c r="AC85" s="4">
        <f>'[35]Predicted Gas Prices'!AQ85</f>
        <v>2.78</v>
      </c>
      <c r="AD85" s="4">
        <f>'[36]Predicted LPG Prices'!AP85</f>
        <v>4.87</v>
      </c>
      <c r="AE85" s="4">
        <f>'[37]Predicted Coal Prices'!AP85</f>
        <v>1.78</v>
      </c>
      <c r="AF85" s="36">
        <f>3*AE85</f>
        <v>5.34</v>
      </c>
      <c r="AG85" s="4">
        <v>0</v>
      </c>
      <c r="AH85" s="4"/>
      <c r="AI85" s="17" t="str">
        <f t="shared" si="12"/>
        <v>331</v>
      </c>
      <c r="AJ85" s="115">
        <f t="shared" si="13"/>
        <v>3.5129451783709857</v>
      </c>
    </row>
    <row r="86" spans="4:36" x14ac:dyDescent="0.2">
      <c r="D86">
        <f>[13]Quantity_shares!BB312</f>
        <v>2001</v>
      </c>
      <c r="E86" t="str">
        <f>[13]Quantity_shares!BC312</f>
        <v>332</v>
      </c>
      <c r="F86" s="26">
        <f>[13]Quantity_shares!BD312</f>
        <v>0.91728653510275371</v>
      </c>
      <c r="G86" s="26">
        <f>[13]Quantity_shares!BE312</f>
        <v>3.451185870753963E-2</v>
      </c>
      <c r="H86" s="26">
        <f>[13]Quantity_shares!BF312</f>
        <v>7.735909113167818E-3</v>
      </c>
      <c r="I86" s="26">
        <f>[13]Quantity_shares!BG312</f>
        <v>4.0465697076538867E-2</v>
      </c>
      <c r="Q86" s="72">
        <f>MECS_data_SIC!BP46</f>
        <v>2.0486760426938179E-2</v>
      </c>
      <c r="R86" s="72">
        <f>MECS_data_SIC!BQ46</f>
        <v>3.3433113093368771E-2</v>
      </c>
      <c r="S86" s="72">
        <f>MECS_data_SIC!BR46</f>
        <v>0.87915119850639067</v>
      </c>
      <c r="T86" s="72">
        <f>MECS_data_SIC!BS46</f>
        <v>1.8267343863871157E-2</v>
      </c>
      <c r="U86" s="72">
        <f>MECS_data_SIC!BT46</f>
        <v>4.8661584109431305E-2</v>
      </c>
      <c r="V86" s="26">
        <v>0</v>
      </c>
      <c r="W86" s="26">
        <v>0</v>
      </c>
      <c r="X86" s="26">
        <f t="shared" si="9"/>
        <v>1</v>
      </c>
      <c r="Y86" s="26"/>
      <c r="AA86" s="4">
        <f>'[33]Predicted Residual Prices'!AP86</f>
        <v>3.17</v>
      </c>
      <c r="AB86" s="4">
        <f>'[34]Predicted Distillate Prices'!AP86</f>
        <v>4.7699999999999996</v>
      </c>
      <c r="AC86" s="4">
        <f>'[35]Predicted Gas Prices'!AQ86</f>
        <v>3.6</v>
      </c>
      <c r="AD86" s="4">
        <f>'[36]Predicted LPG Prices'!AP86</f>
        <v>6.37</v>
      </c>
      <c r="AE86" s="4">
        <f>'[37]Predicted Coal Prices'!AP86</f>
        <v>1.94</v>
      </c>
      <c r="AF86" s="4">
        <v>0</v>
      </c>
      <c r="AG86" s="4">
        <v>0</v>
      </c>
      <c r="AH86" s="4"/>
      <c r="AI86" s="17" t="str">
        <f t="shared" si="12"/>
        <v>332</v>
      </c>
      <c r="AJ86" s="115">
        <f t="shared" si="13"/>
        <v>3.6001297482169257</v>
      </c>
    </row>
    <row r="87" spans="4:36" x14ac:dyDescent="0.2">
      <c r="D87">
        <f>[13]Quantity_shares!BB313</f>
        <v>2001</v>
      </c>
      <c r="E87" t="str">
        <f>[13]Quantity_shares!BC313</f>
        <v>333</v>
      </c>
      <c r="F87" s="26">
        <f>[13]Quantity_shares!BD313</f>
        <v>0.86573720397249809</v>
      </c>
      <c r="G87" s="26">
        <f>[13]Quantity_shares!BE313</f>
        <v>3.6478227654698242E-2</v>
      </c>
      <c r="H87" s="26">
        <f>[13]Quantity_shares!BF313</f>
        <v>2.0626432391138275E-2</v>
      </c>
      <c r="I87" s="26">
        <f>[13]Quantity_shares!BG313</f>
        <v>7.7158135981665391E-2</v>
      </c>
      <c r="Q87" s="72">
        <f>MECS_data_SIC!BP47</f>
        <v>3.7315296171377778E-2</v>
      </c>
      <c r="R87" s="72">
        <f>MECS_data_SIC!BQ47</f>
        <v>5.1101938443427135E-2</v>
      </c>
      <c r="S87" s="72">
        <f>MECS_data_SIC!BR47</f>
        <v>0.75526450052238248</v>
      </c>
      <c r="T87" s="72">
        <f>MECS_data_SIC!BS47</f>
        <v>1.4728304155649232E-2</v>
      </c>
      <c r="U87" s="72">
        <f>MECS_data_SIC!BT47</f>
        <v>0.14158996070716348</v>
      </c>
      <c r="V87" s="26">
        <v>0</v>
      </c>
      <c r="W87" s="26">
        <v>0</v>
      </c>
      <c r="X87" s="26">
        <f t="shared" si="9"/>
        <v>1</v>
      </c>
      <c r="Y87" s="26"/>
      <c r="AA87" s="4">
        <f>'[33]Predicted Residual Prices'!AP87</f>
        <v>3.02</v>
      </c>
      <c r="AB87" s="4">
        <f>'[34]Predicted Distillate Prices'!AP87</f>
        <v>4.3600000000000003</v>
      </c>
      <c r="AC87" s="4">
        <f>'[35]Predicted Gas Prices'!AQ87</f>
        <v>3.6</v>
      </c>
      <c r="AD87" s="4">
        <f>'[36]Predicted LPG Prices'!AP87</f>
        <v>6.67</v>
      </c>
      <c r="AE87" s="4">
        <f>'[37]Predicted Coal Prices'!AP87</f>
        <v>1.58</v>
      </c>
      <c r="AF87" s="4">
        <v>0</v>
      </c>
      <c r="AG87" s="4">
        <v>0</v>
      </c>
      <c r="AH87" s="4"/>
      <c r="AI87" s="17" t="str">
        <f t="shared" si="12"/>
        <v>333</v>
      </c>
      <c r="AJ87" s="115">
        <f t="shared" si="13"/>
        <v>3.376398774566979</v>
      </c>
    </row>
    <row r="88" spans="4:36" x14ac:dyDescent="0.2">
      <c r="D88">
        <f>[13]Quantity_shares!BB314</f>
        <v>2001</v>
      </c>
      <c r="E88" t="str">
        <f>[13]Quantity_shares!BC314</f>
        <v>334</v>
      </c>
      <c r="F88" s="26">
        <f>[13]Quantity_shares!BD314</f>
        <v>0.92950862794612787</v>
      </c>
      <c r="G88" s="26">
        <f>[13]Quantity_shares!BE314</f>
        <v>2.8714225589225588E-2</v>
      </c>
      <c r="H88" s="26">
        <f>[13]Quantity_shares!BF314</f>
        <v>3.056607744107744E-3</v>
      </c>
      <c r="I88" s="26">
        <f>[13]Quantity_shares!BG314</f>
        <v>3.8720538720538718E-2</v>
      </c>
      <c r="Q88" s="72">
        <f>MECS_data_SIC!BP48</f>
        <v>7.0154565564834528E-2</v>
      </c>
      <c r="R88" s="72">
        <f>MECS_data_SIC!BQ48</f>
        <v>4.5707485006585398E-2</v>
      </c>
      <c r="S88" s="72">
        <f>MECS_data_SIC!BR48</f>
        <v>0.70368410128894976</v>
      </c>
      <c r="T88" s="72">
        <f>MECS_data_SIC!BS48</f>
        <v>1.5968580824288148E-2</v>
      </c>
      <c r="U88" s="72">
        <f>MECS_data_SIC!BT48</f>
        <v>0.16448526731534213</v>
      </c>
      <c r="V88" s="26">
        <v>0</v>
      </c>
      <c r="W88" s="26">
        <v>0</v>
      </c>
      <c r="X88" s="26">
        <f t="shared" si="9"/>
        <v>1</v>
      </c>
      <c r="Y88" s="26"/>
      <c r="AA88" s="4">
        <f>'[33]Predicted Residual Prices'!AP88</f>
        <v>2.6469999999999998</v>
      </c>
      <c r="AB88" s="4">
        <f>'[34]Predicted Distillate Prices'!AP88</f>
        <v>4.181</v>
      </c>
      <c r="AC88" s="4">
        <f>'[35]Predicted Gas Prices'!AQ88</f>
        <v>3.5229999999999997</v>
      </c>
      <c r="AD88" s="4">
        <f>'[36]Predicted LPG Prices'!AP88</f>
        <v>5.1889999999999992</v>
      </c>
      <c r="AE88" s="4">
        <f>'[37]Predicted Coal Prices'!AP88</f>
        <v>1.1759999999999999</v>
      </c>
      <c r="AF88" s="4">
        <v>0</v>
      </c>
      <c r="AG88" s="4">
        <v>0</v>
      </c>
      <c r="AH88" s="4"/>
      <c r="AI88" s="17" t="str">
        <f t="shared" si="12"/>
        <v>334</v>
      </c>
      <c r="AJ88" s="115">
        <f t="shared" si="13"/>
        <v>3.1321768589636938</v>
      </c>
    </row>
    <row r="89" spans="4:36" x14ac:dyDescent="0.2">
      <c r="D89">
        <f>[13]Quantity_shares!BB315</f>
        <v>2001</v>
      </c>
      <c r="E89" t="str">
        <f>[13]Quantity_shares!BC315</f>
        <v>335</v>
      </c>
      <c r="F89" s="26">
        <f>[13]Quantity_shares!BD315</f>
        <v>0.8487356676640595</v>
      </c>
      <c r="G89" s="26">
        <f>[13]Quantity_shares!BE315</f>
        <v>2.5437251377845929E-2</v>
      </c>
      <c r="H89" s="26">
        <f>[13]Quantity_shares!BF315</f>
        <v>8.1052689226663744E-3</v>
      </c>
      <c r="I89" s="26">
        <f>[13]Quantity_shares!BG315</f>
        <v>0.1177218120354282</v>
      </c>
      <c r="Q89" s="72">
        <f>MECS_data_SIC!BP49</f>
        <v>4.3623612997427542E-2</v>
      </c>
      <c r="R89" s="72">
        <f>MECS_data_SIC!BQ49</f>
        <v>5.1121716824774531E-2</v>
      </c>
      <c r="S89" s="72">
        <f>MECS_data_SIC!BR49</f>
        <v>0.80990431844458644</v>
      </c>
      <c r="T89" s="72">
        <f>MECS_data_SIC!BS49</f>
        <v>2.7093747343639681E-2</v>
      </c>
      <c r="U89" s="72">
        <f>MECS_data_SIC!BT49</f>
        <v>6.8256604389571818E-2</v>
      </c>
      <c r="V89" s="26">
        <v>0</v>
      </c>
      <c r="W89" s="26">
        <v>0</v>
      </c>
      <c r="X89" s="26">
        <f t="shared" si="9"/>
        <v>1</v>
      </c>
      <c r="Y89" s="26"/>
      <c r="AA89" s="4">
        <f>'[33]Predicted Residual Prices'!AP89</f>
        <v>2.71</v>
      </c>
      <c r="AB89" s="4">
        <f>'[34]Predicted Distillate Prices'!AP89</f>
        <v>4.37</v>
      </c>
      <c r="AC89" s="4">
        <f>'[35]Predicted Gas Prices'!AQ89</f>
        <v>3.43</v>
      </c>
      <c r="AD89" s="4">
        <f>'[36]Predicted LPG Prices'!AP89</f>
        <v>5.81</v>
      </c>
      <c r="AE89" s="4">
        <f>'[37]Predicted Coal Prices'!AP89</f>
        <v>1.68</v>
      </c>
      <c r="AF89" s="4">
        <v>0</v>
      </c>
      <c r="AG89" s="4">
        <v>0</v>
      </c>
      <c r="AH89" s="4"/>
      <c r="AI89" s="17" t="str">
        <f t="shared" si="12"/>
        <v>335</v>
      </c>
      <c r="AJ89" s="115">
        <f t="shared" si="13"/>
        <v>3.3916794734532525</v>
      </c>
    </row>
    <row r="90" spans="4:36" x14ac:dyDescent="0.2">
      <c r="D90">
        <f>[13]Quantity_shares!BB316</f>
        <v>2001</v>
      </c>
      <c r="E90" t="str">
        <f>[13]Quantity_shares!BC316</f>
        <v>336</v>
      </c>
      <c r="F90" s="26">
        <f>[13]Quantity_shares!BD316</f>
        <v>0.77410845544648366</v>
      </c>
      <c r="G90" s="26">
        <f>[13]Quantity_shares!BE316</f>
        <v>4.6177739839711671E-2</v>
      </c>
      <c r="H90" s="26">
        <f>[13]Quantity_shares!BF316</f>
        <v>4.7884952814530278E-2</v>
      </c>
      <c r="I90" s="26">
        <f>[13]Quantity_shares!BG316</f>
        <v>0.13182885189927446</v>
      </c>
      <c r="Q90" s="72">
        <f>MECS_data_SIC!BP50</f>
        <v>8.420250810133903E-2</v>
      </c>
      <c r="R90" s="72">
        <f>MECS_data_SIC!BQ50</f>
        <v>4.7574688354842874E-2</v>
      </c>
      <c r="S90" s="72">
        <f>MECS_data_SIC!BR50</f>
        <v>0.69309132329261347</v>
      </c>
      <c r="T90" s="72">
        <f>MECS_data_SIC!BS50</f>
        <v>1.102889679121093E-2</v>
      </c>
      <c r="U90" s="72">
        <f>MECS_data_SIC!BT50</f>
        <v>0.1641025834599936</v>
      </c>
      <c r="V90" s="26">
        <v>0</v>
      </c>
      <c r="W90" s="26">
        <v>0</v>
      </c>
      <c r="X90" s="26">
        <f t="shared" si="9"/>
        <v>0.99999999999999989</v>
      </c>
      <c r="Y90" s="26"/>
      <c r="AA90" s="4">
        <f>'[33]Predicted Residual Prices'!AP90</f>
        <v>2.88</v>
      </c>
      <c r="AB90" s="4">
        <f>'[34]Predicted Distillate Prices'!AP90</f>
        <v>4.4000000000000004</v>
      </c>
      <c r="AC90" s="4">
        <f>'[35]Predicted Gas Prices'!AQ90</f>
        <v>3.48</v>
      </c>
      <c r="AD90" s="4">
        <f>'[36]Predicted LPG Prices'!AP90</f>
        <v>5.5</v>
      </c>
      <c r="AE90" s="4">
        <f>'[37]Predicted Coal Prices'!AP90</f>
        <v>2.0499999999999998</v>
      </c>
      <c r="AF90" s="4">
        <v>0</v>
      </c>
      <c r="AG90" s="4">
        <v>0</v>
      </c>
      <c r="AH90" s="4"/>
      <c r="AI90" s="17" t="str">
        <f t="shared" si="12"/>
        <v>336</v>
      </c>
      <c r="AJ90" s="115">
        <f t="shared" si="13"/>
        <v>3.2608588855961069</v>
      </c>
    </row>
    <row r="91" spans="4:36" x14ac:dyDescent="0.2">
      <c r="D91">
        <f>[13]Quantity_shares!BB317</f>
        <v>2001</v>
      </c>
      <c r="E91" t="str">
        <f>[13]Quantity_shares!BC317</f>
        <v>337</v>
      </c>
      <c r="F91" s="26">
        <f>[13]Quantity_shares!BD317</f>
        <v>0.58621624206867962</v>
      </c>
      <c r="G91" s="26">
        <f>[13]Quantity_shares!BE317</f>
        <v>2.7944286792292397E-2</v>
      </c>
      <c r="H91" s="26">
        <f>[13]Quantity_shares!BF317</f>
        <v>3.677635005154694E-2</v>
      </c>
      <c r="I91" s="26">
        <f>[13]Quantity_shares!BG317</f>
        <v>0.349063121087481</v>
      </c>
      <c r="Q91" s="72">
        <f>MECS_data_SIC!BP51</f>
        <v>3.7022077807239526E-2</v>
      </c>
      <c r="R91" s="72">
        <f>MECS_data_SIC!BQ51</f>
        <v>0.10957942344112699</v>
      </c>
      <c r="S91" s="72">
        <f>MECS_data_SIC!BR51</f>
        <v>0.72268323269858969</v>
      </c>
      <c r="T91" s="72">
        <f>MECS_data_SIC!BS51</f>
        <v>3.8228618854431212E-2</v>
      </c>
      <c r="U91" s="72">
        <f>MECS_data_SIC!BT51</f>
        <v>9.248664719861252E-2</v>
      </c>
      <c r="V91" s="26">
        <v>0</v>
      </c>
      <c r="W91" s="26">
        <v>0</v>
      </c>
      <c r="X91" s="26">
        <f t="shared" si="9"/>
        <v>1</v>
      </c>
      <c r="Y91" s="26"/>
      <c r="AA91" s="4">
        <f>'[33]Predicted Residual Prices'!AP91</f>
        <v>3.14</v>
      </c>
      <c r="AB91" s="4">
        <f>'[34]Predicted Distillate Prices'!AP91</f>
        <v>5.22</v>
      </c>
      <c r="AC91" s="4">
        <f>'[35]Predicted Gas Prices'!AQ91</f>
        <v>3.9</v>
      </c>
      <c r="AD91" s="4">
        <f>'[36]Predicted LPG Prices'!AP91</f>
        <v>6.19</v>
      </c>
      <c r="AE91" s="4">
        <f>'[37]Predicted Coal Prices'!AP91</f>
        <v>2.1800000000000002</v>
      </c>
      <c r="AF91" s="4">
        <v>0</v>
      </c>
      <c r="AG91" s="4">
        <v>0</v>
      </c>
      <c r="AH91" s="4"/>
      <c r="AI91" s="17" t="str">
        <f t="shared" si="12"/>
        <v>337</v>
      </c>
      <c r="AJ91" s="115">
        <f t="shared" si="13"/>
        <v>3.9449745638038189</v>
      </c>
    </row>
    <row r="92" spans="4:36" x14ac:dyDescent="0.2">
      <c r="D92">
        <f>[13]Quantity_shares!BB318</f>
        <v>2001</v>
      </c>
      <c r="E92" t="str">
        <f>[13]Quantity_shares!BC318</f>
        <v>339</v>
      </c>
      <c r="F92" s="26">
        <f>[13]Quantity_shares!BD318</f>
        <v>0.87392055267702917</v>
      </c>
      <c r="G92" s="26">
        <f>[13]Quantity_shares!BE318</f>
        <v>3.637737478411053E-2</v>
      </c>
      <c r="H92" s="26">
        <f>[13]Quantity_shares!BF318</f>
        <v>1.2953367875649753E-3</v>
      </c>
      <c r="I92" s="26">
        <f>[13]Quantity_shares!BG318</f>
        <v>8.8406735751295318E-2</v>
      </c>
      <c r="Q92" s="72">
        <f>MECS_data_SIC!BP52</f>
        <v>8.6003133354025915E-2</v>
      </c>
      <c r="R92" s="72">
        <f>MECS_data_SIC!BQ52</f>
        <v>5.0798072690734677E-2</v>
      </c>
      <c r="S92" s="72">
        <f>MECS_data_SIC!BR52</f>
        <v>0.66443306039836125</v>
      </c>
      <c r="T92" s="72">
        <f>MECS_data_SIC!BS52</f>
        <v>1.1218305624481697E-2</v>
      </c>
      <c r="U92" s="72">
        <f>MECS_data_SIC!BT52</f>
        <v>0.18754742793239659</v>
      </c>
      <c r="V92" s="26">
        <v>0</v>
      </c>
      <c r="W92" s="26">
        <v>0</v>
      </c>
      <c r="X92" s="26">
        <f t="shared" si="9"/>
        <v>1</v>
      </c>
      <c r="Y92" s="26"/>
      <c r="AA92" s="4">
        <f>'[33]Predicted Residual Prices'!AP92</f>
        <v>2.87</v>
      </c>
      <c r="AB92" s="4">
        <f>'[34]Predicted Distillate Prices'!AP92</f>
        <v>4.9800000000000004</v>
      </c>
      <c r="AC92" s="4">
        <f>'[35]Predicted Gas Prices'!AQ92</f>
        <v>3.74</v>
      </c>
      <c r="AD92" s="4">
        <f>'[36]Predicted LPG Prices'!AP92</f>
        <v>7.65</v>
      </c>
      <c r="AE92" s="4">
        <f>'[37]Predicted Coal Prices'!AP92</f>
        <v>1.82</v>
      </c>
      <c r="AF92" s="4">
        <v>0</v>
      </c>
      <c r="AG92" s="4">
        <v>0</v>
      </c>
      <c r="AH92" s="4"/>
      <c r="AI92" s="17" t="str">
        <f t="shared" si="12"/>
        <v>339</v>
      </c>
      <c r="AJ92" s="115">
        <f t="shared" si="13"/>
        <v>3.4119393974800314</v>
      </c>
    </row>
    <row r="93" spans="4:36" x14ac:dyDescent="0.2">
      <c r="D93" s="27">
        <f>[13]Quantity_shares!BB319</f>
        <v>2002</v>
      </c>
      <c r="E93" s="27" t="str">
        <f>[13]Quantity_shares!BC319</f>
        <v>311</v>
      </c>
      <c r="F93" s="28">
        <f>[13]Quantity_shares!BD319</f>
        <v>0.6489841986455982</v>
      </c>
      <c r="G93" s="28">
        <f>[13]Quantity_shares!BE319</f>
        <v>3.6117381489841983E-2</v>
      </c>
      <c r="H93" s="28">
        <f>[13]Quantity_shares!BF319</f>
        <v>0.20767494356659141</v>
      </c>
      <c r="I93" s="28">
        <f>[13]Quantity_shares!BG319</f>
        <v>0.1072234762979684</v>
      </c>
      <c r="K93" s="17">
        <f>S93</f>
        <v>0.69437274389879444</v>
      </c>
      <c r="L93" s="17">
        <f>Q93+R93</f>
        <v>9.5628330473407436E-2</v>
      </c>
      <c r="M93" s="17">
        <f>U93+V93</f>
        <v>0.1978194175235129</v>
      </c>
      <c r="N93" s="17">
        <f>T93+W93</f>
        <v>1.2179508104285284E-2</v>
      </c>
      <c r="P93">
        <v>1989</v>
      </c>
      <c r="Q93" s="26">
        <f>0.667*Q72+0.333*Q135</f>
        <v>5.5886252870674127E-2</v>
      </c>
      <c r="R93" s="26">
        <f t="shared" ref="R93:U93" si="14">0.667*R72+0.333*R135</f>
        <v>3.9742077602733315E-2</v>
      </c>
      <c r="S93" s="26">
        <f t="shared" si="14"/>
        <v>0.69437274389879444</v>
      </c>
      <c r="T93" s="26">
        <f t="shared" si="14"/>
        <v>1.2179508104285284E-2</v>
      </c>
      <c r="U93" s="26">
        <f t="shared" si="14"/>
        <v>0.1978194175235129</v>
      </c>
      <c r="V93" s="26">
        <v>0</v>
      </c>
      <c r="W93" s="26">
        <v>0</v>
      </c>
      <c r="X93" s="26">
        <f t="shared" si="9"/>
        <v>1</v>
      </c>
      <c r="Y93" s="34"/>
      <c r="Z93">
        <v>1989</v>
      </c>
      <c r="AA93" s="4">
        <f>'[33]Predicted Residual Prices'!AP93</f>
        <v>2.6469874047274664</v>
      </c>
      <c r="AB93" s="4">
        <f>'[34]Predicted Distillate Prices'!AP93</f>
        <v>5.4491273405003922</v>
      </c>
      <c r="AC93" s="4">
        <f>'[35]Predicted Gas Prices'!AQ93</f>
        <v>2.9294903000108672</v>
      </c>
      <c r="AD93" s="4">
        <f>'[36]Predicted LPG Prices'!AP93</f>
        <v>5.9866310835259178</v>
      </c>
      <c r="AE93" s="4">
        <f>'[37]Predicted Coal Prices'!AP93</f>
        <v>1.4969327586942665</v>
      </c>
      <c r="AF93" s="4">
        <v>0</v>
      </c>
      <c r="AG93" s="4">
        <v>0</v>
      </c>
      <c r="AH93" s="4"/>
      <c r="AI93" s="17" t="s">
        <v>10</v>
      </c>
      <c r="AJ93" s="115">
        <f t="shared" si="13"/>
        <v>2.7676846551188143</v>
      </c>
    </row>
    <row r="94" spans="4:36" x14ac:dyDescent="0.2">
      <c r="D94" s="27">
        <f>[13]Quantity_shares!BB320</f>
        <v>2002</v>
      </c>
      <c r="E94" s="27" t="str">
        <f>[13]Quantity_shares!BC320</f>
        <v>312</v>
      </c>
      <c r="F94" s="28">
        <f>[13]Quantity_shares!BD320</f>
        <v>0.58974358974358976</v>
      </c>
      <c r="G94" s="28">
        <f>[13]Quantity_shares!BE320</f>
        <v>5.128205128205128E-2</v>
      </c>
      <c r="H94" s="28">
        <f>[13]Quantity_shares!BF320</f>
        <v>0.21794871794871795</v>
      </c>
      <c r="I94" s="28">
        <f>[13]Quantity_shares!BG320</f>
        <v>0.14102564102564102</v>
      </c>
      <c r="K94" s="17">
        <f t="shared" ref="K94:K113" si="15">S94</f>
        <v>0.39388807049054686</v>
      </c>
      <c r="L94" s="17">
        <f t="shared" ref="L94:L113" si="16">Q94+R94</f>
        <v>9.9144800045408779E-2</v>
      </c>
      <c r="M94" s="17">
        <f t="shared" ref="M94:M113" si="17">U94+V94</f>
        <v>0.50486901649792104</v>
      </c>
      <c r="N94" s="17">
        <f t="shared" ref="N94:N113" si="18">T94+W94</f>
        <v>2.0981129661233481E-3</v>
      </c>
      <c r="Q94" s="26">
        <f t="shared" ref="Q94:U94" si="19">0.667*Q73+0.333*Q136</f>
        <v>8.4294937068913528E-2</v>
      </c>
      <c r="R94" s="26">
        <f t="shared" si="19"/>
        <v>1.4849862976495248E-2</v>
      </c>
      <c r="S94" s="26">
        <f t="shared" si="19"/>
        <v>0.39388807049054686</v>
      </c>
      <c r="T94" s="26">
        <f t="shared" si="19"/>
        <v>2.0981129661233481E-3</v>
      </c>
      <c r="U94" s="26">
        <f t="shared" si="19"/>
        <v>0.50486901649792104</v>
      </c>
      <c r="V94" s="26">
        <v>0</v>
      </c>
      <c r="W94" s="26">
        <v>0</v>
      </c>
      <c r="X94" s="26">
        <f t="shared" si="9"/>
        <v>1</v>
      </c>
      <c r="Y94" s="34"/>
      <c r="AA94" s="4">
        <f>'[33]Predicted Residual Prices'!AP94</f>
        <v>2.5255731207691698</v>
      </c>
      <c r="AB94" s="4">
        <f>'[34]Predicted Distillate Prices'!AP94</f>
        <v>4.3926899999999991</v>
      </c>
      <c r="AC94" s="4">
        <f>'[35]Predicted Gas Prices'!AQ94</f>
        <v>3.24857</v>
      </c>
      <c r="AD94" s="4">
        <f>'[36]Predicted LPG Prices'!AP94</f>
        <v>5.7897212478379174</v>
      </c>
      <c r="AE94" s="4">
        <f>'[37]Predicted Coal Prices'!AP94</f>
        <v>2.045152121437436</v>
      </c>
      <c r="AF94" s="4">
        <v>0</v>
      </c>
      <c r="AG94" s="4">
        <v>0</v>
      </c>
      <c r="AH94" s="4"/>
      <c r="AI94" s="17" t="s">
        <v>12</v>
      </c>
      <c r="AJ94" s="115">
        <f t="shared" si="13"/>
        <v>2.6023782703889573</v>
      </c>
    </row>
    <row r="95" spans="4:36" x14ac:dyDescent="0.2">
      <c r="D95" s="27">
        <f>[13]Quantity_shares!BB321</f>
        <v>2002</v>
      </c>
      <c r="E95" s="27" t="str">
        <f>[13]Quantity_shares!BC321</f>
        <v>313</v>
      </c>
      <c r="F95" s="28">
        <f>[13]Quantity_shares!BD321</f>
        <v>0.62184873949579833</v>
      </c>
      <c r="G95" s="28">
        <f>[13]Quantity_shares!BE321</f>
        <v>5.0420168067226892E-2</v>
      </c>
      <c r="H95" s="28">
        <f>[13]Quantity_shares!BF321</f>
        <v>0.18487394957983194</v>
      </c>
      <c r="I95" s="28">
        <f>[13]Quantity_shares!BG321</f>
        <v>0.14285714285714285</v>
      </c>
      <c r="K95" s="17">
        <f t="shared" si="15"/>
        <v>0.61385716501882159</v>
      </c>
      <c r="L95" s="17">
        <f t="shared" si="16"/>
        <v>0.14594109029181629</v>
      </c>
      <c r="M95" s="17">
        <f t="shared" si="17"/>
        <v>0.22435049579908128</v>
      </c>
      <c r="N95" s="17">
        <f t="shared" si="18"/>
        <v>1.5851248890280889E-2</v>
      </c>
      <c r="Q95" s="26">
        <f t="shared" ref="Q95:U95" si="20">0.667*Q74+0.333*Q137</f>
        <v>0.10517032681845902</v>
      </c>
      <c r="R95" s="26">
        <f t="shared" si="20"/>
        <v>4.0770763473357272E-2</v>
      </c>
      <c r="S95" s="26">
        <f t="shared" si="20"/>
        <v>0.61385716501882159</v>
      </c>
      <c r="T95" s="26">
        <f t="shared" si="20"/>
        <v>1.5851248890280889E-2</v>
      </c>
      <c r="U95" s="26">
        <f t="shared" si="20"/>
        <v>0.22435049579908128</v>
      </c>
      <c r="V95" s="26">
        <v>0</v>
      </c>
      <c r="W95" s="26">
        <v>0</v>
      </c>
      <c r="X95" s="26">
        <f t="shared" ref="X95:X158" si="21">SUM(Q95:W95)</f>
        <v>1</v>
      </c>
      <c r="Y95" s="34"/>
      <c r="AA95" s="4">
        <f>'[33]Predicted Residual Prices'!AP95</f>
        <v>3.1196905193144979</v>
      </c>
      <c r="AB95" s="4">
        <f>'[34]Predicted Distillate Prices'!AP95</f>
        <v>4.5001327238523077</v>
      </c>
      <c r="AC95" s="4">
        <f>'[35]Predicted Gas Prices'!AQ95</f>
        <v>3.4833221895475415</v>
      </c>
      <c r="AD95" s="4">
        <f>'[36]Predicted LPG Prices'!AP95</f>
        <v>4.1797327533698967</v>
      </c>
      <c r="AE95" s="4">
        <f>'[37]Predicted Coal Prices'!AP95</f>
        <v>1.9321517248073905</v>
      </c>
      <c r="AF95" s="4">
        <v>0</v>
      </c>
      <c r="AG95" s="4">
        <v>0</v>
      </c>
      <c r="AH95" s="4"/>
      <c r="AI95" s="17" t="s">
        <v>14</v>
      </c>
      <c r="AJ95" s="115">
        <f t="shared" si="13"/>
        <v>3.1495681840825727</v>
      </c>
    </row>
    <row r="96" spans="4:36" x14ac:dyDescent="0.2">
      <c r="D96" s="27">
        <f>[13]Quantity_shares!BB322</f>
        <v>2002</v>
      </c>
      <c r="E96" s="27" t="str">
        <f>[13]Quantity_shares!BC322</f>
        <v>314</v>
      </c>
      <c r="F96" s="28">
        <f>[13]Quantity_shares!BD322</f>
        <v>0.67441860465116277</v>
      </c>
      <c r="G96" s="28">
        <f>[13]Quantity_shares!BE322</f>
        <v>4.6511627906976744E-2</v>
      </c>
      <c r="H96" s="28">
        <f>[13]Quantity_shares!BF322</f>
        <v>0.2558139534883721</v>
      </c>
      <c r="I96" s="28">
        <f>[13]Quantity_shares!BG322</f>
        <v>2.3255813953488372E-2</v>
      </c>
      <c r="K96" s="17">
        <f t="shared" si="15"/>
        <v>0.61385716501882159</v>
      </c>
      <c r="L96" s="17">
        <f t="shared" si="16"/>
        <v>0.14594109029181629</v>
      </c>
      <c r="M96" s="17">
        <f t="shared" si="17"/>
        <v>0.22435049579908128</v>
      </c>
      <c r="N96" s="17">
        <f t="shared" si="18"/>
        <v>1.5851248890280889E-2</v>
      </c>
      <c r="Q96" s="26">
        <f t="shared" ref="Q96:U96" si="22">0.667*Q75+0.333*Q138</f>
        <v>0.10517032681845902</v>
      </c>
      <c r="R96" s="26">
        <f t="shared" si="22"/>
        <v>4.0770763473357272E-2</v>
      </c>
      <c r="S96" s="26">
        <f t="shared" si="22"/>
        <v>0.61385716501882159</v>
      </c>
      <c r="T96" s="26">
        <f t="shared" si="22"/>
        <v>1.5851248890280889E-2</v>
      </c>
      <c r="U96" s="26">
        <f t="shared" si="22"/>
        <v>0.22435049579908128</v>
      </c>
      <c r="V96" s="26">
        <v>0</v>
      </c>
      <c r="W96" s="26">
        <v>0</v>
      </c>
      <c r="X96" s="26">
        <f t="shared" si="21"/>
        <v>1</v>
      </c>
      <c r="Y96" s="34"/>
      <c r="AA96" s="4">
        <f>'[33]Predicted Residual Prices'!AP96</f>
        <v>3.2596995612348896</v>
      </c>
      <c r="AB96" s="4">
        <f>'[34]Predicted Distillate Prices'!AP96</f>
        <v>3.8331133363174588</v>
      </c>
      <c r="AC96" s="4">
        <f>'[35]Predicted Gas Prices'!AQ96</f>
        <v>3.4832540798260481</v>
      </c>
      <c r="AD96" s="4">
        <f>'[36]Predicted LPG Prices'!AP96</f>
        <v>3.8238627872007283</v>
      </c>
      <c r="AE96" s="4">
        <f>'[37]Predicted Coal Prices'!AP96</f>
        <v>1.930779220345378</v>
      </c>
      <c r="AF96" s="4">
        <v>0</v>
      </c>
      <c r="AG96" s="4">
        <v>0</v>
      </c>
      <c r="AH96" s="4"/>
      <c r="AI96" s="17" t="s">
        <v>16</v>
      </c>
      <c r="AJ96" s="115">
        <f t="shared" si="13"/>
        <v>3.1311073759941439</v>
      </c>
    </row>
    <row r="97" spans="4:36" x14ac:dyDescent="0.2">
      <c r="D97" s="27">
        <f>[13]Quantity_shares!BB323</f>
        <v>2002</v>
      </c>
      <c r="E97" s="27" t="str">
        <f>[13]Quantity_shares!BC323</f>
        <v>315</v>
      </c>
      <c r="F97" s="28">
        <f>[13]Quantity_shares!BD323</f>
        <v>0.86486486486486436</v>
      </c>
      <c r="G97" s="28">
        <f>[13]Quantity_shares!BE323</f>
        <v>8.108108108108103E-2</v>
      </c>
      <c r="H97" s="28">
        <f>[13]Quantity_shares!BF323</f>
        <v>5.4054054054054022E-16</v>
      </c>
      <c r="I97" s="28">
        <f>[13]Quantity_shares!BG323</f>
        <v>5.4054054054054022E-2</v>
      </c>
      <c r="K97" s="17">
        <f t="shared" si="15"/>
        <v>0.75868239037132046</v>
      </c>
      <c r="L97" s="17">
        <f t="shared" si="16"/>
        <v>0.12285399123334202</v>
      </c>
      <c r="M97" s="17">
        <f t="shared" si="17"/>
        <v>9.2737929425204702E-2</v>
      </c>
      <c r="N97" s="17">
        <f t="shared" si="18"/>
        <v>2.5725688970132842E-2</v>
      </c>
      <c r="Q97" s="26">
        <f t="shared" ref="Q97:U97" si="23">0.667*Q76+0.333*Q139</f>
        <v>5.865618625132113E-2</v>
      </c>
      <c r="R97" s="26">
        <f t="shared" si="23"/>
        <v>6.4197804982020892E-2</v>
      </c>
      <c r="S97" s="26">
        <f t="shared" si="23"/>
        <v>0.75868239037132046</v>
      </c>
      <c r="T97" s="26">
        <f t="shared" si="23"/>
        <v>2.5725688970132842E-2</v>
      </c>
      <c r="U97" s="26">
        <f t="shared" si="23"/>
        <v>9.2737929425204702E-2</v>
      </c>
      <c r="V97" s="26">
        <v>0</v>
      </c>
      <c r="W97" s="26">
        <v>0</v>
      </c>
      <c r="X97" s="26">
        <f t="shared" si="21"/>
        <v>1</v>
      </c>
      <c r="Y97" s="34"/>
      <c r="AA97" s="4">
        <f>'[33]Predicted Residual Prices'!AP97</f>
        <v>3.6229392084772618</v>
      </c>
      <c r="AB97" s="4">
        <f>'[34]Predicted Distillate Prices'!AP97</f>
        <v>4.8470466839734518</v>
      </c>
      <c r="AC97" s="4">
        <f>'[35]Predicted Gas Prices'!AQ97</f>
        <v>4.1597147895684632</v>
      </c>
      <c r="AD97" s="4">
        <f>'[36]Predicted LPG Prices'!AP97</f>
        <v>5.933505731744134</v>
      </c>
      <c r="AE97" s="4">
        <f>'[37]Predicted Coal Prices'!AP97</f>
        <v>2.3055565320283873</v>
      </c>
      <c r="AF97" s="4">
        <v>0</v>
      </c>
      <c r="AG97" s="4">
        <v>0</v>
      </c>
      <c r="AH97" s="4"/>
      <c r="AI97" s="17" t="s">
        <v>18</v>
      </c>
      <c r="AJ97" s="115">
        <f t="shared" si="13"/>
        <v>4.0460359764692893</v>
      </c>
    </row>
    <row r="98" spans="4:36" x14ac:dyDescent="0.2">
      <c r="D98" s="27">
        <f>[13]Quantity_shares!BB324</f>
        <v>2002</v>
      </c>
      <c r="E98" s="27" t="str">
        <f>[13]Quantity_shares!BC324</f>
        <v>316</v>
      </c>
      <c r="F98" s="28">
        <f>[13]Quantity_shares!BD324</f>
        <v>0.83333333333333148</v>
      </c>
      <c r="G98" s="28">
        <f>[13]Quantity_shares!BE324</f>
        <v>8.3333333333333162E-2</v>
      </c>
      <c r="H98" s="28">
        <f>[13]Quantity_shares!BF324</f>
        <v>2.0833333333333287E-15</v>
      </c>
      <c r="I98" s="28">
        <f>[13]Quantity_shares!BG324</f>
        <v>8.3333333333333162E-2</v>
      </c>
      <c r="K98" s="17">
        <f t="shared" si="15"/>
        <v>0.52659869857045516</v>
      </c>
      <c r="L98" s="17">
        <f t="shared" si="16"/>
        <v>0.38030957743097049</v>
      </c>
      <c r="M98" s="17">
        <f t="shared" si="17"/>
        <v>8.1283759854830578E-2</v>
      </c>
      <c r="N98" s="17">
        <f t="shared" si="18"/>
        <v>1.180796414374392E-2</v>
      </c>
      <c r="Q98" s="26">
        <f t="shared" ref="Q98:U98" si="24">0.667*Q77+0.333*Q140</f>
        <v>0.26740781299211391</v>
      </c>
      <c r="R98" s="26">
        <f t="shared" si="24"/>
        <v>0.11290176443885658</v>
      </c>
      <c r="S98" s="26">
        <f t="shared" si="24"/>
        <v>0.52659869857045516</v>
      </c>
      <c r="T98" s="26">
        <f t="shared" si="24"/>
        <v>1.180796414374392E-2</v>
      </c>
      <c r="U98" s="26">
        <f t="shared" si="24"/>
        <v>8.1283759854830578E-2</v>
      </c>
      <c r="V98" s="26">
        <v>0</v>
      </c>
      <c r="W98" s="26">
        <v>0</v>
      </c>
      <c r="X98" s="26">
        <f t="shared" si="21"/>
        <v>1.0000000000000002</v>
      </c>
      <c r="Y98" s="34"/>
      <c r="AA98" s="4">
        <f>'[33]Predicted Residual Prices'!AP98</f>
        <v>2.9769691273699959</v>
      </c>
      <c r="AB98" s="4">
        <f>'[34]Predicted Distillate Prices'!AP98</f>
        <v>4.993162991145863</v>
      </c>
      <c r="AC98" s="4">
        <f>'[35]Predicted Gas Prices'!AQ98</f>
        <v>3.4089746409987778</v>
      </c>
      <c r="AD98" s="4">
        <f>'[36]Predicted LPG Prices'!AP98</f>
        <v>7.2504690878547171</v>
      </c>
      <c r="AE98" s="4">
        <f>'[37]Predicted Coal Prices'!AP98</f>
        <v>1.8872337983982261</v>
      </c>
      <c r="AF98" s="4">
        <v>0</v>
      </c>
      <c r="AG98" s="4">
        <v>0</v>
      </c>
      <c r="AH98" s="4"/>
      <c r="AI98" s="17" t="s">
        <v>20</v>
      </c>
      <c r="AJ98" s="115">
        <f t="shared" si="13"/>
        <v>3.3939780628094933</v>
      </c>
    </row>
    <row r="99" spans="4:36" x14ac:dyDescent="0.2">
      <c r="D99" s="27">
        <f>[13]Quantity_shares!BB325</f>
        <v>2002</v>
      </c>
      <c r="E99" s="27" t="str">
        <f>[13]Quantity_shares!BC325</f>
        <v>321</v>
      </c>
      <c r="F99" s="28">
        <f>[13]Quantity_shares!BD325</f>
        <v>0.18811881188118812</v>
      </c>
      <c r="G99" s="28">
        <f>[13]Quantity_shares!BE325</f>
        <v>3.6303630363036306E-2</v>
      </c>
      <c r="H99" s="28">
        <f>[13]Quantity_shares!BF325</f>
        <v>3.3003300330033004E-3</v>
      </c>
      <c r="I99" s="28">
        <f>[13]Quantity_shares!BG325</f>
        <v>0.7722772277227723</v>
      </c>
      <c r="K99" s="17">
        <f t="shared" si="15"/>
        <v>0.58954507236954923</v>
      </c>
      <c r="L99" s="17">
        <f t="shared" si="16"/>
        <v>0.33385737831088647</v>
      </c>
      <c r="M99" s="17">
        <f t="shared" si="17"/>
        <v>2.1550825174024704E-2</v>
      </c>
      <c r="N99" s="17">
        <f t="shared" si="18"/>
        <v>5.5046724145539669E-2</v>
      </c>
      <c r="Q99" s="26">
        <f t="shared" ref="Q99:U99" si="25">0.667*Q78+0.333*Q141</f>
        <v>2.1920195174057105E-2</v>
      </c>
      <c r="R99" s="26">
        <f t="shared" si="25"/>
        <v>0.31193718313682939</v>
      </c>
      <c r="S99" s="26">
        <f t="shared" si="25"/>
        <v>0.58954507236954923</v>
      </c>
      <c r="T99" s="26">
        <f t="shared" si="25"/>
        <v>5.5046724145539669E-2</v>
      </c>
      <c r="U99" s="26">
        <f t="shared" si="25"/>
        <v>2.1550825174024704E-2</v>
      </c>
      <c r="V99" s="26">
        <v>0</v>
      </c>
      <c r="W99" s="26">
        <v>0</v>
      </c>
      <c r="X99" s="26">
        <f t="shared" si="21"/>
        <v>1</v>
      </c>
      <c r="Y99" s="34"/>
      <c r="AA99" s="4">
        <f>'[33]Predicted Residual Prices'!AP99</f>
        <v>2.6600301171461536</v>
      </c>
      <c r="AB99" s="4">
        <f>'[34]Predicted Distillate Prices'!AP99</f>
        <v>5.0686780096345583</v>
      </c>
      <c r="AC99" s="4">
        <f>'[35]Predicted Gas Prices'!AQ99</f>
        <v>3.5393454488028855</v>
      </c>
      <c r="AD99" s="4">
        <f>'[36]Predicted LPG Prices'!AP99</f>
        <v>4.9727007170954325</v>
      </c>
      <c r="AE99" s="4">
        <f>'[37]Predicted Coal Prices'!AP99</f>
        <v>2.4838260472558287</v>
      </c>
      <c r="AF99" s="4">
        <v>0</v>
      </c>
      <c r="AG99" s="4">
        <v>0</v>
      </c>
      <c r="AH99" s="4"/>
      <c r="AI99" s="17" t="s">
        <v>22</v>
      </c>
      <c r="AJ99" s="115">
        <f t="shared" si="13"/>
        <v>4.0532805741844191</v>
      </c>
    </row>
    <row r="100" spans="4:36" x14ac:dyDescent="0.2">
      <c r="D100" s="27">
        <f>[13]Quantity_shares!BB326</f>
        <v>2002</v>
      </c>
      <c r="E100" s="27" t="str">
        <f>[13]Quantity_shares!BC326</f>
        <v>322</v>
      </c>
      <c r="F100" s="28">
        <f>[13]Quantity_shares!BD326</f>
        <v>0.2358446420215255</v>
      </c>
      <c r="G100" s="28">
        <f>[13]Quantity_shares!BE326</f>
        <v>5.2877866167524566E-2</v>
      </c>
      <c r="H100" s="28">
        <f>[13]Quantity_shares!BF326</f>
        <v>0.10949929808142256</v>
      </c>
      <c r="I100" s="28">
        <f>[13]Quantity_shares!BG326</f>
        <v>0.60177819372952734</v>
      </c>
      <c r="K100" s="17">
        <f t="shared" si="15"/>
        <v>0.48787415969924508</v>
      </c>
      <c r="L100" s="17">
        <f t="shared" si="16"/>
        <v>0.19093147156086032</v>
      </c>
      <c r="M100" s="17">
        <f t="shared" si="17"/>
        <v>0.31628554922911967</v>
      </c>
      <c r="N100" s="17">
        <f t="shared" si="18"/>
        <v>4.9088195107749146E-3</v>
      </c>
      <c r="Q100" s="26">
        <f t="shared" ref="Q100:U100" si="26">0.667*Q79+0.333*Q142</f>
        <v>0.17899526692739021</v>
      </c>
      <c r="R100" s="26">
        <f t="shared" si="26"/>
        <v>1.1936204633470114E-2</v>
      </c>
      <c r="S100" s="26">
        <f t="shared" si="26"/>
        <v>0.48787415969924508</v>
      </c>
      <c r="T100" s="26">
        <f t="shared" si="26"/>
        <v>4.9088195107749146E-3</v>
      </c>
      <c r="U100" s="26">
        <f t="shared" si="26"/>
        <v>0.31628554922911967</v>
      </c>
      <c r="V100" s="26">
        <v>0</v>
      </c>
      <c r="W100" s="26">
        <v>0</v>
      </c>
      <c r="X100" s="26">
        <f t="shared" si="21"/>
        <v>1</v>
      </c>
      <c r="Y100" s="34"/>
      <c r="AA100" s="4">
        <f>'[33]Predicted Residual Prices'!AP100</f>
        <v>2.6163357011278059</v>
      </c>
      <c r="AB100" s="4">
        <f>'[34]Predicted Distillate Prices'!AP100</f>
        <v>4.2261832229512937</v>
      </c>
      <c r="AC100" s="4">
        <f>'[35]Predicted Gas Prices'!AQ100</f>
        <v>2.4963000203372183</v>
      </c>
      <c r="AD100" s="4">
        <f>'[36]Predicted LPG Prices'!AP100</f>
        <v>5.1401549371869848</v>
      </c>
      <c r="AE100" s="4">
        <f>'[37]Predicted Coal Prices'!AP100</f>
        <v>1.797510193786197</v>
      </c>
      <c r="AF100" s="4">
        <v>0</v>
      </c>
      <c r="AG100" s="4">
        <v>0</v>
      </c>
      <c r="AH100" s="4"/>
      <c r="AI100" s="17" t="s">
        <v>24</v>
      </c>
      <c r="AJ100" s="115">
        <f t="shared" si="13"/>
        <v>2.3303951614726239</v>
      </c>
    </row>
    <row r="101" spans="4:36" x14ac:dyDescent="0.2">
      <c r="D101" s="27">
        <f>[13]Quantity_shares!BB327</f>
        <v>2002</v>
      </c>
      <c r="E101" s="27" t="str">
        <f>[13]Quantity_shares!BC327</f>
        <v>323</v>
      </c>
      <c r="F101" s="28">
        <f>[13]Quantity_shares!BD327</f>
        <v>0.94650205761316852</v>
      </c>
      <c r="G101" s="28">
        <f>[13]Quantity_shares!BE327</f>
        <v>1.2345679012345677E-2</v>
      </c>
      <c r="H101" s="28">
        <f>[13]Quantity_shares!BF327</f>
        <v>2.0576131687242794E-16</v>
      </c>
      <c r="I101" s="28">
        <f>[13]Quantity_shares!BG327</f>
        <v>4.115226337448559E-2</v>
      </c>
      <c r="K101" s="17">
        <f t="shared" si="15"/>
        <v>0.92514171636496667</v>
      </c>
      <c r="L101" s="17">
        <f t="shared" si="16"/>
        <v>5.1224085718302087E-2</v>
      </c>
      <c r="M101" s="17">
        <f t="shared" si="17"/>
        <v>0</v>
      </c>
      <c r="N101" s="17">
        <f t="shared" si="18"/>
        <v>2.3634197916731256E-2</v>
      </c>
      <c r="Q101" s="26">
        <f t="shared" ref="Q101:U101" si="27">0.667*Q80+0.333*Q143</f>
        <v>1.129879802533024E-2</v>
      </c>
      <c r="R101" s="26">
        <f t="shared" si="27"/>
        <v>3.992528769297185E-2</v>
      </c>
      <c r="S101" s="26">
        <f t="shared" si="27"/>
        <v>0.92514171636496667</v>
      </c>
      <c r="T101" s="26">
        <f t="shared" si="27"/>
        <v>2.3634197916731256E-2</v>
      </c>
      <c r="U101" s="26">
        <f t="shared" si="27"/>
        <v>0</v>
      </c>
      <c r="V101" s="26">
        <v>0</v>
      </c>
      <c r="W101" s="26">
        <v>0</v>
      </c>
      <c r="X101" s="26">
        <f t="shared" si="21"/>
        <v>1</v>
      </c>
      <c r="Y101" s="34"/>
      <c r="AA101" s="4">
        <f>'[33]Predicted Residual Prices'!AP101</f>
        <v>3.1977638783689368</v>
      </c>
      <c r="AB101" s="4">
        <f>'[34]Predicted Distillate Prices'!AP101</f>
        <v>5.3866130050299796</v>
      </c>
      <c r="AC101" s="4">
        <f>'[35]Predicted Gas Prices'!AQ101</f>
        <v>3.9835308965739387</v>
      </c>
      <c r="AD101" s="4">
        <f>'[36]Predicted LPG Prices'!AP101</f>
        <v>7.0873329106742045</v>
      </c>
      <c r="AE101" s="4">
        <f>'[37]Predicted Coal Prices'!AP101</f>
        <v>1.8432197961309147</v>
      </c>
      <c r="AF101" s="4">
        <v>0</v>
      </c>
      <c r="AG101" s="4">
        <v>0</v>
      </c>
      <c r="AH101" s="4"/>
      <c r="AI101" s="17" t="s">
        <v>26</v>
      </c>
      <c r="AJ101" s="115">
        <f t="shared" si="13"/>
        <v>4.1040270016728382</v>
      </c>
    </row>
    <row r="102" spans="4:36" x14ac:dyDescent="0.2">
      <c r="D102" s="27">
        <f>[13]Quantity_shares!BB328</f>
        <v>2002</v>
      </c>
      <c r="E102" s="27" t="str">
        <f>[13]Quantity_shares!BC328</f>
        <v>324</v>
      </c>
      <c r="F102" s="28">
        <f>[13]Quantity_shares!BD328</f>
        <v>0.28552845528455284</v>
      </c>
      <c r="G102" s="28">
        <f>[13]Quantity_shares!BE328</f>
        <v>1.3333333333333334E-2</v>
      </c>
      <c r="H102" s="28">
        <f>[13]Quantity_shares!BF328</f>
        <v>4.2276422764227642E-3</v>
      </c>
      <c r="I102" s="28">
        <f>[13]Quantity_shares!BG328</f>
        <v>0.69691056910569105</v>
      </c>
      <c r="K102" s="17">
        <f t="shared" si="15"/>
        <v>0.9097258937615873</v>
      </c>
      <c r="L102" s="17">
        <f t="shared" si="16"/>
        <v>6.6011890400246701E-2</v>
      </c>
      <c r="M102" s="17">
        <f t="shared" si="17"/>
        <v>6.8410816761200173E-3</v>
      </c>
      <c r="N102" s="17">
        <f t="shared" si="18"/>
        <v>1.7421134162046027E-2</v>
      </c>
      <c r="Q102" s="26">
        <f t="shared" ref="Q102:U102" si="28">0.667*Q81+0.333*Q144</f>
        <v>4.1085299173124597E-2</v>
      </c>
      <c r="R102" s="26">
        <f t="shared" si="28"/>
        <v>2.49265912271221E-2</v>
      </c>
      <c r="S102" s="26">
        <f t="shared" si="28"/>
        <v>0.9097258937615873</v>
      </c>
      <c r="T102" s="26">
        <f t="shared" si="28"/>
        <v>1.7421134162046027E-2</v>
      </c>
      <c r="U102" s="26">
        <f t="shared" si="28"/>
        <v>6.8410816761200173E-3</v>
      </c>
      <c r="V102" s="26">
        <v>0</v>
      </c>
      <c r="W102" s="26">
        <v>0</v>
      </c>
      <c r="X102" s="26">
        <f t="shared" si="21"/>
        <v>1</v>
      </c>
      <c r="Y102" s="34"/>
      <c r="AA102" s="4">
        <f>'[33]Predicted Residual Prices'!AP102</f>
        <v>2.9335040079615542</v>
      </c>
      <c r="AB102" s="4">
        <f>'[34]Predicted Distillate Prices'!AP102</f>
        <v>4.8352188224852508</v>
      </c>
      <c r="AC102" s="4">
        <f>'[35]Predicted Gas Prices'!AQ102</f>
        <v>2.1270275201783795</v>
      </c>
      <c r="AD102" s="4">
        <f>'[36]Predicted LPG Prices'!AP102</f>
        <v>2.9004742550613463</v>
      </c>
      <c r="AE102" s="4">
        <f>'[37]Predicted Coal Prices'!AP102</f>
        <v>2.0119416626908282</v>
      </c>
      <c r="AF102" s="4">
        <v>0</v>
      </c>
      <c r="AG102" s="4">
        <v>0</v>
      </c>
      <c r="AH102" s="4"/>
      <c r="AI102" s="17" t="s">
        <v>28</v>
      </c>
      <c r="AJ102" s="115">
        <f t="shared" si="13"/>
        <v>2.2403548330972467</v>
      </c>
    </row>
    <row r="103" spans="4:36" x14ac:dyDescent="0.2">
      <c r="D103" s="27">
        <f>[13]Quantity_shares!BB329</f>
        <v>2002</v>
      </c>
      <c r="E103" s="27" t="str">
        <f>[13]Quantity_shares!BC329</f>
        <v>325</v>
      </c>
      <c r="F103" s="28">
        <f>[13]Quantity_shares!BD329</f>
        <v>0.51726263871763256</v>
      </c>
      <c r="G103" s="28">
        <f>[13]Quantity_shares!BE329</f>
        <v>1.7570900123304561E-2</v>
      </c>
      <c r="H103" s="28">
        <f>[13]Quantity_shares!BF329</f>
        <v>9.6794081381011102E-2</v>
      </c>
      <c r="I103" s="28">
        <f>[13]Quantity_shares!BG329</f>
        <v>0.36837237977805176</v>
      </c>
      <c r="K103" s="17">
        <f t="shared" si="15"/>
        <v>0.80762903524933793</v>
      </c>
      <c r="L103" s="17">
        <f t="shared" si="16"/>
        <v>4.9590748490629853E-2</v>
      </c>
      <c r="M103" s="17">
        <f t="shared" si="17"/>
        <v>0.14080818633577513</v>
      </c>
      <c r="N103" s="17">
        <f t="shared" si="18"/>
        <v>1.9720299242572369E-3</v>
      </c>
      <c r="Q103" s="26">
        <f t="shared" ref="Q103:U103" si="29">0.667*Q82+0.333*Q145</f>
        <v>4.2362075874789837E-2</v>
      </c>
      <c r="R103" s="26">
        <f t="shared" si="29"/>
        <v>7.2286726158400181E-3</v>
      </c>
      <c r="S103" s="26">
        <f t="shared" si="29"/>
        <v>0.80762903524933793</v>
      </c>
      <c r="T103" s="26">
        <f t="shared" si="29"/>
        <v>1.9720299242572369E-3</v>
      </c>
      <c r="U103" s="26">
        <f t="shared" si="29"/>
        <v>0.14080818633577513</v>
      </c>
      <c r="V103" s="26">
        <v>0</v>
      </c>
      <c r="W103" s="26">
        <v>0</v>
      </c>
      <c r="X103" s="26">
        <f t="shared" si="21"/>
        <v>1.0000000000000002</v>
      </c>
      <c r="Y103" s="34"/>
      <c r="AA103" s="4">
        <f>'[33]Predicted Residual Prices'!AP103</f>
        <v>2.3796245322097151</v>
      </c>
      <c r="AB103" s="4">
        <f>'[34]Predicted Distillate Prices'!AP103</f>
        <v>4.6217514059706355</v>
      </c>
      <c r="AC103" s="4">
        <f>'[35]Predicted Gas Prices'!AQ103</f>
        <v>1.9947368933499978</v>
      </c>
      <c r="AD103" s="4">
        <f>'[36]Predicted LPG Prices'!AP103</f>
        <v>4.1655689728140528</v>
      </c>
      <c r="AE103" s="4">
        <f>'[37]Predicted Coal Prices'!AP103</f>
        <v>1.6355252304331938</v>
      </c>
      <c r="AF103" s="4">
        <v>0</v>
      </c>
      <c r="AG103" s="4">
        <v>0</v>
      </c>
      <c r="AH103" s="4"/>
      <c r="AI103" s="17" t="s">
        <v>30</v>
      </c>
      <c r="AJ103" s="115">
        <f t="shared" si="13"/>
        <v>1.9837323636347053</v>
      </c>
    </row>
    <row r="104" spans="4:36" x14ac:dyDescent="0.2">
      <c r="D104" s="27">
        <f>[13]Quantity_shares!BB330</f>
        <v>2002</v>
      </c>
      <c r="E104" s="27" t="str">
        <f>[13]Quantity_shares!BC330</f>
        <v>326</v>
      </c>
      <c r="F104" s="28">
        <f>[13]Quantity_shares!BD330</f>
        <v>0.84432717678100266</v>
      </c>
      <c r="G104" s="28">
        <f>[13]Quantity_shares!BE330</f>
        <v>5.9366754617414252E-2</v>
      </c>
      <c r="H104" s="28">
        <f>[13]Quantity_shares!BF330</f>
        <v>4.3535620052770445E-2</v>
      </c>
      <c r="I104" s="28">
        <f>[13]Quantity_shares!BG330</f>
        <v>5.2770448548812667E-2</v>
      </c>
      <c r="K104" s="17">
        <f t="shared" si="15"/>
        <v>0.80022568722663878</v>
      </c>
      <c r="L104" s="17">
        <f t="shared" si="16"/>
        <v>0.12420194634375342</v>
      </c>
      <c r="M104" s="17">
        <f t="shared" si="17"/>
        <v>5.7903611036477835E-2</v>
      </c>
      <c r="N104" s="17">
        <f t="shared" si="18"/>
        <v>1.7668755393130002E-2</v>
      </c>
      <c r="Q104" s="26">
        <f t="shared" ref="Q104:U104" si="30">0.667*Q83+0.333*Q146</f>
        <v>9.3958136470269391E-2</v>
      </c>
      <c r="R104" s="26">
        <f t="shared" si="30"/>
        <v>3.0243809873484039E-2</v>
      </c>
      <c r="S104" s="26">
        <f t="shared" si="30"/>
        <v>0.80022568722663878</v>
      </c>
      <c r="T104" s="26">
        <f t="shared" si="30"/>
        <v>1.7668755393130002E-2</v>
      </c>
      <c r="U104" s="26">
        <f t="shared" si="30"/>
        <v>5.7903611036477835E-2</v>
      </c>
      <c r="V104" s="26">
        <v>0</v>
      </c>
      <c r="W104" s="26">
        <v>0</v>
      </c>
      <c r="X104" s="26">
        <f t="shared" si="21"/>
        <v>1</v>
      </c>
      <c r="Y104" s="34"/>
      <c r="AA104" s="4">
        <f>'[33]Predicted Residual Prices'!AP104</f>
        <v>2.9221144940538082</v>
      </c>
      <c r="AB104" s="4">
        <f>'[34]Predicted Distillate Prices'!AP104</f>
        <v>7.1375493388232272</v>
      </c>
      <c r="AC104" s="4">
        <f>'[35]Predicted Gas Prices'!AQ104</f>
        <v>3.2363589867667777</v>
      </c>
      <c r="AD104" s="4">
        <f>'[36]Predicted LPG Prices'!AP104</f>
        <v>7.0047931314849539</v>
      </c>
      <c r="AE104" s="4">
        <f>'[37]Predicted Coal Prices'!AP104</f>
        <v>2.2118950328240334</v>
      </c>
      <c r="AF104" s="4">
        <v>0</v>
      </c>
      <c r="AG104" s="4">
        <v>0</v>
      </c>
      <c r="AH104" s="4"/>
      <c r="AI104" s="17" t="s">
        <v>32</v>
      </c>
      <c r="AJ104" s="115">
        <f t="shared" si="13"/>
        <v>3.3320833979314393</v>
      </c>
    </row>
    <row r="105" spans="4:36" x14ac:dyDescent="0.2">
      <c r="D105" s="27">
        <f>[13]Quantity_shares!BB331</f>
        <v>2002</v>
      </c>
      <c r="E105" s="27" t="str">
        <f>[13]Quantity_shares!BC331</f>
        <v>327</v>
      </c>
      <c r="F105" s="28">
        <f>[13]Quantity_shares!BD331</f>
        <v>0.46212952799121843</v>
      </c>
      <c r="G105" s="28">
        <f>[13]Quantity_shares!BE331</f>
        <v>3.7321624588364431E-2</v>
      </c>
      <c r="H105" s="28">
        <f>[13]Quantity_shares!BF331</f>
        <v>0.35126234906695941</v>
      </c>
      <c r="I105" s="28">
        <f>[13]Quantity_shares!BG331</f>
        <v>0.14928649835345773</v>
      </c>
      <c r="K105" s="17">
        <f t="shared" si="15"/>
        <v>0.56710850962045867</v>
      </c>
      <c r="L105" s="17">
        <f t="shared" si="16"/>
        <v>5.4257963305438861E-2</v>
      </c>
      <c r="M105" s="17">
        <f t="shared" si="17"/>
        <v>0.37429601193068496</v>
      </c>
      <c r="N105" s="17">
        <f t="shared" si="18"/>
        <v>4.3375151434174794E-3</v>
      </c>
      <c r="Q105" s="26">
        <f t="shared" ref="Q105:U105" si="31">0.667*Q84+0.333*Q147</f>
        <v>1.6016555402638886E-2</v>
      </c>
      <c r="R105" s="26">
        <f t="shared" si="31"/>
        <v>3.8241407902799979E-2</v>
      </c>
      <c r="S105" s="26">
        <f t="shared" si="31"/>
        <v>0.56710850962045867</v>
      </c>
      <c r="T105" s="26">
        <f t="shared" si="31"/>
        <v>4.3375151434174794E-3</v>
      </c>
      <c r="U105" s="26">
        <f t="shared" si="31"/>
        <v>0.37429601193068496</v>
      </c>
      <c r="V105" s="26">
        <v>0</v>
      </c>
      <c r="W105" s="26">
        <v>0</v>
      </c>
      <c r="X105" s="26">
        <f t="shared" si="21"/>
        <v>1</v>
      </c>
      <c r="Y105" s="34"/>
      <c r="AA105" s="4">
        <f>'[33]Predicted Residual Prices'!AP105</f>
        <v>2.7783855329854217</v>
      </c>
      <c r="AB105" s="4">
        <f>'[34]Predicted Distillate Prices'!AP105</f>
        <v>4.9876540363150479</v>
      </c>
      <c r="AC105" s="4">
        <f>'[35]Predicted Gas Prices'!AQ105</f>
        <v>2.7763768864594693</v>
      </c>
      <c r="AD105" s="4">
        <f>'[36]Predicted LPG Prices'!AP105</f>
        <v>5.542192353905115</v>
      </c>
      <c r="AE105" s="4">
        <f>'[37]Predicted Coal Prices'!AP105</f>
        <v>1.5367679535461989</v>
      </c>
      <c r="AF105" s="4">
        <v>0</v>
      </c>
      <c r="AG105" s="4">
        <v>0</v>
      </c>
      <c r="AH105" s="4"/>
      <c r="AI105" s="17" t="s">
        <v>34</v>
      </c>
      <c r="AJ105" s="115">
        <f t="shared" si="13"/>
        <v>2.4089874960624593</v>
      </c>
    </row>
    <row r="106" spans="4:36" x14ac:dyDescent="0.2">
      <c r="D106" s="27">
        <f>[13]Quantity_shares!BB332</f>
        <v>2002</v>
      </c>
      <c r="E106" s="27" t="str">
        <f>[13]Quantity_shares!BC332</f>
        <v>331</v>
      </c>
      <c r="F106" s="28">
        <f>[13]Quantity_shares!BD332</f>
        <v>0.41042944785276075</v>
      </c>
      <c r="G106" s="28">
        <f>[13]Quantity_shares!BE332</f>
        <v>9.8159509202453993E-3</v>
      </c>
      <c r="H106" s="28">
        <f>[13]Quantity_shares!BF332</f>
        <v>0.36809815950920244</v>
      </c>
      <c r="I106" s="28">
        <f>[13]Quantity_shares!BG332</f>
        <v>0.21165644171779141</v>
      </c>
      <c r="K106" s="17">
        <f t="shared" si="15"/>
        <v>0.62218603573649944</v>
      </c>
      <c r="L106" s="17">
        <f t="shared" si="16"/>
        <v>4.3321762801505945E-2</v>
      </c>
      <c r="M106" s="17">
        <f t="shared" si="17"/>
        <v>0.33067231491945032</v>
      </c>
      <c r="N106" s="17">
        <f t="shared" si="18"/>
        <v>3.8198865425443096E-3</v>
      </c>
      <c r="Q106" s="26">
        <f t="shared" ref="Q106:V106" si="32">0.667*Q85+0.333*Q148</f>
        <v>3.1904690194450351E-2</v>
      </c>
      <c r="R106" s="26">
        <f t="shared" si="32"/>
        <v>1.1417072607055597E-2</v>
      </c>
      <c r="S106" s="26">
        <f t="shared" si="32"/>
        <v>0.62218603573649944</v>
      </c>
      <c r="T106" s="26">
        <f t="shared" si="32"/>
        <v>3.8198865425443096E-3</v>
      </c>
      <c r="U106" s="26">
        <f t="shared" si="32"/>
        <v>4.6121734734161077E-2</v>
      </c>
      <c r="V106" s="26">
        <f t="shared" si="32"/>
        <v>0.28455058018528923</v>
      </c>
      <c r="W106" s="26">
        <v>0</v>
      </c>
      <c r="X106" s="26">
        <f t="shared" si="21"/>
        <v>0.99999999999999989</v>
      </c>
      <c r="Y106" s="34"/>
      <c r="AA106" s="4">
        <f>'[33]Predicted Residual Prices'!AP106</f>
        <v>2.2726550568759349</v>
      </c>
      <c r="AB106" s="4">
        <f>'[34]Predicted Distillate Prices'!AP106</f>
        <v>4.4665601715298786</v>
      </c>
      <c r="AC106" s="4">
        <f>'[35]Predicted Gas Prices'!AQ106</f>
        <v>2.7804612875071131</v>
      </c>
      <c r="AD106" s="4">
        <f>'[36]Predicted LPG Prices'!AP106</f>
        <v>4.4287056507223372</v>
      </c>
      <c r="AE106" s="4">
        <f>'[37]Predicted Coal Prices'!AP106</f>
        <v>1.8008736226842299</v>
      </c>
      <c r="AF106" s="36">
        <f>3*AE106</f>
        <v>5.4026208680526899</v>
      </c>
      <c r="AG106" s="4">
        <v>0</v>
      </c>
      <c r="AH106" s="4"/>
      <c r="AI106" s="17" t="s">
        <v>36</v>
      </c>
      <c r="AJ106" s="115">
        <f t="shared" si="13"/>
        <v>3.4907630544402886</v>
      </c>
    </row>
    <row r="107" spans="4:36" x14ac:dyDescent="0.2">
      <c r="D107" s="27">
        <f>[13]Quantity_shares!BB333</f>
        <v>2002</v>
      </c>
      <c r="E107" s="27" t="str">
        <f>[13]Quantity_shares!BC333</f>
        <v>332</v>
      </c>
      <c r="F107" s="28">
        <f>[13]Quantity_shares!BD333</f>
        <v>0.92551784927280745</v>
      </c>
      <c r="G107" s="28">
        <f>[13]Quantity_shares!BE333</f>
        <v>3.613926840017629E-2</v>
      </c>
      <c r="H107" s="28">
        <f>[13]Quantity_shares!BF333</f>
        <v>6.6108417805200532E-3</v>
      </c>
      <c r="I107" s="28">
        <f>[13]Quantity_shares!BG333</f>
        <v>3.1732040546496261E-2</v>
      </c>
      <c r="K107" s="17">
        <f t="shared" si="15"/>
        <v>0.88498971734466692</v>
      </c>
      <c r="L107" s="17">
        <f t="shared" si="16"/>
        <v>5.185823119542142E-2</v>
      </c>
      <c r="M107" s="17">
        <f t="shared" si="17"/>
        <v>4.4066488810545888E-2</v>
      </c>
      <c r="N107" s="17">
        <f t="shared" si="18"/>
        <v>1.9085562649365884E-2</v>
      </c>
      <c r="Q107" s="26">
        <f t="shared" ref="Q107:U107" si="33">0.667*Q86+0.333*Q149</f>
        <v>1.9435016845368896E-2</v>
      </c>
      <c r="R107" s="26">
        <f t="shared" si="33"/>
        <v>3.2423214350052527E-2</v>
      </c>
      <c r="S107" s="26">
        <f t="shared" si="33"/>
        <v>0.88498971734466692</v>
      </c>
      <c r="T107" s="26">
        <f t="shared" si="33"/>
        <v>1.9085562649365884E-2</v>
      </c>
      <c r="U107" s="26">
        <f t="shared" si="33"/>
        <v>4.4066488810545888E-2</v>
      </c>
      <c r="V107" s="26">
        <v>0</v>
      </c>
      <c r="W107" s="26">
        <v>0</v>
      </c>
      <c r="X107" s="26">
        <f t="shared" si="21"/>
        <v>1.0000000000000002</v>
      </c>
      <c r="Y107" s="34"/>
      <c r="AA107" s="4">
        <f>'[33]Predicted Residual Prices'!AP107</f>
        <v>3.180013657377617</v>
      </c>
      <c r="AB107" s="4">
        <f>'[34]Predicted Distillate Prices'!AP107</f>
        <v>5.4789538684579462</v>
      </c>
      <c r="AC107" s="4">
        <f>'[35]Predicted Gas Prices'!AQ107</f>
        <v>3.6374137619606692</v>
      </c>
      <c r="AD107" s="4">
        <f>'[36]Predicted LPG Prices'!AP107</f>
        <v>6.5375162686979191</v>
      </c>
      <c r="AE107" s="4">
        <f>'[37]Predicted Coal Prices'!AP107</f>
        <v>1.9437061526676069</v>
      </c>
      <c r="AF107" s="4">
        <v>0</v>
      </c>
      <c r="AG107" s="4">
        <v>0</v>
      </c>
      <c r="AH107" s="4"/>
      <c r="AI107" s="17" t="s">
        <v>38</v>
      </c>
      <c r="AJ107" s="115">
        <f t="shared" si="13"/>
        <v>3.6689471734988719</v>
      </c>
    </row>
    <row r="108" spans="4:36" x14ac:dyDescent="0.2">
      <c r="D108" s="27">
        <f>[13]Quantity_shares!BB334</f>
        <v>2002</v>
      </c>
      <c r="E108" s="27" t="str">
        <f>[13]Quantity_shares!BC334</f>
        <v>333</v>
      </c>
      <c r="F108" s="28">
        <f>[13]Quantity_shares!BD334</f>
        <v>0.87700534759358284</v>
      </c>
      <c r="G108" s="28">
        <f>[13]Quantity_shares!BE334</f>
        <v>3.7433155080213901E-2</v>
      </c>
      <c r="H108" s="28">
        <f>[13]Quantity_shares!BF334</f>
        <v>1.06951871657754E-2</v>
      </c>
      <c r="I108" s="28">
        <f>[13]Quantity_shares!BG334</f>
        <v>7.4866310160427801E-2</v>
      </c>
      <c r="K108" s="17">
        <f t="shared" si="15"/>
        <v>0.76620766435691423</v>
      </c>
      <c r="L108" s="17">
        <f t="shared" si="16"/>
        <v>7.9124557268886911E-2</v>
      </c>
      <c r="M108" s="17">
        <f t="shared" si="17"/>
        <v>0.1396704142651411</v>
      </c>
      <c r="N108" s="17">
        <f t="shared" si="18"/>
        <v>1.4997364109057904E-2</v>
      </c>
      <c r="Q108" s="26">
        <f t="shared" ref="Q108:U108" si="34">0.667*Q87+0.333*Q150</f>
        <v>3.4886289342982296E-2</v>
      </c>
      <c r="R108" s="26">
        <f t="shared" si="34"/>
        <v>4.4238267925904615E-2</v>
      </c>
      <c r="S108" s="26">
        <f t="shared" si="34"/>
        <v>0.76620766435691423</v>
      </c>
      <c r="T108" s="26">
        <f t="shared" si="34"/>
        <v>1.4997364109057904E-2</v>
      </c>
      <c r="U108" s="26">
        <f t="shared" si="34"/>
        <v>0.1396704142651411</v>
      </c>
      <c r="V108" s="26">
        <v>0</v>
      </c>
      <c r="W108" s="26">
        <v>0</v>
      </c>
      <c r="X108" s="26">
        <f t="shared" si="21"/>
        <v>1.0000000000000002</v>
      </c>
      <c r="Y108" s="34"/>
      <c r="AA108" s="4">
        <f>'[33]Predicted Residual Prices'!AP108</f>
        <v>3.0538524617810312</v>
      </c>
      <c r="AB108" s="4">
        <f>'[34]Predicted Distillate Prices'!AP108</f>
        <v>4.9436461814854891</v>
      </c>
      <c r="AC108" s="4">
        <f>'[35]Predicted Gas Prices'!AQ108</f>
        <v>3.6628532606008206</v>
      </c>
      <c r="AD108" s="4">
        <f>'[36]Predicted LPG Prices'!AP108</f>
        <v>6.4889104915563491</v>
      </c>
      <c r="AE108" s="4">
        <f>'[37]Predicted Coal Prices'!AP108</f>
        <v>1.5573231648155115</v>
      </c>
      <c r="AF108" s="4">
        <v>0</v>
      </c>
      <c r="AG108" s="4">
        <v>0</v>
      </c>
      <c r="AH108" s="4"/>
      <c r="AI108" s="17" t="s">
        <v>40</v>
      </c>
      <c r="AJ108" s="115">
        <f t="shared" si="13"/>
        <v>3.4465706914744043</v>
      </c>
    </row>
    <row r="109" spans="4:36" x14ac:dyDescent="0.2">
      <c r="D109" s="27">
        <f>[13]Quantity_shares!BB335</f>
        <v>2002</v>
      </c>
      <c r="E109" s="27" t="str">
        <f>[13]Quantity_shares!BC335</f>
        <v>334</v>
      </c>
      <c r="F109" s="28">
        <f>[13]Quantity_shares!BD335</f>
        <v>0.92329545454545447</v>
      </c>
      <c r="G109" s="28">
        <f>[13]Quantity_shares!BE335</f>
        <v>2.8409090909090908E-2</v>
      </c>
      <c r="H109" s="28">
        <f>[13]Quantity_shares!BF335</f>
        <v>2.840909090909091E-3</v>
      </c>
      <c r="I109" s="28">
        <f>[13]Quantity_shares!BG335</f>
        <v>4.5454545454545456E-2</v>
      </c>
      <c r="K109" s="17">
        <f t="shared" si="15"/>
        <v>0.717732135175709</v>
      </c>
      <c r="L109" s="17">
        <f t="shared" si="16"/>
        <v>0.1019227360030385</v>
      </c>
      <c r="M109" s="17">
        <f t="shared" si="17"/>
        <v>0.16608853128558787</v>
      </c>
      <c r="N109" s="17">
        <f t="shared" si="18"/>
        <v>1.4256597535664734E-2</v>
      </c>
      <c r="Q109" s="26">
        <f t="shared" ref="Q109:U109" si="35">0.667*Q88+0.333*Q151</f>
        <v>6.2976069553961858E-2</v>
      </c>
      <c r="R109" s="26">
        <f t="shared" si="35"/>
        <v>3.8946666449076642E-2</v>
      </c>
      <c r="S109" s="26">
        <f t="shared" si="35"/>
        <v>0.717732135175709</v>
      </c>
      <c r="T109" s="26">
        <f t="shared" si="35"/>
        <v>1.4256597535664734E-2</v>
      </c>
      <c r="U109" s="26">
        <f t="shared" si="35"/>
        <v>0.16608853128558787</v>
      </c>
      <c r="V109" s="26">
        <v>0</v>
      </c>
      <c r="W109" s="26">
        <v>0</v>
      </c>
      <c r="X109" s="26">
        <f t="shared" si="21"/>
        <v>1</v>
      </c>
      <c r="Y109" s="34"/>
      <c r="AA109" s="4">
        <f>'[33]Predicted Residual Prices'!AP109</f>
        <v>3.3114002914116822</v>
      </c>
      <c r="AB109" s="4">
        <f>'[34]Predicted Distillate Prices'!AP109</f>
        <v>4.8331450017866908</v>
      </c>
      <c r="AC109" s="4">
        <f>'[35]Predicted Gas Prices'!AQ109</f>
        <v>3.5522550523765863</v>
      </c>
      <c r="AD109" s="4">
        <f>'[36]Predicted LPG Prices'!AP109</f>
        <v>4.5600326589246256</v>
      </c>
      <c r="AE109" s="4">
        <f>'[37]Predicted Coal Prices'!AP109</f>
        <v>1.4361268640580926</v>
      </c>
      <c r="AF109" s="4">
        <v>0</v>
      </c>
      <c r="AG109" s="4">
        <v>0</v>
      </c>
      <c r="AH109" s="4"/>
      <c r="AI109" s="17" t="s">
        <v>42</v>
      </c>
      <c r="AJ109" s="115">
        <f t="shared" si="13"/>
        <v>3.2498762167474684</v>
      </c>
    </row>
    <row r="110" spans="4:36" x14ac:dyDescent="0.2">
      <c r="D110" s="27">
        <f>[13]Quantity_shares!BB336</f>
        <v>2002</v>
      </c>
      <c r="E110" s="27" t="str">
        <f>[13]Quantity_shares!BC336</f>
        <v>335</v>
      </c>
      <c r="F110" s="28">
        <f>[13]Quantity_shares!BD336</f>
        <v>0.93145869947275928</v>
      </c>
      <c r="G110" s="28">
        <f>[13]Quantity_shares!BE336</f>
        <v>2.6362038664323375E-2</v>
      </c>
      <c r="H110" s="28">
        <f>[13]Quantity_shares!BF336</f>
        <v>7.0298769771529003E-3</v>
      </c>
      <c r="I110" s="28">
        <f>[13]Quantity_shares!BG336</f>
        <v>3.5149384885764502E-2</v>
      </c>
      <c r="K110" s="17">
        <f t="shared" si="15"/>
        <v>0.84337711894841227</v>
      </c>
      <c r="L110" s="17">
        <f t="shared" si="16"/>
        <v>8.7481512877902873E-2</v>
      </c>
      <c r="M110" s="17">
        <f t="shared" si="17"/>
        <v>4.5527155127844408E-2</v>
      </c>
      <c r="N110" s="17">
        <f t="shared" si="18"/>
        <v>2.3614213045840458E-2</v>
      </c>
      <c r="Q110" s="26">
        <f t="shared" ref="Q110:U110" si="36">0.667*Q89+0.333*Q152</f>
        <v>4.3998506367373055E-2</v>
      </c>
      <c r="R110" s="26">
        <f t="shared" si="36"/>
        <v>4.3483006510529824E-2</v>
      </c>
      <c r="S110" s="26">
        <f t="shared" si="36"/>
        <v>0.84337711894841227</v>
      </c>
      <c r="T110" s="26">
        <f t="shared" si="36"/>
        <v>2.3614213045840458E-2</v>
      </c>
      <c r="U110" s="26">
        <f t="shared" si="36"/>
        <v>4.5527155127844408E-2</v>
      </c>
      <c r="V110" s="26">
        <v>0</v>
      </c>
      <c r="W110" s="26">
        <v>0</v>
      </c>
      <c r="X110" s="26">
        <f t="shared" si="21"/>
        <v>1</v>
      </c>
      <c r="Y110" s="34"/>
      <c r="AA110" s="4">
        <f>'[33]Predicted Residual Prices'!AP110</f>
        <v>2.9283180793349026</v>
      </c>
      <c r="AB110" s="4">
        <f>'[34]Predicted Distillate Prices'!AP110</f>
        <v>4.5910410646806712</v>
      </c>
      <c r="AC110" s="4">
        <f>'[35]Predicted Gas Prices'!AQ110</f>
        <v>3.5085810288145471</v>
      </c>
      <c r="AD110" s="4">
        <f>'[36]Predicted LPG Prices'!AP110</f>
        <v>5.1021959162065036</v>
      </c>
      <c r="AE110" s="4">
        <f>'[37]Predicted Coal Prices'!AP110</f>
        <v>1.7735959664364356</v>
      </c>
      <c r="AF110" s="4">
        <v>0</v>
      </c>
      <c r="AG110" s="4">
        <v>0</v>
      </c>
      <c r="AH110" s="4"/>
      <c r="AI110" s="17" t="s">
        <v>44</v>
      </c>
      <c r="AJ110" s="115">
        <f t="shared" si="13"/>
        <v>3.488761969908587</v>
      </c>
    </row>
    <row r="111" spans="4:36" x14ac:dyDescent="0.2">
      <c r="D111" s="27">
        <f>[13]Quantity_shares!BB337</f>
        <v>2002</v>
      </c>
      <c r="E111" s="27" t="str">
        <f>[13]Quantity_shares!BC337</f>
        <v>336</v>
      </c>
      <c r="F111" s="28">
        <f>[13]Quantity_shares!BD337</f>
        <v>0.79420970266040691</v>
      </c>
      <c r="G111" s="28">
        <f>[13]Quantity_shares!BE337</f>
        <v>3.912363067292645E-2</v>
      </c>
      <c r="H111" s="28">
        <f>[13]Quantity_shares!BF337</f>
        <v>3.1298904538341159E-2</v>
      </c>
      <c r="I111" s="28">
        <f>[13]Quantity_shares!BG337</f>
        <v>0.13536776212832552</v>
      </c>
      <c r="K111" s="17">
        <f t="shared" si="15"/>
        <v>0.70529156028049322</v>
      </c>
      <c r="L111" s="17">
        <f t="shared" si="16"/>
        <v>0.12037204506771586</v>
      </c>
      <c r="M111" s="17">
        <f t="shared" si="17"/>
        <v>0.16322898611858994</v>
      </c>
      <c r="N111" s="17">
        <f t="shared" si="18"/>
        <v>1.1107408533200979E-2</v>
      </c>
      <c r="Q111" s="26">
        <f t="shared" ref="Q111:U111" si="37">0.667*Q90+0.333*Q153</f>
        <v>7.609158766470174E-2</v>
      </c>
      <c r="R111" s="26">
        <f t="shared" si="37"/>
        <v>4.4280457403014117E-2</v>
      </c>
      <c r="S111" s="26">
        <f t="shared" si="37"/>
        <v>0.70529156028049322</v>
      </c>
      <c r="T111" s="26">
        <f t="shared" si="37"/>
        <v>1.1107408533200979E-2</v>
      </c>
      <c r="U111" s="26">
        <f t="shared" si="37"/>
        <v>0.16322898611858994</v>
      </c>
      <c r="V111" s="26">
        <v>0</v>
      </c>
      <c r="W111" s="26">
        <v>0</v>
      </c>
      <c r="X111" s="26">
        <f t="shared" si="21"/>
        <v>1</v>
      </c>
      <c r="Y111" s="34"/>
      <c r="AA111" s="4">
        <f>'[33]Predicted Residual Prices'!AP111</f>
        <v>2.8275051403029448</v>
      </c>
      <c r="AB111" s="4">
        <f>'[34]Predicted Distillate Prices'!AP111</f>
        <v>5.0939573104789639</v>
      </c>
      <c r="AC111" s="4">
        <f>'[35]Predicted Gas Prices'!AQ111</f>
        <v>3.4530757207409555</v>
      </c>
      <c r="AD111" s="4">
        <f>'[36]Predicted LPG Prices'!AP111</f>
        <v>5.5390265244685608</v>
      </c>
      <c r="AE111" s="4">
        <f>'[37]Predicted Coal Prices'!AP111</f>
        <v>2.0414158954692514</v>
      </c>
      <c r="AF111" s="4">
        <v>0</v>
      </c>
      <c r="AG111" s="4">
        <v>0</v>
      </c>
      <c r="AH111" s="4"/>
      <c r="AI111" s="17" t="s">
        <v>46</v>
      </c>
      <c r="AJ111" s="115">
        <f t="shared" si="13"/>
        <v>3.2708797551505975</v>
      </c>
    </row>
    <row r="112" spans="4:36" x14ac:dyDescent="0.2">
      <c r="D112" s="27">
        <f>[13]Quantity_shares!BB338</f>
        <v>2002</v>
      </c>
      <c r="E112" s="27" t="str">
        <f>[13]Quantity_shares!BC338</f>
        <v>337</v>
      </c>
      <c r="F112" s="28">
        <f>[13]Quantity_shares!BD338</f>
        <v>0.62972292191435764</v>
      </c>
      <c r="G112" s="28">
        <f>[13]Quantity_shares!BE338</f>
        <v>3.0226700251889164E-2</v>
      </c>
      <c r="H112" s="28">
        <f>[13]Quantity_shares!BF338</f>
        <v>3.7783375314861457E-2</v>
      </c>
      <c r="I112" s="28">
        <f>[13]Quantity_shares!BG338</f>
        <v>0.30226700251889166</v>
      </c>
      <c r="K112" s="17">
        <f t="shared" si="15"/>
        <v>0.72874826188521169</v>
      </c>
      <c r="L112" s="17">
        <f t="shared" si="16"/>
        <v>0.12581227784509344</v>
      </c>
      <c r="M112" s="17">
        <f t="shared" si="17"/>
        <v>0.10767730320155942</v>
      </c>
      <c r="N112" s="17">
        <f t="shared" si="18"/>
        <v>3.7762157068135516E-2</v>
      </c>
      <c r="Q112" s="26">
        <f t="shared" ref="Q112:U112" si="38">0.667*Q91+0.333*Q154</f>
        <v>4.0087792099451271E-2</v>
      </c>
      <c r="R112" s="26">
        <f t="shared" si="38"/>
        <v>8.5724485745642176E-2</v>
      </c>
      <c r="S112" s="26">
        <f t="shared" si="38"/>
        <v>0.72874826188521169</v>
      </c>
      <c r="T112" s="26">
        <f t="shared" si="38"/>
        <v>3.7762157068135516E-2</v>
      </c>
      <c r="U112" s="26">
        <f t="shared" si="38"/>
        <v>0.10767730320155942</v>
      </c>
      <c r="V112" s="26">
        <v>0</v>
      </c>
      <c r="W112" s="26">
        <v>0</v>
      </c>
      <c r="X112" s="26">
        <f t="shared" si="21"/>
        <v>1</v>
      </c>
      <c r="Y112" s="34"/>
      <c r="AA112" s="4">
        <f>'[33]Predicted Residual Prices'!AP112</f>
        <v>3.6825506518655566</v>
      </c>
      <c r="AB112" s="4">
        <f>'[34]Predicted Distillate Prices'!AP112</f>
        <v>5.4055195673100531</v>
      </c>
      <c r="AC112" s="4">
        <f>'[35]Predicted Gas Prices'!AQ112</f>
        <v>3.9476931121593473</v>
      </c>
      <c r="AD112" s="4">
        <f>'[36]Predicted LPG Prices'!AP112</f>
        <v>6.1638868015231543</v>
      </c>
      <c r="AE112" s="4">
        <f>'[37]Predicted Coal Prices'!AP112</f>
        <v>2.1072761940839513</v>
      </c>
      <c r="AF112" s="4">
        <v>0</v>
      </c>
      <c r="AG112" s="4">
        <v>0</v>
      </c>
      <c r="AH112" s="4"/>
      <c r="AI112" s="17" t="s">
        <v>48</v>
      </c>
      <c r="AJ112" s="115">
        <f t="shared" si="13"/>
        <v>3.9475526831948229</v>
      </c>
    </row>
    <row r="113" spans="4:36" x14ac:dyDescent="0.2">
      <c r="D113" s="27">
        <f>[13]Quantity_shares!BB339</f>
        <v>2002</v>
      </c>
      <c r="E113" s="27" t="str">
        <f>[13]Quantity_shares!BC339</f>
        <v>339</v>
      </c>
      <c r="F113" s="28">
        <f>[13]Quantity_shares!BD339</f>
        <v>0.88888888888888873</v>
      </c>
      <c r="G113" s="28">
        <f>[13]Quantity_shares!BE339</f>
        <v>2.7777777777777773E-2</v>
      </c>
      <c r="H113" s="28">
        <f>[13]Quantity_shares!BF339</f>
        <v>2.777777777777777E-16</v>
      </c>
      <c r="I113" s="28">
        <f>[13]Quantity_shares!BG339</f>
        <v>8.3333333333333315E-2</v>
      </c>
      <c r="K113" s="17">
        <f t="shared" si="15"/>
        <v>0.65857311320563194</v>
      </c>
      <c r="L113" s="17">
        <f t="shared" si="16"/>
        <v>0.12102442080540826</v>
      </c>
      <c r="M113" s="17">
        <f t="shared" si="17"/>
        <v>0.20356314095227285</v>
      </c>
      <c r="N113" s="17">
        <f t="shared" si="18"/>
        <v>1.6839325036687083E-2</v>
      </c>
      <c r="Q113" s="26">
        <f t="shared" ref="Q113:U113" si="39">0.667*Q92+0.333*Q155</f>
        <v>7.4660248263687737E-2</v>
      </c>
      <c r="R113" s="26">
        <f t="shared" si="39"/>
        <v>4.6364172541720525E-2</v>
      </c>
      <c r="S113" s="26">
        <f t="shared" si="39"/>
        <v>0.65857311320563194</v>
      </c>
      <c r="T113" s="26">
        <f t="shared" si="39"/>
        <v>1.6839325036687083E-2</v>
      </c>
      <c r="U113" s="26">
        <f t="shared" si="39"/>
        <v>0.20356314095227285</v>
      </c>
      <c r="V113" s="26">
        <v>0</v>
      </c>
      <c r="W113" s="26">
        <v>0</v>
      </c>
      <c r="X113" s="26">
        <f t="shared" si="21"/>
        <v>1</v>
      </c>
      <c r="Y113" s="34"/>
      <c r="AA113" s="4">
        <f>'[33]Predicted Residual Prices'!AP113</f>
        <v>3.394157913669285</v>
      </c>
      <c r="AB113" s="4">
        <f>'[34]Predicted Distillate Prices'!AP113</f>
        <v>5.4685479969792636</v>
      </c>
      <c r="AC113" s="4">
        <f>'[35]Predicted Gas Prices'!AQ113</f>
        <v>3.9090302904542273</v>
      </c>
      <c r="AD113" s="4">
        <f>'[36]Predicted LPG Prices'!AP113</f>
        <v>7.9389279400114932</v>
      </c>
      <c r="AE113" s="4">
        <f>'[37]Predicted Coal Prices'!AP113</f>
        <v>1.8666126804136147</v>
      </c>
      <c r="AF113" s="4">
        <v>0</v>
      </c>
      <c r="AG113" s="4">
        <v>0</v>
      </c>
      <c r="AH113" s="4"/>
      <c r="AI113" s="17" t="s">
        <v>50</v>
      </c>
      <c r="AJ113" s="115">
        <f t="shared" si="13"/>
        <v>3.594995351555919</v>
      </c>
    </row>
    <row r="114" spans="4:36" x14ac:dyDescent="0.2">
      <c r="D114">
        <f>[13]Quantity_shares!BB340</f>
        <v>2003</v>
      </c>
      <c r="E114" t="str">
        <f>[13]Quantity_shares!BC340</f>
        <v>311</v>
      </c>
      <c r="F114" s="26">
        <f>[13]Quantity_shares!BD340</f>
        <v>0.65652424524088315</v>
      </c>
      <c r="G114" s="26">
        <f>[13]Quantity_shares!BE340</f>
        <v>3.8317982641445661E-2</v>
      </c>
      <c r="H114" s="26">
        <f>[13]Quantity_shares!BF340</f>
        <v>0.19532840018831255</v>
      </c>
      <c r="I114" s="26">
        <f>[13]Quantity_shares!BG340</f>
        <v>0.10982937192935865</v>
      </c>
      <c r="P114">
        <v>1990</v>
      </c>
      <c r="Q114" s="26">
        <f>0.333*Q72+0.667*Q135</f>
        <v>4.6150254843878663E-2</v>
      </c>
      <c r="R114" s="26">
        <f t="shared" ref="R114:U114" si="40">0.333*R72+0.667*R135</f>
        <v>3.2455009218984726E-2</v>
      </c>
      <c r="S114" s="26">
        <f t="shared" si="40"/>
        <v>0.71098763466047277</v>
      </c>
      <c r="T114" s="26">
        <f t="shared" si="40"/>
        <v>9.9047881671466623E-3</v>
      </c>
      <c r="U114" s="26">
        <f t="shared" si="40"/>
        <v>0.20050231310951727</v>
      </c>
      <c r="V114" s="26">
        <v>0</v>
      </c>
      <c r="W114" s="26">
        <v>0</v>
      </c>
      <c r="X114" s="26">
        <f t="shared" si="21"/>
        <v>1</v>
      </c>
      <c r="Y114" s="74"/>
      <c r="Z114">
        <v>1990</v>
      </c>
      <c r="AA114" s="4">
        <f>'[33]Predicted Residual Prices'!AP114</f>
        <v>3.0943177042480401</v>
      </c>
      <c r="AB114" s="4">
        <f>'[34]Predicted Distillate Prices'!AP114</f>
        <v>6.4507752892961729</v>
      </c>
      <c r="AC114" s="4">
        <f>'[35]Predicted Gas Prices'!AQ114</f>
        <v>2.9121736332183605</v>
      </c>
      <c r="AD114" s="4">
        <f>'[36]Predicted LPG Prices'!AP114</f>
        <v>7.1683792687220542</v>
      </c>
      <c r="AE114" s="4">
        <f>'[37]Predicted Coal Prices'!AP114</f>
        <v>1.4605254093101008</v>
      </c>
      <c r="AF114" s="4">
        <v>0</v>
      </c>
      <c r="AG114" s="4">
        <v>0</v>
      </c>
      <c r="AH114" s="4"/>
      <c r="AI114" s="17" t="s">
        <v>10</v>
      </c>
      <c r="AJ114" s="115">
        <f t="shared" si="13"/>
        <v>2.7865229663855535</v>
      </c>
    </row>
    <row r="115" spans="4:36" x14ac:dyDescent="0.2">
      <c r="D115">
        <f>[13]Quantity_shares!BB341</f>
        <v>2003</v>
      </c>
      <c r="E115" t="str">
        <f>[13]Quantity_shares!BC341</f>
        <v>312</v>
      </c>
      <c r="F115" s="26">
        <f>[13]Quantity_shares!BD341</f>
        <v>0.57371794871794868</v>
      </c>
      <c r="G115" s="26">
        <f>[13]Quantity_shares!BE341</f>
        <v>5.128205128205128E-2</v>
      </c>
      <c r="H115" s="26">
        <f>[13]Quantity_shares!BF341</f>
        <v>0.22756410256410256</v>
      </c>
      <c r="I115" s="26">
        <f>[13]Quantity_shares!BG341</f>
        <v>0.14743589743589744</v>
      </c>
      <c r="Q115" s="26">
        <f t="shared" ref="Q115:U115" si="41">0.333*Q73+0.667*Q136</f>
        <v>7.0343317595583821E-2</v>
      </c>
      <c r="R115" s="26">
        <f t="shared" si="41"/>
        <v>1.2045347600475485E-2</v>
      </c>
      <c r="S115" s="26">
        <f t="shared" si="41"/>
        <v>0.41392625465725985</v>
      </c>
      <c r="T115" s="26">
        <f t="shared" si="41"/>
        <v>1.9564630003306611E-3</v>
      </c>
      <c r="U115" s="26">
        <f t="shared" si="41"/>
        <v>0.5017286171463502</v>
      </c>
      <c r="V115" s="26">
        <v>0</v>
      </c>
      <c r="W115" s="26">
        <v>0</v>
      </c>
      <c r="X115" s="26">
        <f t="shared" si="21"/>
        <v>1</v>
      </c>
      <c r="Y115" s="74"/>
      <c r="AA115" s="4">
        <f>'[33]Predicted Residual Prices'!AP115</f>
        <v>2.8971432917579234</v>
      </c>
      <c r="AB115" s="4">
        <f>'[34]Predicted Distillate Prices'!AP115</f>
        <v>5.5803099999999999</v>
      </c>
      <c r="AC115" s="4">
        <f>'[35]Predicted Gas Prices'!AQ115</f>
        <v>2.9944299999999995</v>
      </c>
      <c r="AD115" s="4">
        <f>'[36]Predicted LPG Prices'!AP115</f>
        <v>7.3205074179735288</v>
      </c>
      <c r="AE115" s="4">
        <f>'[37]Predicted Coal Prices'!AP115</f>
        <v>2.0656867334903661</v>
      </c>
      <c r="AF115" s="4">
        <v>0</v>
      </c>
      <c r="AG115" s="4">
        <v>0</v>
      </c>
      <c r="AH115" s="4"/>
      <c r="AI115" s="17" t="s">
        <v>12</v>
      </c>
      <c r="AJ115" s="115">
        <f t="shared" si="13"/>
        <v>2.5612210892523848</v>
      </c>
    </row>
    <row r="116" spans="4:36" x14ac:dyDescent="0.2">
      <c r="D116">
        <f>[13]Quantity_shares!BB342</f>
        <v>2003</v>
      </c>
      <c r="E116" t="str">
        <f>[13]Quantity_shares!BC342</f>
        <v>313</v>
      </c>
      <c r="F116" s="26">
        <f>[13]Quantity_shares!BD342</f>
        <v>0.61212646493575007</v>
      </c>
      <c r="G116" s="26">
        <f>[13]Quantity_shares!BE342</f>
        <v>4.3420507216339457E-2</v>
      </c>
      <c r="H116" s="26">
        <f>[13]Quantity_shares!BF342</f>
        <v>0.21040434110864076</v>
      </c>
      <c r="I116" s="26">
        <f>[13]Quantity_shares!BG342</f>
        <v>0.1340486867392697</v>
      </c>
      <c r="Q116" s="26">
        <f t="shared" ref="Q116:U116" si="42">0.333*Q74+0.667*Q137</f>
        <v>9.1442689967732221E-2</v>
      </c>
      <c r="R116" s="26">
        <f t="shared" si="42"/>
        <v>3.9878692529891471E-2</v>
      </c>
      <c r="S116" s="26">
        <f t="shared" si="42"/>
        <v>0.64715494205646429</v>
      </c>
      <c r="T116" s="26">
        <f t="shared" si="42"/>
        <v>1.5074635585421848E-2</v>
      </c>
      <c r="U116" s="26">
        <f t="shared" si="42"/>
        <v>0.20644903986049024</v>
      </c>
      <c r="V116" s="26">
        <v>0</v>
      </c>
      <c r="W116" s="26">
        <v>0</v>
      </c>
      <c r="X116" s="26">
        <f t="shared" si="21"/>
        <v>1</v>
      </c>
      <c r="Y116" s="74"/>
      <c r="AA116" s="4">
        <f>'[33]Predicted Residual Prices'!AP116</f>
        <v>3.5811076442115057</v>
      </c>
      <c r="AB116" s="4">
        <f>'[34]Predicted Distillate Prices'!AP116</f>
        <v>5.3321453239971142</v>
      </c>
      <c r="AC116" s="4">
        <f>'[35]Predicted Gas Prices'!AQ116</f>
        <v>3.5225927101067951</v>
      </c>
      <c r="AD116" s="4">
        <f>'[36]Predicted LPG Prices'!AP116</f>
        <v>6.627042077011664</v>
      </c>
      <c r="AE116" s="4">
        <f>'[37]Predicted Coal Prices'!AP116</f>
        <v>1.935843452364667</v>
      </c>
      <c r="AF116" s="4">
        <v>0</v>
      </c>
      <c r="AG116" s="4">
        <v>0</v>
      </c>
      <c r="AH116" s="4"/>
      <c r="AI116" s="17" t="s">
        <v>14</v>
      </c>
      <c r="AJ116" s="115">
        <f t="shared" si="13"/>
        <v>3.3193216475298848</v>
      </c>
    </row>
    <row r="117" spans="4:36" x14ac:dyDescent="0.2">
      <c r="D117">
        <f>[13]Quantity_shares!BB343</f>
        <v>2003</v>
      </c>
      <c r="E117" t="str">
        <f>[13]Quantity_shares!BC343</f>
        <v>314</v>
      </c>
      <c r="F117" s="26">
        <f>[13]Quantity_shares!BD343</f>
        <v>0.72696779964221825</v>
      </c>
      <c r="G117" s="26">
        <f>[13]Quantity_shares!BE343</f>
        <v>4.4499105545617174E-2</v>
      </c>
      <c r="H117" s="26">
        <f>[13]Quantity_shares!BF343</f>
        <v>0.206283542039356</v>
      </c>
      <c r="I117" s="26">
        <f>[13]Quantity_shares!BG343</f>
        <v>2.2249552772808587E-2</v>
      </c>
      <c r="Q117" s="26">
        <f t="shared" ref="Q117:U117" si="43">0.333*Q75+0.667*Q138</f>
        <v>9.1442689967732221E-2</v>
      </c>
      <c r="R117" s="26">
        <f t="shared" si="43"/>
        <v>3.9878692529891471E-2</v>
      </c>
      <c r="S117" s="26">
        <f t="shared" si="43"/>
        <v>0.64715494205646429</v>
      </c>
      <c r="T117" s="26">
        <f t="shared" si="43"/>
        <v>1.5074635585421848E-2</v>
      </c>
      <c r="U117" s="26">
        <f t="shared" si="43"/>
        <v>0.20644903986049024</v>
      </c>
      <c r="V117" s="26">
        <v>0</v>
      </c>
      <c r="W117" s="26">
        <v>0</v>
      </c>
      <c r="X117" s="26">
        <f t="shared" si="21"/>
        <v>1</v>
      </c>
      <c r="Y117" s="74"/>
      <c r="AA117" s="4">
        <f>'[33]Predicted Residual Prices'!AP117</f>
        <v>3.7925820542591984</v>
      </c>
      <c r="AB117" s="4">
        <f>'[34]Predicted Distillate Prices'!AP117</f>
        <v>4.4003586964242629</v>
      </c>
      <c r="AC117" s="4">
        <f>'[35]Predicted Gas Prices'!AQ117</f>
        <v>3.5224830804715723</v>
      </c>
      <c r="AD117" s="4">
        <f>'[36]Predicted LPG Prices'!AP117</f>
        <v>5.890840785109428</v>
      </c>
      <c r="AE117" s="4">
        <f>'[37]Predicted Coal Prices'!AP117</f>
        <v>1.9360890357884584</v>
      </c>
      <c r="AF117" s="4">
        <v>0</v>
      </c>
      <c r="AG117" s="4">
        <v>0</v>
      </c>
      <c r="AH117" s="4"/>
      <c r="AI117" s="17" t="s">
        <v>16</v>
      </c>
      <c r="AJ117" s="115">
        <f t="shared" si="13"/>
        <v>3.2903827909284171</v>
      </c>
    </row>
    <row r="118" spans="4:36" x14ac:dyDescent="0.2">
      <c r="D118">
        <f>[13]Quantity_shares!BB344</f>
        <v>2003</v>
      </c>
      <c r="E118" t="str">
        <f>[13]Quantity_shares!BC344</f>
        <v>315</v>
      </c>
      <c r="F118" s="26">
        <f>[13]Quantity_shares!BD344</f>
        <v>0.88152536097741507</v>
      </c>
      <c r="G118" s="26">
        <f>[13]Quantity_shares!BE344</f>
        <v>7.1084783413550484E-2</v>
      </c>
      <c r="H118" s="26">
        <f>[13]Quantity_shares!BF344</f>
        <v>7.4787115883006223E-16</v>
      </c>
      <c r="I118" s="26">
        <f>[13]Quantity_shares!BG344</f>
        <v>4.7389855609033658E-2</v>
      </c>
      <c r="Q118" s="26">
        <f t="shared" ref="Q118:U118" si="44">0.333*Q76+0.667*Q139</f>
        <v>5.1174608350791177E-2</v>
      </c>
      <c r="R118" s="26">
        <f t="shared" si="44"/>
        <v>5.0157493181273147E-2</v>
      </c>
      <c r="S118" s="26">
        <f t="shared" si="44"/>
        <v>0.78462206669700907</v>
      </c>
      <c r="T118" s="26">
        <f t="shared" si="44"/>
        <v>2.5343289698308152E-2</v>
      </c>
      <c r="U118" s="26">
        <f t="shared" si="44"/>
        <v>8.8702542072618434E-2</v>
      </c>
      <c r="V118" s="26">
        <v>0</v>
      </c>
      <c r="W118" s="26">
        <v>0</v>
      </c>
      <c r="X118" s="26">
        <f t="shared" si="21"/>
        <v>0.99999999999999989</v>
      </c>
      <c r="Y118" s="74"/>
      <c r="AA118" s="4">
        <f>'[33]Predicted Residual Prices'!AP118</f>
        <v>4.1715817430938849</v>
      </c>
      <c r="AB118" s="4">
        <f>'[34]Predicted Distillate Prices'!AP118</f>
        <v>5.6654508772105627</v>
      </c>
      <c r="AC118" s="4">
        <f>'[35]Predicted Gas Prices'!AQ118</f>
        <v>4.0864020934390091</v>
      </c>
      <c r="AD118" s="4">
        <f>'[36]Predicted LPG Prices'!AP118</f>
        <v>7.4141201193916846</v>
      </c>
      <c r="AE118" s="4">
        <f>'[37]Predicted Coal Prices'!AP118</f>
        <v>2.3476668396795985</v>
      </c>
      <c r="AF118" s="4">
        <v>0</v>
      </c>
      <c r="AG118" s="4">
        <v>0</v>
      </c>
      <c r="AH118" s="4"/>
      <c r="AI118" s="17" t="s">
        <v>18</v>
      </c>
      <c r="AJ118" s="115">
        <f t="shared" si="13"/>
        <v>4.1000673422207363</v>
      </c>
    </row>
    <row r="119" spans="4:36" x14ac:dyDescent="0.2">
      <c r="D119">
        <f>[13]Quantity_shares!BB345</f>
        <v>2003</v>
      </c>
      <c r="E119" t="str">
        <f>[13]Quantity_shares!BC345</f>
        <v>316</v>
      </c>
      <c r="F119" s="26">
        <f>[13]Quantity_shares!BD345</f>
        <v>0.80357142857142594</v>
      </c>
      <c r="G119" s="26">
        <f>[13]Quantity_shares!BE345</f>
        <v>9.8214285714285338E-2</v>
      </c>
      <c r="H119" s="26">
        <f>[13]Quantity_shares!BF345</f>
        <v>3.3482142857142694E-15</v>
      </c>
      <c r="I119" s="26">
        <f>[13]Quantity_shares!BG345</f>
        <v>9.8214285714285338E-2</v>
      </c>
      <c r="Q119" s="26">
        <f t="shared" ref="Q119:U119" si="45">0.333*Q77+0.667*Q140</f>
        <v>0.22199062746830173</v>
      </c>
      <c r="R119" s="26">
        <f t="shared" si="45"/>
        <v>0.13652906518515934</v>
      </c>
      <c r="S119" s="26">
        <f t="shared" si="45"/>
        <v>0.58505715901526956</v>
      </c>
      <c r="T119" s="26">
        <f t="shared" si="45"/>
        <v>1.5842200757568349E-2</v>
      </c>
      <c r="U119" s="26">
        <f t="shared" si="45"/>
        <v>4.0580947573701023E-2</v>
      </c>
      <c r="V119" s="26">
        <v>0</v>
      </c>
      <c r="W119" s="26">
        <v>0</v>
      </c>
      <c r="X119" s="26">
        <f t="shared" si="21"/>
        <v>1</v>
      </c>
      <c r="Y119" s="74"/>
      <c r="AA119" s="4">
        <f>'[33]Predicted Residual Prices'!AP119</f>
        <v>3.5258902353749941</v>
      </c>
      <c r="AB119" s="4">
        <f>'[34]Predicted Distillate Prices'!AP119</f>
        <v>5.7102472106853002</v>
      </c>
      <c r="AC119" s="4">
        <f>'[35]Predicted Gas Prices'!AQ119</f>
        <v>3.2650499962631687</v>
      </c>
      <c r="AD119" s="4">
        <f>'[36]Predicted LPG Prices'!AP119</f>
        <v>6.2751698634063615</v>
      </c>
      <c r="AE119" s="4">
        <f>'[37]Predicted Coal Prices'!AP119</f>
        <v>1.8250960741339637</v>
      </c>
      <c r="AF119" s="4">
        <v>0</v>
      </c>
      <c r="AG119" s="4">
        <v>0</v>
      </c>
      <c r="AH119" s="4"/>
      <c r="AI119" s="17" t="s">
        <v>20</v>
      </c>
      <c r="AJ119" s="115">
        <f t="shared" si="13"/>
        <v>3.6460468031081508</v>
      </c>
    </row>
    <row r="120" spans="4:36" x14ac:dyDescent="0.2">
      <c r="D120">
        <f>[13]Quantity_shares!BB346</f>
        <v>2003</v>
      </c>
      <c r="E120" t="str">
        <f>[13]Quantity_shares!BC346</f>
        <v>321</v>
      </c>
      <c r="F120" s="26">
        <f>[13]Quantity_shares!BD346</f>
        <v>0.20182357218772726</v>
      </c>
      <c r="G120" s="26">
        <f>[13]Quantity_shares!BE346</f>
        <v>4.064580186832243E-2</v>
      </c>
      <c r="H120" s="26">
        <f>[13]Quantity_shares!BF346</f>
        <v>1.3774682553001063E-2</v>
      </c>
      <c r="I120" s="26">
        <f>[13]Quantity_shares!BG346</f>
        <v>0.7437559433909493</v>
      </c>
      <c r="Q120" s="26">
        <f t="shared" ref="Q120:U120" si="46">0.333*Q78+0.667*Q141</f>
        <v>2.7927839004266264E-2</v>
      </c>
      <c r="R120" s="26">
        <f t="shared" si="46"/>
        <v>0.26787213118217124</v>
      </c>
      <c r="S120" s="26">
        <f t="shared" si="46"/>
        <v>0.62021123166694903</v>
      </c>
      <c r="T120" s="26">
        <f t="shared" si="46"/>
        <v>5.6800808361631316E-2</v>
      </c>
      <c r="U120" s="26">
        <f t="shared" si="46"/>
        <v>2.7187989784982141E-2</v>
      </c>
      <c r="V120" s="26">
        <v>0</v>
      </c>
      <c r="W120" s="26">
        <v>0</v>
      </c>
      <c r="X120" s="26">
        <f t="shared" si="21"/>
        <v>1</v>
      </c>
      <c r="Y120" s="74"/>
      <c r="AA120" s="4">
        <f>'[33]Predicted Residual Prices'!AP120</f>
        <v>3.0585021681050035</v>
      </c>
      <c r="AB120" s="4">
        <f>'[34]Predicted Distillate Prices'!AP120</f>
        <v>5.8836545281512276</v>
      </c>
      <c r="AC120" s="4">
        <f>'[35]Predicted Gas Prices'!AQ120</f>
        <v>3.4526437182192584</v>
      </c>
      <c r="AD120" s="4">
        <f>'[36]Predicted LPG Prices'!AP120</f>
        <v>5.661145512344258</v>
      </c>
      <c r="AE120" s="4">
        <f>'[37]Predicted Coal Prices'!AP120</f>
        <v>2.4854084702669446</v>
      </c>
      <c r="AF120" s="4">
        <v>0</v>
      </c>
      <c r="AG120" s="4">
        <v>0</v>
      </c>
      <c r="AH120" s="4"/>
      <c r="AI120" s="17" t="s">
        <v>22</v>
      </c>
      <c r="AJ120" s="115">
        <f t="shared" si="13"/>
        <v>4.1919837481795597</v>
      </c>
    </row>
    <row r="121" spans="4:36" x14ac:dyDescent="0.2">
      <c r="D121">
        <f>[13]Quantity_shares!BB347</f>
        <v>2003</v>
      </c>
      <c r="E121" t="str">
        <f>[13]Quantity_shares!BC347</f>
        <v>322</v>
      </c>
      <c r="F121" s="26">
        <f>[13]Quantity_shares!BD347</f>
        <v>0.23315128778395039</v>
      </c>
      <c r="G121" s="26">
        <f>[13]Quantity_shares!BE347</f>
        <v>5.2004078637989101E-2</v>
      </c>
      <c r="H121" s="26">
        <f>[13]Quantity_shares!BF347</f>
        <v>0.10835904146230149</v>
      </c>
      <c r="I121" s="26">
        <f>[13]Quantity_shares!BG347</f>
        <v>0.60648559211575903</v>
      </c>
      <c r="Q121" s="26">
        <f t="shared" ref="Q121:U121" si="47">0.333*Q79+0.667*Q142</f>
        <v>0.16722825350108622</v>
      </c>
      <c r="R121" s="26">
        <f t="shared" si="47"/>
        <v>1.0499434844783054E-2</v>
      </c>
      <c r="S121" s="26">
        <f t="shared" si="47"/>
        <v>0.5163082107905056</v>
      </c>
      <c r="T121" s="26">
        <f t="shared" si="47"/>
        <v>4.9393865769195638E-3</v>
      </c>
      <c r="U121" s="26">
        <f t="shared" si="47"/>
        <v>0.30102471428670552</v>
      </c>
      <c r="V121" s="26">
        <v>0</v>
      </c>
      <c r="W121" s="26">
        <v>0</v>
      </c>
      <c r="X121" s="26">
        <f t="shared" si="21"/>
        <v>1</v>
      </c>
      <c r="Y121" s="74"/>
      <c r="AA121" s="4">
        <f>'[33]Predicted Residual Prices'!AP121</f>
        <v>3.0536967698015438</v>
      </c>
      <c r="AB121" s="4">
        <f>'[34]Predicted Distillate Prices'!AP121</f>
        <v>4.920910103609577</v>
      </c>
      <c r="AC121" s="4">
        <f>'[35]Predicted Gas Prices'!AQ121</f>
        <v>2.481143454429378</v>
      </c>
      <c r="AD121" s="4">
        <f>'[36]Predicted LPG Prices'!AP121</f>
        <v>6.7675167847800495</v>
      </c>
      <c r="AE121" s="4">
        <f>'[37]Predicted Coal Prices'!AP121</f>
        <v>1.8292475478371577</v>
      </c>
      <c r="AF121" s="4">
        <v>0</v>
      </c>
      <c r="AG121" s="4">
        <v>0</v>
      </c>
      <c r="AH121" s="4"/>
      <c r="AI121" s="17" t="s">
        <v>24</v>
      </c>
      <c r="AJ121" s="115">
        <f t="shared" si="13"/>
        <v>2.427441992229868</v>
      </c>
    </row>
    <row r="122" spans="4:36" x14ac:dyDescent="0.2">
      <c r="D122">
        <f>[13]Quantity_shares!BB348</f>
        <v>2003</v>
      </c>
      <c r="E122" t="str">
        <f>[13]Quantity_shares!BC348</f>
        <v>323</v>
      </c>
      <c r="F122" s="26">
        <f>[13]Quantity_shares!BD348</f>
        <v>0.94884713144517041</v>
      </c>
      <c r="G122" s="26">
        <f>[13]Quantity_shares!BE348</f>
        <v>1.293572984749455E-2</v>
      </c>
      <c r="H122" s="26">
        <f>[13]Quantity_shares!BF348</f>
        <v>2.155954974582425E-16</v>
      </c>
      <c r="I122" s="26">
        <f>[13]Quantity_shares!BG348</f>
        <v>3.8217138707334779E-2</v>
      </c>
      <c r="Q122" s="26">
        <f t="shared" ref="Q122:U122" si="48">0.333*Q80+0.667*Q143</f>
        <v>8.716387102501031E-3</v>
      </c>
      <c r="R122" s="26">
        <f t="shared" si="48"/>
        <v>3.7656343736492411E-2</v>
      </c>
      <c r="S122" s="26">
        <f t="shared" si="48"/>
        <v>0.93549885183182091</v>
      </c>
      <c r="T122" s="26">
        <f t="shared" si="48"/>
        <v>1.8128417329185621E-2</v>
      </c>
      <c r="U122" s="26">
        <f t="shared" si="48"/>
        <v>0</v>
      </c>
      <c r="V122" s="26">
        <v>0</v>
      </c>
      <c r="W122" s="26">
        <v>0</v>
      </c>
      <c r="X122" s="26">
        <f t="shared" si="21"/>
        <v>0.99999999999999989</v>
      </c>
      <c r="Y122" s="74"/>
      <c r="AA122" s="4">
        <f>'[33]Predicted Residual Prices'!AP122</f>
        <v>3.7783546353497393</v>
      </c>
      <c r="AB122" s="4">
        <f>'[34]Predicted Distillate Prices'!AP122</f>
        <v>6.5766474395342369</v>
      </c>
      <c r="AC122" s="4">
        <f>'[35]Predicted Gas Prices'!AQ122</f>
        <v>3.9104745746524161</v>
      </c>
      <c r="AD122" s="4">
        <f>'[36]Predicted LPG Prices'!AP122</f>
        <v>7.4993784385637303</v>
      </c>
      <c r="AE122" s="4">
        <f>'[37]Predicted Coal Prices'!AP122</f>
        <v>1.7730088588107495</v>
      </c>
      <c r="AF122" s="4">
        <v>0</v>
      </c>
      <c r="AG122" s="4">
        <v>0</v>
      </c>
      <c r="AH122" s="4"/>
      <c r="AI122" s="17" t="s">
        <v>26</v>
      </c>
      <c r="AJ122" s="115">
        <f t="shared" si="13"/>
        <v>4.0747824349777044</v>
      </c>
    </row>
    <row r="123" spans="4:36" x14ac:dyDescent="0.2">
      <c r="D123">
        <f>[13]Quantity_shares!BB349</f>
        <v>2003</v>
      </c>
      <c r="E123" t="str">
        <f>[13]Quantity_shares!BC349</f>
        <v>324</v>
      </c>
      <c r="F123" s="26">
        <f>[13]Quantity_shares!BD349</f>
        <v>0.27925370342660483</v>
      </c>
      <c r="G123" s="26">
        <f>[13]Quantity_shares!BE349</f>
        <v>1.6365030674846626E-2</v>
      </c>
      <c r="H123" s="26">
        <f>[13]Quantity_shares!BF349</f>
        <v>7.2351488852311838E-3</v>
      </c>
      <c r="I123" s="26">
        <f>[13]Quantity_shares!BG349</f>
        <v>0.69714611701331741</v>
      </c>
      <c r="Q123" s="26">
        <f t="shared" ref="Q123:U123" si="49">0.333*Q81+0.667*Q144</f>
        <v>3.3854852807670921E-2</v>
      </c>
      <c r="R123" s="26">
        <f t="shared" si="49"/>
        <v>2.18445119523407E-2</v>
      </c>
      <c r="S123" s="26">
        <f t="shared" si="49"/>
        <v>0.91613811003040602</v>
      </c>
      <c r="T123" s="26">
        <f t="shared" si="49"/>
        <v>2.2521295968805505E-2</v>
      </c>
      <c r="U123" s="26">
        <f t="shared" si="49"/>
        <v>5.6412292407769359E-3</v>
      </c>
      <c r="V123" s="26">
        <v>0</v>
      </c>
      <c r="W123" s="26">
        <v>0</v>
      </c>
      <c r="X123" s="26">
        <f t="shared" si="21"/>
        <v>1</v>
      </c>
      <c r="Y123" s="74"/>
      <c r="AA123" s="4">
        <f>'[33]Predicted Residual Prices'!AP123</f>
        <v>3.2112318317079303</v>
      </c>
      <c r="AB123" s="4">
        <f>'[34]Predicted Distillate Prices'!AP123</f>
        <v>5.5651469772148001</v>
      </c>
      <c r="AC123" s="4">
        <f>'[35]Predicted Gas Prices'!AQ123</f>
        <v>2.1326324917275432</v>
      </c>
      <c r="AD123" s="4">
        <f>'[36]Predicted LPG Prices'!AP123</f>
        <v>4.6232041453020054</v>
      </c>
      <c r="AE123" s="4">
        <f>'[37]Predicted Coal Prices'!AP123</f>
        <v>2.0047876686357435</v>
      </c>
      <c r="AF123" s="4">
        <v>0</v>
      </c>
      <c r="AG123" s="4">
        <v>0</v>
      </c>
      <c r="AH123" s="4"/>
      <c r="AI123" s="17" t="s">
        <v>28</v>
      </c>
      <c r="AJ123" s="115">
        <f t="shared" si="13"/>
        <v>2.2994996167131996</v>
      </c>
    </row>
    <row r="124" spans="4:36" x14ac:dyDescent="0.2">
      <c r="D124">
        <f>[13]Quantity_shares!BB350</f>
        <v>2003</v>
      </c>
      <c r="E124" t="str">
        <f>[13]Quantity_shares!BC350</f>
        <v>325</v>
      </c>
      <c r="F124" s="26">
        <f>[13]Quantity_shares!BD350</f>
        <v>0.51813001975544515</v>
      </c>
      <c r="G124" s="26">
        <f>[13]Quantity_shares!BE350</f>
        <v>1.6166594965470578E-2</v>
      </c>
      <c r="H124" s="26">
        <f>[13]Quantity_shares!BF350</f>
        <v>8.8191377247936145E-2</v>
      </c>
      <c r="I124" s="26">
        <f>[13]Quantity_shares!BG350</f>
        <v>0.37751200803114804</v>
      </c>
      <c r="Q124" s="26">
        <f t="shared" ref="Q124:U124" si="50">0.333*Q82+0.667*Q145</f>
        <v>3.3003993307355733E-2</v>
      </c>
      <c r="R124" s="26">
        <f t="shared" si="50"/>
        <v>6.5651787734702337E-3</v>
      </c>
      <c r="S124" s="26">
        <f t="shared" si="50"/>
        <v>0.82579272883365396</v>
      </c>
      <c r="T124" s="26">
        <f t="shared" si="50"/>
        <v>2.011257391214904E-3</v>
      </c>
      <c r="U124" s="26">
        <f t="shared" si="50"/>
        <v>0.13262684169430541</v>
      </c>
      <c r="V124" s="26">
        <v>0</v>
      </c>
      <c r="W124" s="26">
        <v>0</v>
      </c>
      <c r="X124" s="26">
        <f t="shared" si="21"/>
        <v>1.0000000000000002</v>
      </c>
      <c r="Y124" s="74"/>
      <c r="AA124" s="4">
        <f>'[33]Predicted Residual Prices'!AP124</f>
        <v>2.6943871179425791</v>
      </c>
      <c r="AB124" s="4">
        <f>'[34]Predicted Distillate Prices'!AP124</f>
        <v>5.4770907635771895</v>
      </c>
      <c r="AC124" s="4">
        <f>'[35]Predicted Gas Prices'!AQ124</f>
        <v>1.9880103799667115</v>
      </c>
      <c r="AD124" s="4">
        <f>'[36]Predicted LPG Prices'!AP124</f>
        <v>5.1544562911148617</v>
      </c>
      <c r="AE124" s="4">
        <f>'[37]Predicted Coal Prices'!AP124</f>
        <v>1.653920007132178</v>
      </c>
      <c r="AF124" s="4">
        <v>0</v>
      </c>
      <c r="AG124" s="4">
        <v>0</v>
      </c>
      <c r="AH124" s="4"/>
      <c r="AI124" s="17" t="s">
        <v>30</v>
      </c>
      <c r="AJ124" s="115">
        <f t="shared" si="13"/>
        <v>1.996289256325912</v>
      </c>
    </row>
    <row r="125" spans="4:36" x14ac:dyDescent="0.2">
      <c r="D125">
        <f>[13]Quantity_shares!BB351</f>
        <v>2003</v>
      </c>
      <c r="E125" t="str">
        <f>[13]Quantity_shares!BC351</f>
        <v>326</v>
      </c>
      <c r="F125" s="26">
        <f>[13]Quantity_shares!BD351</f>
        <v>0.84035562394256869</v>
      </c>
      <c r="G125" s="26">
        <f>[13]Quantity_shares!BE351</f>
        <v>6.4094537587326833E-2</v>
      </c>
      <c r="H125" s="26">
        <f>[13]Quantity_shares!BF351</f>
        <v>4.732881875777744E-2</v>
      </c>
      <c r="I125" s="26">
        <f>[13]Quantity_shares!BG351</f>
        <v>4.8221019712327048E-2</v>
      </c>
      <c r="Q125" s="26">
        <f t="shared" ref="Q125:U125" si="51">0.333*Q83+0.667*Q146</f>
        <v>8.0926241529092613E-2</v>
      </c>
      <c r="R125" s="26">
        <f t="shared" si="51"/>
        <v>2.7877409428822823E-2</v>
      </c>
      <c r="S125" s="26">
        <f t="shared" si="51"/>
        <v>0.81315951558050248</v>
      </c>
      <c r="T125" s="26">
        <f t="shared" si="51"/>
        <v>2.1087611714775169E-2</v>
      </c>
      <c r="U125" s="26">
        <f t="shared" si="51"/>
        <v>5.6949221746807076E-2</v>
      </c>
      <c r="V125" s="26">
        <v>0</v>
      </c>
      <c r="W125" s="26">
        <v>0</v>
      </c>
      <c r="X125" s="26">
        <f t="shared" si="21"/>
        <v>1.0000000000000002</v>
      </c>
      <c r="Y125" s="74"/>
      <c r="AA125" s="4">
        <f>'[33]Predicted Residual Prices'!AP125</f>
        <v>3.3120108019095729</v>
      </c>
      <c r="AB125" s="4">
        <f>'[34]Predicted Distillate Prices'!AP125</f>
        <v>7.1589773580985314</v>
      </c>
      <c r="AC125" s="4">
        <f>'[35]Predicted Gas Prices'!AQ125</f>
        <v>3.2880350080249992</v>
      </c>
      <c r="AD125" s="4">
        <f>'[36]Predicted LPG Prices'!AP125</f>
        <v>6.4051052356085307</v>
      </c>
      <c r="AE125" s="4">
        <f>'[37]Predicted Coal Prices'!AP125</f>
        <v>2.1754234657252871</v>
      </c>
      <c r="AF125" s="4">
        <v>0</v>
      </c>
      <c r="AG125" s="4">
        <v>0</v>
      </c>
      <c r="AH125" s="4"/>
      <c r="AI125" s="17" t="s">
        <v>32</v>
      </c>
      <c r="AJ125" s="115">
        <f t="shared" si="13"/>
        <v>3.4002563288866079</v>
      </c>
    </row>
    <row r="126" spans="4:36" x14ac:dyDescent="0.2">
      <c r="D126">
        <f>[13]Quantity_shares!BB352</f>
        <v>2003</v>
      </c>
      <c r="E126" t="str">
        <f>[13]Quantity_shares!BC352</f>
        <v>327</v>
      </c>
      <c r="F126" s="26">
        <f>[13]Quantity_shares!BD352</f>
        <v>0.46637793931282928</v>
      </c>
      <c r="G126" s="26">
        <f>[13]Quantity_shares!BE352</f>
        <v>3.6602909464237832E-2</v>
      </c>
      <c r="H126" s="26">
        <f>[13]Quantity_shares!BF352</f>
        <v>0.34982463236389383</v>
      </c>
      <c r="I126" s="26">
        <f>[13]Quantity_shares!BG352</f>
        <v>0.147194518859039</v>
      </c>
      <c r="Q126" s="26">
        <f t="shared" ref="Q126:U126" si="52">0.333*Q84+0.667*Q147</f>
        <v>1.4055246364394128E-2</v>
      </c>
      <c r="R126" s="26">
        <f t="shared" si="52"/>
        <v>3.2915590139315658E-2</v>
      </c>
      <c r="S126" s="26">
        <f t="shared" si="52"/>
        <v>0.5554600929801633</v>
      </c>
      <c r="T126" s="26">
        <f t="shared" si="52"/>
        <v>3.6596670139201763E-3</v>
      </c>
      <c r="U126" s="26">
        <f t="shared" si="52"/>
        <v>0.39390940350220671</v>
      </c>
      <c r="V126" s="26">
        <v>0</v>
      </c>
      <c r="W126" s="26">
        <v>0</v>
      </c>
      <c r="X126" s="26">
        <f t="shared" si="21"/>
        <v>1</v>
      </c>
      <c r="Y126" s="74"/>
      <c r="AA126" s="4">
        <f>'[33]Predicted Residual Prices'!AP126</f>
        <v>3.3194890726547448</v>
      </c>
      <c r="AB126" s="4">
        <f>'[34]Predicted Distillate Prices'!AP126</f>
        <v>5.802995326826319</v>
      </c>
      <c r="AC126" s="4">
        <f>'[35]Predicted Gas Prices'!AQ126</f>
        <v>2.761497034363781</v>
      </c>
      <c r="AD126" s="4">
        <f>'[36]Predicted LPG Prices'!AP126</f>
        <v>6.1774646483879403</v>
      </c>
      <c r="AE126" s="4">
        <f>'[37]Predicted Coal Prices'!AP126</f>
        <v>1.5557883600919413</v>
      </c>
      <c r="AF126" s="4">
        <v>0</v>
      </c>
      <c r="AG126" s="4">
        <v>0</v>
      </c>
      <c r="AH126" s="4"/>
      <c r="AI126" s="17" t="s">
        <v>34</v>
      </c>
      <c r="AJ126" s="115">
        <f t="shared" si="13"/>
        <v>2.4070137804532634</v>
      </c>
    </row>
    <row r="127" spans="4:36" x14ac:dyDescent="0.2">
      <c r="D127">
        <f>[13]Quantity_shares!BB353</f>
        <v>2003</v>
      </c>
      <c r="E127" t="str">
        <f>[13]Quantity_shares!BC353</f>
        <v>331</v>
      </c>
      <c r="F127" s="26">
        <f>[13]Quantity_shares!BD353</f>
        <v>0.42154681372782871</v>
      </c>
      <c r="G127" s="26">
        <f>[13]Quantity_shares!BE353</f>
        <v>1.2221994294383117E-2</v>
      </c>
      <c r="H127" s="26">
        <f>[13]Quantity_shares!BF353</f>
        <v>0.34994609241572761</v>
      </c>
      <c r="I127" s="26">
        <f>[13]Quantity_shares!BG353</f>
        <v>0.21628509956206052</v>
      </c>
      <c r="Q127" s="26">
        <f t="shared" ref="Q127:V127" si="53">0.333*Q85+0.667*Q148</f>
        <v>3.1927379982877889E-2</v>
      </c>
      <c r="R127" s="26">
        <f t="shared" si="53"/>
        <v>1.0765412745927561E-2</v>
      </c>
      <c r="S127" s="26">
        <f t="shared" si="53"/>
        <v>0.64093113571716454</v>
      </c>
      <c r="T127" s="26">
        <f t="shared" si="53"/>
        <v>3.4523491089607002E-3</v>
      </c>
      <c r="U127" s="26">
        <f t="shared" si="53"/>
        <v>4.4796523074342572E-2</v>
      </c>
      <c r="V127" s="26">
        <f t="shared" si="53"/>
        <v>0.26812719937072677</v>
      </c>
      <c r="W127" s="26">
        <v>0</v>
      </c>
      <c r="X127" s="26">
        <f t="shared" si="21"/>
        <v>1</v>
      </c>
      <c r="Y127" s="74"/>
      <c r="AA127" s="4">
        <f>'[33]Predicted Residual Prices'!AP127</f>
        <v>2.5692884678321786</v>
      </c>
      <c r="AB127" s="4">
        <f>'[34]Predicted Distillate Prices'!AP127</f>
        <v>5.4688215939216196</v>
      </c>
      <c r="AC127" s="4">
        <f>'[35]Predicted Gas Prices'!AQ127</f>
        <v>2.747162933691214</v>
      </c>
      <c r="AD127" s="4">
        <f>'[36]Predicted LPG Prices'!AP127</f>
        <v>4.518917208893539</v>
      </c>
      <c r="AE127" s="4">
        <f>'[37]Predicted Coal Prices'!AP127</f>
        <v>1.8338165923172232</v>
      </c>
      <c r="AF127" s="36">
        <f>3*AE127</f>
        <v>5.5014497769516693</v>
      </c>
      <c r="AG127" s="4">
        <v>0</v>
      </c>
      <c r="AH127" s="4"/>
      <c r="AI127" s="17" t="s">
        <v>36</v>
      </c>
      <c r="AJ127" s="115">
        <f t="shared" si="13"/>
        <v>3.4744848382455213</v>
      </c>
    </row>
    <row r="128" spans="4:36" x14ac:dyDescent="0.2">
      <c r="D128">
        <f>[13]Quantity_shares!BB354</f>
        <v>2003</v>
      </c>
      <c r="E128" t="str">
        <f>[13]Quantity_shares!BC354</f>
        <v>332</v>
      </c>
      <c r="F128" s="26">
        <f>[13]Quantity_shares!BD354</f>
        <v>0.93119883736946141</v>
      </c>
      <c r="G128" s="26">
        <f>[13]Quantity_shares!BE354</f>
        <v>2.9573830991953633E-2</v>
      </c>
      <c r="H128" s="26">
        <f>[13]Quantity_shares!BF354</f>
        <v>5.0569065230628967E-3</v>
      </c>
      <c r="I128" s="26">
        <f>[13]Quantity_shares!BG354</f>
        <v>3.4170425115522138E-2</v>
      </c>
      <c r="Q128" s="26">
        <f t="shared" ref="Q128:U128" si="54">0.333*Q86+0.667*Q149</f>
        <v>1.838011487466577E-2</v>
      </c>
      <c r="R128" s="26">
        <f t="shared" si="54"/>
        <v>3.1410282877777383E-2</v>
      </c>
      <c r="S128" s="26">
        <f t="shared" si="54"/>
        <v>0.89084576927254755</v>
      </c>
      <c r="T128" s="26">
        <f t="shared" si="54"/>
        <v>1.9906238548330565E-2</v>
      </c>
      <c r="U128" s="26">
        <f t="shared" si="54"/>
        <v>3.945759442667883E-2</v>
      </c>
      <c r="V128" s="26">
        <v>0</v>
      </c>
      <c r="W128" s="26">
        <v>0</v>
      </c>
      <c r="X128" s="26">
        <f t="shared" si="21"/>
        <v>1</v>
      </c>
      <c r="Y128" s="74"/>
      <c r="AA128" s="4">
        <f>'[33]Predicted Residual Prices'!AP128</f>
        <v>3.4865029140952624</v>
      </c>
      <c r="AB128" s="4">
        <f>'[34]Predicted Distillate Prices'!AP128</f>
        <v>6.5953437333715543</v>
      </c>
      <c r="AC128" s="4">
        <f>'[35]Predicted Gas Prices'!AQ128</f>
        <v>3.6287067024460877</v>
      </c>
      <c r="AD128" s="4">
        <f>'[36]Predicted LPG Prices'!AP128</f>
        <v>6.4076322955325562</v>
      </c>
      <c r="AE128" s="4">
        <f>'[37]Predicted Coal Prices'!AP128</f>
        <v>1.9613854753102897</v>
      </c>
      <c r="AF128" s="4">
        <v>0</v>
      </c>
      <c r="AG128" s="4">
        <v>0</v>
      </c>
      <c r="AH128" s="4"/>
      <c r="AI128" s="17" t="s">
        <v>38</v>
      </c>
      <c r="AJ128" s="115">
        <f t="shared" si="13"/>
        <v>3.7088053598223696</v>
      </c>
    </row>
    <row r="129" spans="4:36" x14ac:dyDescent="0.2">
      <c r="D129">
        <f>[13]Quantity_shares!BB355</f>
        <v>2003</v>
      </c>
      <c r="E129" t="str">
        <f>[13]Quantity_shares!BC355</f>
        <v>333</v>
      </c>
      <c r="F129" s="26">
        <f>[13]Quantity_shares!BD355</f>
        <v>0.88356046230809038</v>
      </c>
      <c r="G129" s="26">
        <f>[13]Quantity_shares!BE355</f>
        <v>3.613938243919268E-2</v>
      </c>
      <c r="H129" s="26">
        <f>[13]Quantity_shares!BF355</f>
        <v>1.0709562417342302E-2</v>
      </c>
      <c r="I129" s="26">
        <f>[13]Quantity_shares!BG355</f>
        <v>6.9590592835374609E-2</v>
      </c>
      <c r="Q129" s="26">
        <f t="shared" ref="Q129:U129" si="55">0.333*Q87+0.667*Q150</f>
        <v>3.2449988199786818E-2</v>
      </c>
      <c r="R129" s="26">
        <f t="shared" si="55"/>
        <v>3.7353985785206344E-2</v>
      </c>
      <c r="S129" s="26">
        <f t="shared" si="55"/>
        <v>0.77718369054530334</v>
      </c>
      <c r="T129" s="26">
        <f t="shared" si="55"/>
        <v>1.526723205031465E-2</v>
      </c>
      <c r="U129" s="26">
        <f t="shared" si="55"/>
        <v>0.13774510341938889</v>
      </c>
      <c r="V129" s="26">
        <v>0</v>
      </c>
      <c r="W129" s="26">
        <v>0</v>
      </c>
      <c r="X129" s="26">
        <f t="shared" si="21"/>
        <v>1</v>
      </c>
      <c r="Y129" s="74"/>
      <c r="AA129" s="4">
        <f>'[33]Predicted Residual Prices'!AP129</f>
        <v>3.4009409846136398</v>
      </c>
      <c r="AB129" s="4">
        <f>'[34]Predicted Distillate Prices'!AP129</f>
        <v>6.1084349123020774</v>
      </c>
      <c r="AC129" s="4">
        <f>'[35]Predicted Gas Prices'!AQ129</f>
        <v>3.6814021660891361</v>
      </c>
      <c r="AD129" s="4">
        <f>'[36]Predicted LPG Prices'!AP129</f>
        <v>6.3812158680887139</v>
      </c>
      <c r="AE129" s="4">
        <f>'[37]Predicted Coal Prices'!AP129</f>
        <v>1.5459161980044194</v>
      </c>
      <c r="AF129" s="4">
        <v>0</v>
      </c>
      <c r="AG129" s="4">
        <v>0</v>
      </c>
      <c r="AH129" s="4"/>
      <c r="AI129" s="17" t="s">
        <v>40</v>
      </c>
      <c r="AJ129" s="115">
        <f t="shared" si="13"/>
        <v>3.5100264975185902</v>
      </c>
    </row>
    <row r="130" spans="4:36" x14ac:dyDescent="0.2">
      <c r="D130">
        <f>[13]Quantity_shares!BB356</f>
        <v>2003</v>
      </c>
      <c r="E130" t="str">
        <f>[13]Quantity_shares!BC356</f>
        <v>334</v>
      </c>
      <c r="F130" s="26">
        <f>[13]Quantity_shares!BD356</f>
        <v>0.92684659090909083</v>
      </c>
      <c r="G130" s="26">
        <f>[13]Quantity_shares!BE356</f>
        <v>2.911931818181818E-2</v>
      </c>
      <c r="H130" s="26">
        <f>[13]Quantity_shares!BF356</f>
        <v>2.6515151515151512E-3</v>
      </c>
      <c r="I130" s="26">
        <f>[13]Quantity_shares!BG356</f>
        <v>4.1382575757575757E-2</v>
      </c>
      <c r="Q130" s="26">
        <f t="shared" ref="Q130:U130" si="56">0.333*Q88+0.667*Q151</f>
        <v>5.5776016498011484E-2</v>
      </c>
      <c r="R130" s="26">
        <f t="shared" si="56"/>
        <v>3.2165545133136922E-2</v>
      </c>
      <c r="S130" s="26">
        <f t="shared" si="56"/>
        <v>0.7318223553504164</v>
      </c>
      <c r="T130" s="26">
        <f t="shared" si="56"/>
        <v>1.2539473156084495E-2</v>
      </c>
      <c r="U130" s="26">
        <f t="shared" si="56"/>
        <v>0.16769660986235083</v>
      </c>
      <c r="V130" s="26">
        <v>0</v>
      </c>
      <c r="W130" s="26">
        <v>0</v>
      </c>
      <c r="X130" s="26">
        <f t="shared" si="21"/>
        <v>1.0000000000000002</v>
      </c>
      <c r="Y130" s="74"/>
      <c r="AA130" s="4">
        <f>'[33]Predicted Residual Prices'!AP130</f>
        <v>4.0329138841296208</v>
      </c>
      <c r="AB130" s="4">
        <f>'[34]Predicted Distillate Prices'!AP130</f>
        <v>5.8326989504198172</v>
      </c>
      <c r="AC130" s="4">
        <f>'[35]Predicted Gas Prices'!AQ130</f>
        <v>3.5532903771147284</v>
      </c>
      <c r="AD130" s="4">
        <f>'[36]Predicted LPG Prices'!AP130</f>
        <v>7.1237836277961266</v>
      </c>
      <c r="AE130" s="4">
        <f>'[37]Predicted Coal Prices'!AP130</f>
        <v>1.7158990894149002</v>
      </c>
      <c r="AF130" s="4">
        <v>0</v>
      </c>
      <c r="AG130" s="4">
        <v>0</v>
      </c>
      <c r="AH130" s="4"/>
      <c r="AI130" s="17" t="s">
        <v>42</v>
      </c>
      <c r="AJ130" s="115">
        <f t="shared" si="13"/>
        <v>3.3900080994293496</v>
      </c>
    </row>
    <row r="131" spans="4:36" x14ac:dyDescent="0.2">
      <c r="D131">
        <f>[13]Quantity_shares!BB357</f>
        <v>2003</v>
      </c>
      <c r="E131" t="str">
        <f>[13]Quantity_shares!BC357</f>
        <v>335</v>
      </c>
      <c r="F131" s="26">
        <f>[13]Quantity_shares!BD357</f>
        <v>0.93531457887708669</v>
      </c>
      <c r="G131" s="26">
        <f>[13]Quantity_shares!BE357</f>
        <v>2.3813099437041605E-2</v>
      </c>
      <c r="H131" s="26">
        <f>[13]Quantity_shares!BF357</f>
        <v>6.4271421439501255E-3</v>
      </c>
      <c r="I131" s="26">
        <f>[13]Quantity_shares!BG357</f>
        <v>3.4445179541921528E-2</v>
      </c>
      <c r="Q131" s="26">
        <f t="shared" ref="Q131:U131" si="57">0.333*Q89+0.667*Q152</f>
        <v>4.4374525543234317E-2</v>
      </c>
      <c r="R131" s="26">
        <f t="shared" si="57"/>
        <v>3.5821357126272366E-2</v>
      </c>
      <c r="S131" s="26">
        <f t="shared" si="57"/>
        <v>0.87695043837267006</v>
      </c>
      <c r="T131" s="26">
        <f t="shared" si="57"/>
        <v>2.0124229696095897E-2</v>
      </c>
      <c r="U131" s="26">
        <f t="shared" si="57"/>
        <v>2.2729449261727416E-2</v>
      </c>
      <c r="V131" s="26">
        <v>0</v>
      </c>
      <c r="W131" s="26">
        <v>0</v>
      </c>
      <c r="X131" s="26">
        <f t="shared" si="21"/>
        <v>1</v>
      </c>
      <c r="Y131" s="74"/>
      <c r="AA131" s="4">
        <f>'[33]Predicted Residual Prices'!AP131</f>
        <v>3.6140918816554706</v>
      </c>
      <c r="AB131" s="4">
        <f>'[34]Predicted Distillate Prices'!AP131</f>
        <v>5.4069690499125933</v>
      </c>
      <c r="AC131" s="4">
        <f>'[35]Predicted Gas Prices'!AQ131</f>
        <v>3.5412128877161089</v>
      </c>
      <c r="AD131" s="4">
        <f>'[36]Predicted LPG Prices'!AP131</f>
        <v>6.8173389111125688</v>
      </c>
      <c r="AE131" s="4">
        <f>'[37]Predicted Coal Prices'!AP131</f>
        <v>1.8820012571873506</v>
      </c>
      <c r="AF131" s="4">
        <v>0</v>
      </c>
      <c r="AG131" s="4">
        <v>0</v>
      </c>
      <c r="AH131" s="4"/>
      <c r="AI131" s="17" t="s">
        <v>44</v>
      </c>
      <c r="AJ131" s="115">
        <f t="shared" si="13"/>
        <v>3.6394973223284368</v>
      </c>
    </row>
    <row r="132" spans="4:36" x14ac:dyDescent="0.2">
      <c r="D132">
        <f>[13]Quantity_shares!BB358</f>
        <v>2003</v>
      </c>
      <c r="E132" t="str">
        <f>[13]Quantity_shares!BC358</f>
        <v>336</v>
      </c>
      <c r="F132" s="26">
        <f>[13]Quantity_shares!BD358</f>
        <v>0.81500188587479783</v>
      </c>
      <c r="G132" s="26">
        <f>[13]Quantity_shares!BE358</f>
        <v>3.8151743441622248E-2</v>
      </c>
      <c r="H132" s="26">
        <f>[13]Quantity_shares!BF358</f>
        <v>2.7878688622219573E-2</v>
      </c>
      <c r="I132" s="26">
        <f>[13]Quantity_shares!BG358</f>
        <v>0.11896768206136042</v>
      </c>
      <c r="Q132" s="26">
        <f t="shared" ref="Q132:U132" si="58">0.333*Q90+0.667*Q153</f>
        <v>6.7956310109636098E-2</v>
      </c>
      <c r="R132" s="26">
        <f t="shared" si="58"/>
        <v>4.0976333865744431E-2</v>
      </c>
      <c r="S132" s="26">
        <f t="shared" si="58"/>
        <v>0.71752843461668492</v>
      </c>
      <c r="T132" s="26">
        <f t="shared" si="58"/>
        <v>1.1186156046187994E-2</v>
      </c>
      <c r="U132" s="26">
        <f t="shared" si="58"/>
        <v>0.16235276536174659</v>
      </c>
      <c r="V132" s="26">
        <v>0</v>
      </c>
      <c r="W132" s="26">
        <v>0</v>
      </c>
      <c r="X132" s="26">
        <f t="shared" si="21"/>
        <v>1</v>
      </c>
      <c r="Y132" s="74"/>
      <c r="AA132" s="4">
        <f>'[33]Predicted Residual Prices'!AP132</f>
        <v>3.2248197969789043</v>
      </c>
      <c r="AB132" s="4">
        <f>'[34]Predicted Distillate Prices'!AP132</f>
        <v>6.167058162096172</v>
      </c>
      <c r="AC132" s="4">
        <f>'[35]Predicted Gas Prices'!AQ132</f>
        <v>3.3832126945538143</v>
      </c>
      <c r="AD132" s="4">
        <f>'[36]Predicted LPG Prices'!AP132</f>
        <v>5.7100791598573766</v>
      </c>
      <c r="AE132" s="4">
        <f>'[37]Predicted Coal Prices'!AP132</f>
        <v>2.0444479015982369</v>
      </c>
      <c r="AF132" s="4">
        <v>0</v>
      </c>
      <c r="AG132" s="4">
        <v>0</v>
      </c>
      <c r="AH132" s="4"/>
      <c r="AI132" s="17" t="s">
        <v>46</v>
      </c>
      <c r="AJ132" s="115">
        <f t="shared" si="13"/>
        <v>3.2951972040699484</v>
      </c>
    </row>
    <row r="133" spans="4:36" x14ac:dyDescent="0.2">
      <c r="D133">
        <f>[13]Quantity_shares!BB359</f>
        <v>2003</v>
      </c>
      <c r="E133" t="str">
        <f>[13]Quantity_shares!BC359</f>
        <v>337</v>
      </c>
      <c r="F133" s="26">
        <f>[13]Quantity_shares!BD359</f>
        <v>0.62300141129392428</v>
      </c>
      <c r="G133" s="26">
        <f>[13]Quantity_shares!BE359</f>
        <v>2.8875698947782118E-2</v>
      </c>
      <c r="H133" s="26">
        <f>[13]Quantity_shares!BF359</f>
        <v>5.0500652053521985E-2</v>
      </c>
      <c r="I133" s="26">
        <f>[13]Quantity_shares!BG359</f>
        <v>0.29762223770477159</v>
      </c>
      <c r="Q133" s="26">
        <f t="shared" ref="Q133:U133" si="59">0.333*Q91+0.667*Q154</f>
        <v>4.316271274088887E-2</v>
      </c>
      <c r="R133" s="26">
        <f t="shared" si="59"/>
        <v>6.1797911600621369E-2</v>
      </c>
      <c r="S133" s="26">
        <f t="shared" si="59"/>
        <v>0.73483150437269429</v>
      </c>
      <c r="T133" s="26">
        <f t="shared" si="59"/>
        <v>3.7294294495694782E-2</v>
      </c>
      <c r="U133" s="26">
        <f t="shared" si="59"/>
        <v>0.12291357679010076</v>
      </c>
      <c r="V133" s="26">
        <v>0</v>
      </c>
      <c r="W133" s="26">
        <v>0</v>
      </c>
      <c r="X133" s="26">
        <f t="shared" si="21"/>
        <v>1</v>
      </c>
      <c r="Y133" s="74"/>
      <c r="AA133" s="4">
        <f>'[33]Predicted Residual Prices'!AP133</f>
        <v>4.2814762200175291</v>
      </c>
      <c r="AB133" s="4">
        <f>'[34]Predicted Distillate Prices'!AP133</f>
        <v>6.2369367636100153</v>
      </c>
      <c r="AC133" s="4">
        <f>'[35]Predicted Gas Prices'!AQ133</f>
        <v>3.9421980991124355</v>
      </c>
      <c r="AD133" s="4">
        <f>'[36]Predicted LPG Prices'!AP133</f>
        <v>7.1762860778081272</v>
      </c>
      <c r="AE133" s="4">
        <f>'[37]Predicted Coal Prices'!AP133</f>
        <v>2.0407257118229554</v>
      </c>
      <c r="AF133" s="4">
        <v>0</v>
      </c>
      <c r="AG133" s="4">
        <v>0</v>
      </c>
      <c r="AH133" s="4"/>
      <c r="AI133" s="17" t="s">
        <v>48</v>
      </c>
      <c r="AJ133" s="115">
        <f t="shared" si="13"/>
        <v>3.9855485775325823</v>
      </c>
    </row>
    <row r="134" spans="4:36" x14ac:dyDescent="0.2">
      <c r="D134">
        <f>[13]Quantity_shares!BB360</f>
        <v>2003</v>
      </c>
      <c r="E134" t="str">
        <f>[13]Quantity_shares!BC360</f>
        <v>339</v>
      </c>
      <c r="F134" s="26">
        <f>[13]Quantity_shares!BD360</f>
        <v>0.85838445807770947</v>
      </c>
      <c r="G134" s="26">
        <f>[13]Quantity_shares!BE360</f>
        <v>4.7673824130879339E-2</v>
      </c>
      <c r="H134" s="26">
        <f>[13]Quantity_shares!BF360</f>
        <v>7.6687116564438018E-4</v>
      </c>
      <c r="I134" s="26">
        <f>[13]Quantity_shares!BG360</f>
        <v>9.3174846625766861E-2</v>
      </c>
      <c r="Q134" s="26">
        <f t="shared" ref="Q134:U134" si="60">0.333*Q92+0.667*Q155</f>
        <v>6.3283300455360542E-2</v>
      </c>
      <c r="R134" s="26">
        <f t="shared" si="60"/>
        <v>4.1916957377243866E-2</v>
      </c>
      <c r="S134" s="26">
        <f t="shared" si="60"/>
        <v>0.65269556857388533</v>
      </c>
      <c r="T134" s="26">
        <f t="shared" si="60"/>
        <v>2.2477224387067261E-2</v>
      </c>
      <c r="U134" s="26">
        <f t="shared" si="60"/>
        <v>0.21962694920644307</v>
      </c>
      <c r="V134" s="26">
        <v>0</v>
      </c>
      <c r="W134" s="26">
        <v>0</v>
      </c>
      <c r="X134" s="26">
        <f t="shared" si="21"/>
        <v>1</v>
      </c>
      <c r="Y134" s="74"/>
      <c r="AA134" s="4">
        <f>'[33]Predicted Residual Prices'!AP134</f>
        <v>3.9750357639421385</v>
      </c>
      <c r="AB134" s="4">
        <f>'[34]Predicted Distillate Prices'!AP134</f>
        <v>6.4840763785613955</v>
      </c>
      <c r="AC134" s="4">
        <f>'[35]Predicted Gas Prices'!AQ134</f>
        <v>4.0312303840087882</v>
      </c>
      <c r="AD134" s="4">
        <f>'[36]Predicted LPG Prices'!AP134</f>
        <v>7.9773840517458696</v>
      </c>
      <c r="AE134" s="4">
        <f>'[37]Predicted Coal Prices'!AP134</f>
        <v>1.9290057849867885</v>
      </c>
      <c r="AF134" s="4">
        <v>0</v>
      </c>
      <c r="AG134" s="4">
        <v>0</v>
      </c>
      <c r="AH134" s="4"/>
      <c r="AI134" s="17" t="s">
        <v>50</v>
      </c>
      <c r="AJ134" s="115">
        <f t="shared" si="13"/>
        <v>3.7574834502153762</v>
      </c>
    </row>
    <row r="135" spans="4:36" x14ac:dyDescent="0.2">
      <c r="D135">
        <f>[13]Quantity_shares!BB361</f>
        <v>2004</v>
      </c>
      <c r="E135" t="str">
        <f>[13]Quantity_shares!BC361</f>
        <v>311</v>
      </c>
      <c r="F135" s="26">
        <f>[13]Quantity_shares!BD361</f>
        <v>0.66406429183616811</v>
      </c>
      <c r="G135" s="26">
        <f>[13]Quantity_shares!BE361</f>
        <v>4.0518583793049331E-2</v>
      </c>
      <c r="H135" s="26">
        <f>[13]Quantity_shares!BF361</f>
        <v>0.18298185681003368</v>
      </c>
      <c r="I135" s="26">
        <f>[13]Quantity_shares!BG361</f>
        <v>0.1124352675607489</v>
      </c>
      <c r="P135">
        <v>1991</v>
      </c>
      <c r="Q135" s="72">
        <f>MECS_data_SIC!BP62</f>
        <v>3.6443406511774197E-2</v>
      </c>
      <c r="R135" s="72">
        <f>MECS_data_SIC!BQ62</f>
        <v>2.5189758405247373E-2</v>
      </c>
      <c r="S135" s="72">
        <f>MECS_data_SIC!BR62</f>
        <v>0.72755278024022985</v>
      </c>
      <c r="T135" s="72">
        <f>MECS_data_SIC!BS62</f>
        <v>7.6368787687419899E-3</v>
      </c>
      <c r="U135" s="72">
        <f>MECS_data_SIC!BT62</f>
        <v>0.20317717607400665</v>
      </c>
      <c r="V135" s="26">
        <v>0</v>
      </c>
      <c r="W135" s="26">
        <v>0</v>
      </c>
      <c r="X135" s="26">
        <f t="shared" si="21"/>
        <v>1</v>
      </c>
      <c r="Y135" s="74"/>
      <c r="Z135">
        <v>1991</v>
      </c>
      <c r="AA135" s="4">
        <f>'[33]Predicted Residual Prices'!AP135</f>
        <v>2.8540000000000001</v>
      </c>
      <c r="AB135" s="4">
        <f>'[34]Predicted Distillate Prices'!AP135</f>
        <v>6.0640000000000001</v>
      </c>
      <c r="AC135" s="4">
        <f>'[35]Predicted Gas Prices'!AQ135</f>
        <v>2.6970000000000001</v>
      </c>
      <c r="AD135" s="4">
        <f>'[36]Predicted LPG Prices'!AP135</f>
        <v>7.5960000000000001</v>
      </c>
      <c r="AE135" s="4">
        <f>'[37]Predicted Coal Prices'!AP135</f>
        <v>1.4330000000000001</v>
      </c>
      <c r="AF135" s="4">
        <v>0</v>
      </c>
      <c r="AG135" s="4">
        <v>0</v>
      </c>
      <c r="AH135" s="4"/>
      <c r="AI135" s="17" t="s">
        <v>10</v>
      </c>
      <c r="AJ135" s="115">
        <f t="shared" si="13"/>
        <v>2.5681326499033394</v>
      </c>
    </row>
    <row r="136" spans="4:36" x14ac:dyDescent="0.2">
      <c r="D136">
        <f>[13]Quantity_shares!BB362</f>
        <v>2004</v>
      </c>
      <c r="E136" t="str">
        <f>[13]Quantity_shares!BC362</f>
        <v>312</v>
      </c>
      <c r="F136" s="26">
        <f>[13]Quantity_shares!BD362</f>
        <v>0.55769230769230771</v>
      </c>
      <c r="G136" s="26">
        <f>[13]Quantity_shares!BE362</f>
        <v>5.128205128205128E-2</v>
      </c>
      <c r="H136" s="26">
        <f>[13]Quantity_shares!BF362</f>
        <v>0.23717948717948717</v>
      </c>
      <c r="I136" s="26">
        <f>[13]Quantity_shares!BG362</f>
        <v>0.15384615384615385</v>
      </c>
      <c r="Q136" s="72">
        <f>MECS_data_SIC!BP63</f>
        <v>5.643346943804254E-2</v>
      </c>
      <c r="R136" s="72">
        <f>MECS_data_SIC!BQ63</f>
        <v>9.2492289770785344E-3</v>
      </c>
      <c r="S136" s="72">
        <f>MECS_data_SIC!BR63</f>
        <v>0.43390444426059943</v>
      </c>
      <c r="T136" s="72">
        <f>MECS_data_SIC!BS63</f>
        <v>1.8152371362319638E-3</v>
      </c>
      <c r="U136" s="72">
        <f>MECS_data_SIC!BT63</f>
        <v>0.49859762018804749</v>
      </c>
      <c r="V136" s="26">
        <v>0</v>
      </c>
      <c r="W136" s="26">
        <v>0</v>
      </c>
      <c r="X136" s="26">
        <f t="shared" si="21"/>
        <v>1</v>
      </c>
      <c r="Y136" s="74"/>
      <c r="AA136" s="4">
        <f>'[33]Predicted Residual Prices'!AP136</f>
        <v>2.577</v>
      </c>
      <c r="AB136" s="4">
        <f>'[34]Predicted Distillate Prices'!AP136</f>
        <v>5.1529999999999996</v>
      </c>
      <c r="AC136" s="4">
        <f>'[35]Predicted Gas Prices'!AQ136</f>
        <v>2.5539999999999998</v>
      </c>
      <c r="AD136" s="4">
        <f>'[36]Predicted LPG Prices'!AP136</f>
        <v>7.2510000000000003</v>
      </c>
      <c r="AE136" s="4">
        <f>'[37]Predicted Coal Prices'!AP136</f>
        <v>2.097</v>
      </c>
      <c r="AF136" s="4">
        <v>0</v>
      </c>
      <c r="AG136" s="4">
        <v>0</v>
      </c>
      <c r="AH136" s="4"/>
      <c r="AI136" s="17" t="s">
        <v>12</v>
      </c>
      <c r="AJ136" s="115">
        <f t="shared" si="13"/>
        <v>2.3600037723114458</v>
      </c>
    </row>
    <row r="137" spans="4:36" x14ac:dyDescent="0.2">
      <c r="D137">
        <f>[13]Quantity_shares!BB363</f>
        <v>2004</v>
      </c>
      <c r="E137" t="str">
        <f>[13]Quantity_shares!BC363</f>
        <v>313</v>
      </c>
      <c r="F137" s="26">
        <f>[13]Quantity_shares!BD363</f>
        <v>0.60240419037570181</v>
      </c>
      <c r="G137" s="26">
        <f>[13]Quantity_shares!BE363</f>
        <v>3.6420846365452009E-2</v>
      </c>
      <c r="H137" s="26">
        <f>[13]Quantity_shares!BF363</f>
        <v>0.2359347326374496</v>
      </c>
      <c r="I137" s="26">
        <f>[13]Quantity_shares!BG363</f>
        <v>0.12524023062139655</v>
      </c>
      <c r="Q137" s="72">
        <f>MECS_data_SIC!BP64</f>
        <v>7.7756153826139332E-2</v>
      </c>
      <c r="R137" s="72">
        <f>MECS_data_SIC!BQ64</f>
        <v>3.898929245751389E-2</v>
      </c>
      <c r="S137" s="72">
        <f>MECS_data_SIC!BR64</f>
        <v>0.68035302515088047</v>
      </c>
      <c r="T137" s="72">
        <f>MECS_data_SIC!BS64</f>
        <v>1.4300347470098312E-2</v>
      </c>
      <c r="U137" s="72">
        <f>MECS_data_SIC!BT64</f>
        <v>0.188601181095368</v>
      </c>
      <c r="V137" s="26">
        <v>0</v>
      </c>
      <c r="W137" s="26">
        <v>0</v>
      </c>
      <c r="X137" s="26">
        <f t="shared" si="21"/>
        <v>1</v>
      </c>
      <c r="Y137" s="74"/>
      <c r="AA137" s="4">
        <f>'[33]Predicted Residual Prices'!AP137</f>
        <v>2.8090000000000002</v>
      </c>
      <c r="AB137" s="4">
        <f>'[34]Predicted Distillate Prices'!AP137</f>
        <v>4.468</v>
      </c>
      <c r="AC137" s="4">
        <f>'[35]Predicted Gas Prices'!AQ137</f>
        <v>3.3170000000000002</v>
      </c>
      <c r="AD137" s="4">
        <f>'[36]Predicted LPG Prices'!AP137</f>
        <v>7.2510000000000003</v>
      </c>
      <c r="AE137" s="4">
        <f>'[37]Predicted Coal Prices'!AP137</f>
        <v>1.952</v>
      </c>
      <c r="AF137" s="4">
        <v>0</v>
      </c>
      <c r="AG137" s="4">
        <v>0</v>
      </c>
      <c r="AH137" s="4"/>
      <c r="AI137" s="17" t="s">
        <v>14</v>
      </c>
      <c r="AJ137" s="115">
        <f t="shared" ref="AJ137:AJ200" si="61">SUMPRODUCT(Q137:W137,AA137:AG137)</f>
        <v>3.1211935042271093</v>
      </c>
    </row>
    <row r="138" spans="4:36" x14ac:dyDescent="0.2">
      <c r="D138">
        <f>[13]Quantity_shares!BB364</f>
        <v>2004</v>
      </c>
      <c r="E138" t="str">
        <f>[13]Quantity_shares!BC364</f>
        <v>314</v>
      </c>
      <c r="F138" s="26">
        <f>[13]Quantity_shares!BD364</f>
        <v>0.77951699463327362</v>
      </c>
      <c r="G138" s="26">
        <f>[13]Quantity_shares!BE364</f>
        <v>4.2486583184257604E-2</v>
      </c>
      <c r="H138" s="26">
        <f>[13]Quantity_shares!BF364</f>
        <v>0.15675313059033991</v>
      </c>
      <c r="I138" s="26">
        <f>[13]Quantity_shares!BG364</f>
        <v>2.1243291592128802E-2</v>
      </c>
      <c r="Q138" s="72">
        <f>MECS_data_SIC!BP65</f>
        <v>7.7756153826139332E-2</v>
      </c>
      <c r="R138" s="72">
        <f>MECS_data_SIC!BQ65</f>
        <v>3.898929245751389E-2</v>
      </c>
      <c r="S138" s="72">
        <f>MECS_data_SIC!BR65</f>
        <v>0.68035302515088047</v>
      </c>
      <c r="T138" s="72">
        <f>MECS_data_SIC!BS65</f>
        <v>1.4300347470098312E-2</v>
      </c>
      <c r="U138" s="72">
        <f>MECS_data_SIC!BT65</f>
        <v>0.188601181095368</v>
      </c>
      <c r="V138" s="26">
        <v>0</v>
      </c>
      <c r="W138" s="26">
        <v>0</v>
      </c>
      <c r="X138" s="26">
        <f t="shared" si="21"/>
        <v>1</v>
      </c>
      <c r="Y138" s="74"/>
      <c r="AA138" s="4">
        <f>'[33]Predicted Residual Prices'!AP138</f>
        <v>2.8090000000000002</v>
      </c>
      <c r="AB138" s="4">
        <f>'[34]Predicted Distillate Prices'!AP138</f>
        <v>4.468</v>
      </c>
      <c r="AC138" s="4">
        <f>'[35]Predicted Gas Prices'!AQ138</f>
        <v>3.3170000000000002</v>
      </c>
      <c r="AD138" s="4">
        <f>'[36]Predicted LPG Prices'!AP138</f>
        <v>6.1539999999999999</v>
      </c>
      <c r="AE138" s="4">
        <f>'[37]Predicted Coal Prices'!AP138</f>
        <v>1.952</v>
      </c>
      <c r="AF138" s="4">
        <v>0</v>
      </c>
      <c r="AG138" s="4">
        <v>0</v>
      </c>
      <c r="AH138" s="4"/>
      <c r="AI138" s="17" t="s">
        <v>16</v>
      </c>
      <c r="AJ138" s="115">
        <f t="shared" si="61"/>
        <v>3.1055060230524116</v>
      </c>
    </row>
    <row r="139" spans="4:36" x14ac:dyDescent="0.2">
      <c r="D139">
        <f>[13]Quantity_shares!BB365</f>
        <v>2004</v>
      </c>
      <c r="E139" t="str">
        <f>[13]Quantity_shares!BC365</f>
        <v>315</v>
      </c>
      <c r="F139" s="26">
        <f>[13]Quantity_shares!BD365</f>
        <v>0.89818585708996579</v>
      </c>
      <c r="G139" s="26">
        <f>[13]Quantity_shares!BE365</f>
        <v>6.1088485746019938E-2</v>
      </c>
      <c r="H139" s="26">
        <f>[13]Quantity_shares!BF365</f>
        <v>9.5520177711958435E-16</v>
      </c>
      <c r="I139" s="26">
        <f>[13]Quantity_shares!BG365</f>
        <v>4.0725657164013294E-2</v>
      </c>
      <c r="Q139" s="72">
        <f>MECS_data_SIC!BP66</f>
        <v>4.3715430384095144E-2</v>
      </c>
      <c r="R139" s="72">
        <f>MECS_data_SIC!BQ66</f>
        <v>3.6159218242204298E-2</v>
      </c>
      <c r="S139" s="72">
        <f>MECS_data_SIC!BR66</f>
        <v>0.81048407932112387</v>
      </c>
      <c r="T139" s="72">
        <f>MECS_data_SIC!BS66</f>
        <v>2.4962035334482935E-2</v>
      </c>
      <c r="U139" s="72">
        <f>MECS_data_SIC!BT66</f>
        <v>8.4679236718093798E-2</v>
      </c>
      <c r="V139" s="26">
        <v>0</v>
      </c>
      <c r="W139" s="26">
        <v>0</v>
      </c>
      <c r="X139" s="26">
        <f t="shared" si="21"/>
        <v>1</v>
      </c>
      <c r="Y139" s="74"/>
      <c r="AA139" s="4">
        <f>'[33]Predicted Residual Prices'!AP139</f>
        <v>3.121</v>
      </c>
      <c r="AB139" s="4">
        <f>'[34]Predicted Distillate Prices'!AP139</f>
        <v>6.6669999999999998</v>
      </c>
      <c r="AC139" s="4">
        <f>'[35]Predicted Gas Prices'!AQ139</f>
        <v>3.7410000000000001</v>
      </c>
      <c r="AD139" s="4">
        <f>'[36]Predicted LPG Prices'!AP139</f>
        <v>7.86</v>
      </c>
      <c r="AE139" s="4">
        <f>'[37]Predicted Coal Prices'!AP139</f>
        <v>2.4</v>
      </c>
      <c r="AF139" s="4">
        <v>0</v>
      </c>
      <c r="AG139" s="4">
        <v>0</v>
      </c>
      <c r="AH139" s="4"/>
      <c r="AI139" s="17" t="s">
        <v>18</v>
      </c>
      <c r="AJ139" s="115">
        <f t="shared" si="61"/>
        <v>3.8089620728423221</v>
      </c>
    </row>
    <row r="140" spans="4:36" x14ac:dyDescent="0.2">
      <c r="D140">
        <f>[13]Quantity_shares!BB366</f>
        <v>2004</v>
      </c>
      <c r="E140" t="str">
        <f>[13]Quantity_shares!BC366</f>
        <v>316</v>
      </c>
      <c r="F140" s="26">
        <f>[13]Quantity_shares!BD366</f>
        <v>0.77380952380952039</v>
      </c>
      <c r="G140" s="26">
        <f>[13]Quantity_shares!BE366</f>
        <v>0.1130952380952375</v>
      </c>
      <c r="H140" s="26">
        <f>[13]Quantity_shares!BF366</f>
        <v>4.6130952380952102E-15</v>
      </c>
      <c r="I140" s="26">
        <f>[13]Quantity_shares!BG366</f>
        <v>0.1130952380952375</v>
      </c>
      <c r="Q140" s="72">
        <f>MECS_data_SIC!BP67</f>
        <v>0.17670942154186628</v>
      </c>
      <c r="R140" s="72">
        <f>MECS_data_SIC!BQ67</f>
        <v>0.160085625510066</v>
      </c>
      <c r="S140" s="72">
        <f>MECS_data_SIC!BR67</f>
        <v>0.64334059412941091</v>
      </c>
      <c r="T140" s="72">
        <f>MECS_data_SIC!BS67</f>
        <v>1.9864358818656776E-2</v>
      </c>
      <c r="U140" s="72">
        <f>MECS_data_SIC!BT67</f>
        <v>0</v>
      </c>
      <c r="V140" s="26">
        <v>0</v>
      </c>
      <c r="W140" s="26">
        <v>0</v>
      </c>
      <c r="X140" s="26">
        <f t="shared" si="21"/>
        <v>1</v>
      </c>
      <c r="Y140" s="74"/>
      <c r="AA140" s="4">
        <f>'[33]Predicted Residual Prices'!AP140</f>
        <v>2.6259999999999999</v>
      </c>
      <c r="AB140" s="4">
        <f>'[34]Predicted Distillate Prices'!AP140</f>
        <v>4.8639999999999999</v>
      </c>
      <c r="AC140" s="4">
        <f>'[35]Predicted Gas Prices'!AQ140</f>
        <v>2.863</v>
      </c>
      <c r="AD140" s="4">
        <f>'[36]Predicted LPG Prices'!AP140</f>
        <v>8.2919999999999998</v>
      </c>
      <c r="AE140" s="4">
        <f>'[37]Predicted Coal Prices'!AP140</f>
        <v>1.7749999999999999</v>
      </c>
      <c r="AF140" s="4">
        <v>0</v>
      </c>
      <c r="AG140" s="4">
        <v>0</v>
      </c>
      <c r="AH140" s="4"/>
      <c r="AI140" s="17" t="s">
        <v>20</v>
      </c>
      <c r="AJ140" s="115">
        <f t="shared" si="61"/>
        <v>3.2492948077667072</v>
      </c>
    </row>
    <row r="141" spans="4:36" x14ac:dyDescent="0.2">
      <c r="D141">
        <f>[13]Quantity_shares!BB367</f>
        <v>2004</v>
      </c>
      <c r="E141" t="str">
        <f>[13]Quantity_shares!BC367</f>
        <v>321</v>
      </c>
      <c r="F141" s="26">
        <f>[13]Quantity_shares!BD367</f>
        <v>0.21552833249426639</v>
      </c>
      <c r="G141" s="26">
        <f>[13]Quantity_shares!BE367</f>
        <v>4.4987973373608547E-2</v>
      </c>
      <c r="H141" s="26">
        <f>[13]Quantity_shares!BF367</f>
        <v>2.4249035072998824E-2</v>
      </c>
      <c r="I141" s="26">
        <f>[13]Quantity_shares!BG367</f>
        <v>0.71523465905912631</v>
      </c>
      <c r="Q141" s="72">
        <f>MECS_data_SIC!BP68</f>
        <v>3.391749587689994E-2</v>
      </c>
      <c r="R141" s="72">
        <f>MECS_data_SIC!BQ68</f>
        <v>0.22393901052079043</v>
      </c>
      <c r="S141" s="72">
        <f>MECS_data_SIC!BR68</f>
        <v>0.65078557611615306</v>
      </c>
      <c r="T141" s="72">
        <f>MECS_data_SIC!BS68</f>
        <v>5.8549640828572995E-2</v>
      </c>
      <c r="U141" s="72">
        <f>MECS_data_SIC!BT68</f>
        <v>3.2808276657583416E-2</v>
      </c>
      <c r="V141" s="26">
        <v>0</v>
      </c>
      <c r="W141" s="26">
        <v>0</v>
      </c>
      <c r="X141" s="26">
        <f t="shared" si="21"/>
        <v>0.99999999999999989</v>
      </c>
      <c r="Y141" s="74"/>
      <c r="AA141" s="4">
        <f>'[33]Predicted Residual Prices'!AP141</f>
        <v>2.68</v>
      </c>
      <c r="AB141" s="4">
        <f>'[34]Predicted Distillate Prices'!AP141</f>
        <v>6.4210000000000003</v>
      </c>
      <c r="AC141" s="4">
        <f>'[35]Predicted Gas Prices'!AQ141</f>
        <v>3.1339999999999999</v>
      </c>
      <c r="AD141" s="4">
        <f>'[36]Predicted LPG Prices'!AP141</f>
        <v>6.399</v>
      </c>
      <c r="AE141" s="4">
        <f>'[37]Predicted Coal Prices'!AP141</f>
        <v>2.5</v>
      </c>
      <c r="AF141" s="4">
        <v>0</v>
      </c>
      <c r="AG141" s="4">
        <v>0</v>
      </c>
      <c r="AH141" s="4"/>
      <c r="AI141" s="17" t="s">
        <v>22</v>
      </c>
      <c r="AJ141" s="115">
        <f t="shared" si="61"/>
        <v>4.0250531143581085</v>
      </c>
    </row>
    <row r="142" spans="4:36" x14ac:dyDescent="0.2">
      <c r="D142">
        <f>[13]Quantity_shares!BB368</f>
        <v>2004</v>
      </c>
      <c r="E142" t="str">
        <f>[13]Quantity_shares!BC368</f>
        <v>322</v>
      </c>
      <c r="F142" s="26">
        <f>[13]Quantity_shares!BD368</f>
        <v>0.23045793354637528</v>
      </c>
      <c r="G142" s="26">
        <f>[13]Quantity_shares!BE368</f>
        <v>5.1130291108453643E-2</v>
      </c>
      <c r="H142" s="26">
        <f>[13]Quantity_shares!BF368</f>
        <v>0.10721878484318041</v>
      </c>
      <c r="I142" s="26">
        <f>[13]Quantity_shares!BG368</f>
        <v>0.61119299050199061</v>
      </c>
      <c r="J142">
        <v>1988</v>
      </c>
      <c r="K142" s="26">
        <f>Q80</f>
        <v>1.3873477178929422E-2</v>
      </c>
      <c r="L142" s="26">
        <f t="shared" ref="L142:O142" si="62">R80</f>
        <v>4.2187438404072609E-2</v>
      </c>
      <c r="M142" s="26">
        <f t="shared" si="62"/>
        <v>0.91481559028573767</v>
      </c>
      <c r="N142" s="26">
        <f t="shared" si="62"/>
        <v>2.912349413126028E-2</v>
      </c>
      <c r="O142" s="26">
        <f t="shared" si="62"/>
        <v>0</v>
      </c>
      <c r="Q142" s="72">
        <f>MECS_data_SIC!BP69</f>
        <v>0.15549647065390293</v>
      </c>
      <c r="R142" s="72">
        <f>MECS_data_SIC!BQ69</f>
        <v>9.0669667620501479E-3</v>
      </c>
      <c r="S142" s="72">
        <f>MECS_data_SIC!BR69</f>
        <v>0.54465712999227134</v>
      </c>
      <c r="T142" s="72">
        <f>MECS_data_SIC!BS69</f>
        <v>4.9698621249021037E-3</v>
      </c>
      <c r="U142" s="72">
        <f>MECS_data_SIC!BT69</f>
        <v>0.28580957046687339</v>
      </c>
      <c r="V142" s="26">
        <v>0</v>
      </c>
      <c r="W142" s="26">
        <v>0</v>
      </c>
      <c r="X142" s="26">
        <f t="shared" si="21"/>
        <v>0.99999999999999989</v>
      </c>
      <c r="Y142" s="74"/>
      <c r="AA142" s="4">
        <f>'[33]Predicted Residual Prices'!AP142</f>
        <v>2.5219999999999998</v>
      </c>
      <c r="AB142" s="4">
        <f>'[34]Predicted Distillate Prices'!AP142</f>
        <v>4.5659999999999998</v>
      </c>
      <c r="AC142" s="4">
        <f>'[35]Predicted Gas Prices'!AQ142</f>
        <v>2.2919999999999998</v>
      </c>
      <c r="AD142" s="4">
        <f>'[36]Predicted LPG Prices'!AP142</f>
        <v>7.0640000000000001</v>
      </c>
      <c r="AE142" s="4">
        <f>'[37]Predicted Coal Prices'!AP142</f>
        <v>1.87</v>
      </c>
      <c r="AF142" s="4">
        <v>0</v>
      </c>
      <c r="AG142" s="4">
        <v>0</v>
      </c>
      <c r="AH142" s="4"/>
      <c r="AI142" s="17" t="s">
        <v>24</v>
      </c>
      <c r="AJ142" s="115">
        <f t="shared" si="61"/>
        <v>2.251487013990312</v>
      </c>
    </row>
    <row r="143" spans="4:36" x14ac:dyDescent="0.2">
      <c r="D143">
        <f>[13]Quantity_shares!BB369</f>
        <v>2004</v>
      </c>
      <c r="E143" t="str">
        <f>[13]Quantity_shares!BC369</f>
        <v>323</v>
      </c>
      <c r="F143" s="26">
        <f>[13]Quantity_shares!BD369</f>
        <v>0.95119220527717241</v>
      </c>
      <c r="G143" s="26">
        <f>[13]Quantity_shares!BE369</f>
        <v>1.3525780682643424E-2</v>
      </c>
      <c r="H143" s="26">
        <f>[13]Quantity_shares!BF369</f>
        <v>2.2542967804405711E-16</v>
      </c>
      <c r="I143" s="26">
        <f>[13]Quantity_shares!BG369</f>
        <v>3.5282014040183968E-2</v>
      </c>
      <c r="J143">
        <v>1991</v>
      </c>
      <c r="K143" s="26">
        <f>Q143</f>
        <v>6.1417079489018483E-3</v>
      </c>
      <c r="L143" s="26">
        <f t="shared" ref="L143:O143" si="63">R143</f>
        <v>3.5394193025391651E-2</v>
      </c>
      <c r="M143" s="26">
        <f t="shared" si="63"/>
        <v>0.9458249779110498</v>
      </c>
      <c r="N143" s="26">
        <f t="shared" si="63"/>
        <v>1.2639121114656591E-2</v>
      </c>
      <c r="O143" s="26">
        <f t="shared" si="63"/>
        <v>0</v>
      </c>
      <c r="Q143" s="72">
        <f>MECS_data_SIC!BP70</f>
        <v>6.1417079489018483E-3</v>
      </c>
      <c r="R143" s="72">
        <f>MECS_data_SIC!BQ70</f>
        <v>3.5394193025391651E-2</v>
      </c>
      <c r="S143" s="72">
        <f>MECS_data_SIC!BR70</f>
        <v>0.9458249779110498</v>
      </c>
      <c r="T143" s="72">
        <f>MECS_data_SIC!BS70</f>
        <v>1.2639121114656591E-2</v>
      </c>
      <c r="U143" s="72">
        <f>MECS_data_SIC!BT70</f>
        <v>0</v>
      </c>
      <c r="V143" s="26">
        <v>0</v>
      </c>
      <c r="W143" s="26">
        <v>0</v>
      </c>
      <c r="X143" s="26">
        <f t="shared" si="21"/>
        <v>0.99999999999999989</v>
      </c>
      <c r="Y143" s="74"/>
      <c r="AA143" s="4">
        <f>'[33]Predicted Residual Prices'!AP143</f>
        <v>3.7170000000000001</v>
      </c>
      <c r="AB143" s="4">
        <f>'[34]Predicted Distillate Prices'!AP143</f>
        <v>6.0019999999999998</v>
      </c>
      <c r="AC143" s="4">
        <f>'[35]Predicted Gas Prices'!AQ143</f>
        <v>3.6</v>
      </c>
      <c r="AD143" s="4">
        <f>'[36]Predicted LPG Prices'!AP143</f>
        <v>9.5489999999999995</v>
      </c>
      <c r="AE143" s="4">
        <f>'[37]Predicted Coal Prices'!AP143</f>
        <v>1.7160000000000002</v>
      </c>
      <c r="AF143" s="4">
        <v>0</v>
      </c>
      <c r="AG143" s="4">
        <v>0</v>
      </c>
      <c r="AH143" s="4"/>
      <c r="AI143" s="17" t="s">
        <v>26</v>
      </c>
      <c r="AJ143" s="115">
        <f t="shared" si="61"/>
        <v>3.760925562988104</v>
      </c>
    </row>
    <row r="144" spans="4:36" x14ac:dyDescent="0.2">
      <c r="D144">
        <f>[13]Quantity_shares!BB370</f>
        <v>2004</v>
      </c>
      <c r="E144" t="str">
        <f>[13]Quantity_shares!BC370</f>
        <v>324</v>
      </c>
      <c r="F144" s="26">
        <f>[13]Quantity_shares!BD370</f>
        <v>0.27297895156865681</v>
      </c>
      <c r="G144" s="26">
        <f>[13]Quantity_shares!BE370</f>
        <v>1.9396728016359919E-2</v>
      </c>
      <c r="H144" s="26">
        <f>[13]Quantity_shares!BF370</f>
        <v>1.0242655494039602E-2</v>
      </c>
      <c r="I144" s="26">
        <f>[13]Quantity_shares!BG370</f>
        <v>0.69738166492094367</v>
      </c>
      <c r="J144">
        <v>1994</v>
      </c>
      <c r="K144" s="26">
        <f>Q206</f>
        <v>5.933740300948627E-3</v>
      </c>
      <c r="L144" s="26">
        <f t="shared" ref="L144:O144" si="64">R206</f>
        <v>3.4195691381234322E-2</v>
      </c>
      <c r="M144" s="26">
        <f t="shared" si="64"/>
        <v>0.94768645797261419</v>
      </c>
      <c r="N144" s="26">
        <f t="shared" si="64"/>
        <v>1.2184110345202845E-2</v>
      </c>
      <c r="O144" s="26">
        <f t="shared" si="64"/>
        <v>0</v>
      </c>
      <c r="Q144" s="72">
        <f>MECS_data_SIC!BP71</f>
        <v>2.6646054485227593E-2</v>
      </c>
      <c r="R144" s="72">
        <f>MECS_data_SIC!BQ71</f>
        <v>1.8771660459819123E-2</v>
      </c>
      <c r="S144" s="72">
        <f>MECS_data_SIC!BR71</f>
        <v>0.92253112804692272</v>
      </c>
      <c r="T144" s="72">
        <f>MECS_data_SIC!BS71</f>
        <v>2.7606187830035763E-2</v>
      </c>
      <c r="U144" s="72">
        <f>MECS_data_SIC!BT71</f>
        <v>4.4449691779947613E-3</v>
      </c>
      <c r="V144" s="26">
        <v>0</v>
      </c>
      <c r="W144" s="26">
        <v>0</v>
      </c>
      <c r="X144" s="26">
        <f t="shared" si="21"/>
        <v>1</v>
      </c>
      <c r="Y144" s="74"/>
      <c r="AA144" s="4">
        <f>'[33]Predicted Residual Prices'!AP144</f>
        <v>3</v>
      </c>
      <c r="AB144" s="4">
        <f>'[34]Predicted Distillate Prices'!AP144</f>
        <v>5.1639999999999997</v>
      </c>
      <c r="AC144" s="4">
        <f>'[35]Predicted Gas Prices'!AQ144</f>
        <v>1.9670000000000001</v>
      </c>
      <c r="AD144" s="4">
        <f>'[36]Predicted LPG Prices'!AP144</f>
        <v>4.6029999999999998</v>
      </c>
      <c r="AE144" s="4">
        <f>'[37]Predicted Coal Prices'!AP144</f>
        <v>2.0099999999999998</v>
      </c>
      <c r="AF144" s="4">
        <v>0</v>
      </c>
      <c r="AG144" s="4">
        <v>0</v>
      </c>
      <c r="AH144" s="4"/>
      <c r="AI144" s="17" t="s">
        <v>28</v>
      </c>
      <c r="AJ144" s="115">
        <f t="shared" si="61"/>
        <v>2.1274994175679098</v>
      </c>
    </row>
    <row r="145" spans="4:36" x14ac:dyDescent="0.2">
      <c r="D145">
        <f>[13]Quantity_shares!BB371</f>
        <v>2004</v>
      </c>
      <c r="E145" t="str">
        <f>[13]Quantity_shares!BC371</f>
        <v>325</v>
      </c>
      <c r="F145" s="26">
        <f>[13]Quantity_shares!BD371</f>
        <v>0.51899740079325785</v>
      </c>
      <c r="G145" s="26">
        <f>[13]Quantity_shares!BE371</f>
        <v>1.4762289807636591E-2</v>
      </c>
      <c r="H145" s="26">
        <f>[13]Quantity_shares!BF371</f>
        <v>7.9588673114861175E-2</v>
      </c>
      <c r="I145" s="26">
        <f>[13]Quantity_shares!BG371</f>
        <v>0.38665163628424437</v>
      </c>
      <c r="Q145" s="72">
        <f>MECS_data_SIC!BP72</f>
        <v>2.3673928951201365E-2</v>
      </c>
      <c r="R145" s="72">
        <f>MECS_data_SIC!BQ72</f>
        <v>5.9036714396105373E-3</v>
      </c>
      <c r="S145" s="72">
        <f>MECS_data_SIC!BR72</f>
        <v>0.84390204010184899</v>
      </c>
      <c r="T145" s="72">
        <f>MECS_data_SIC!BS72</f>
        <v>2.050367410666709E-3</v>
      </c>
      <c r="U145" s="72">
        <f>MECS_data_SIC!BT72</f>
        <v>0.12446999209667244</v>
      </c>
      <c r="V145" s="26">
        <v>0</v>
      </c>
      <c r="W145" s="26">
        <v>0</v>
      </c>
      <c r="X145" s="26">
        <f t="shared" si="21"/>
        <v>1</v>
      </c>
      <c r="Y145" s="74"/>
      <c r="AA145" s="4">
        <f>'[33]Predicted Residual Prices'!AP145</f>
        <v>2.3580000000000001</v>
      </c>
      <c r="AB145" s="4">
        <f>'[34]Predicted Distillate Prices'!AP145</f>
        <v>5.2839999999999998</v>
      </c>
      <c r="AC145" s="4">
        <f>'[35]Predicted Gas Prices'!AQ145</f>
        <v>1.8109999999999999</v>
      </c>
      <c r="AD145" s="4">
        <f>'[36]Predicted LPG Prices'!AP145</f>
        <v>4.8289999999999997</v>
      </c>
      <c r="AE145" s="4">
        <f>'[37]Predicted Coal Prices'!AP145</f>
        <v>1.681</v>
      </c>
      <c r="AF145" s="4">
        <v>0</v>
      </c>
      <c r="AG145" s="4">
        <v>0</v>
      </c>
      <c r="AH145" s="4"/>
      <c r="AI145" s="17" t="s">
        <v>30</v>
      </c>
      <c r="AJ145" s="115">
        <f t="shared" si="61"/>
        <v>1.8344599999188993</v>
      </c>
    </row>
    <row r="146" spans="4:36" x14ac:dyDescent="0.2">
      <c r="D146">
        <f>[13]Quantity_shares!BB372</f>
        <v>2004</v>
      </c>
      <c r="E146" t="str">
        <f>[13]Quantity_shares!BC372</f>
        <v>326</v>
      </c>
      <c r="F146" s="26">
        <f>[13]Quantity_shares!BD372</f>
        <v>0.83638407110413471</v>
      </c>
      <c r="G146" s="26">
        <f>[13]Quantity_shares!BE372</f>
        <v>6.8822320557239414E-2</v>
      </c>
      <c r="H146" s="26">
        <f>[13]Quantity_shares!BF372</f>
        <v>5.1122017462784441E-2</v>
      </c>
      <c r="I146" s="26">
        <f>[13]Quantity_shares!BG372</f>
        <v>4.3671590875841423E-2</v>
      </c>
      <c r="Q146" s="72">
        <f>MECS_data_SIC!BP73</f>
        <v>6.79333642374403E-2</v>
      </c>
      <c r="R146" s="72">
        <f>MECS_data_SIC!BQ73</f>
        <v>2.5518094015433052E-2</v>
      </c>
      <c r="S146" s="72">
        <f>MECS_data_SIC!BR73</f>
        <v>0.82605461989737838</v>
      </c>
      <c r="T146" s="72">
        <f>MECS_data_SIC!BS73</f>
        <v>2.4496231939648946E-2</v>
      </c>
      <c r="U146" s="72">
        <f>MECS_data_SIC!BT73</f>
        <v>5.5997689910099402E-2</v>
      </c>
      <c r="V146" s="26">
        <v>0</v>
      </c>
      <c r="W146" s="26">
        <v>0</v>
      </c>
      <c r="X146" s="26">
        <f t="shared" si="21"/>
        <v>1</v>
      </c>
      <c r="Y146" s="74"/>
      <c r="AA146" s="4">
        <f>'[33]Predicted Residual Prices'!AP146</f>
        <v>2.4940000000000002</v>
      </c>
      <c r="AB146" s="4">
        <f>'[34]Predicted Distillate Prices'!AP146</f>
        <v>5.3719999999999999</v>
      </c>
      <c r="AC146" s="4">
        <f>'[35]Predicted Gas Prices'!AQ146</f>
        <v>3.1349999999999998</v>
      </c>
      <c r="AD146" s="4">
        <f>'[36]Predicted LPG Prices'!AP146</f>
        <v>7.9589999999999996</v>
      </c>
      <c r="AE146" s="4">
        <f>'[37]Predicted Coal Prices'!AP146</f>
        <v>2.1539999999999999</v>
      </c>
      <c r="AF146" s="4">
        <v>0</v>
      </c>
      <c r="AG146" s="4">
        <v>0</v>
      </c>
      <c r="AH146" s="4"/>
      <c r="AI146" s="17" t="s">
        <v>32</v>
      </c>
      <c r="AJ146" s="115">
        <f t="shared" si="61"/>
        <v>3.211774778911384</v>
      </c>
    </row>
    <row r="147" spans="4:36" x14ac:dyDescent="0.2">
      <c r="D147">
        <f>[13]Quantity_shares!BB373</f>
        <v>2004</v>
      </c>
      <c r="E147" t="str">
        <f>[13]Quantity_shares!BC373</f>
        <v>327</v>
      </c>
      <c r="F147" s="26">
        <f>[13]Quantity_shares!BD373</f>
        <v>0.47062635063444014</v>
      </c>
      <c r="G147" s="26">
        <f>[13]Quantity_shares!BE373</f>
        <v>3.5884194340111239E-2</v>
      </c>
      <c r="H147" s="26">
        <f>[13]Quantity_shares!BF373</f>
        <v>0.34838691566082836</v>
      </c>
      <c r="I147" s="26">
        <f>[13]Quantity_shares!BG373</f>
        <v>0.14510253936462031</v>
      </c>
      <c r="Q147" s="72">
        <f>MECS_data_SIC!BP74</f>
        <v>1.2099809508898605E-2</v>
      </c>
      <c r="R147" s="72">
        <f>MECS_data_SIC!BQ74</f>
        <v>2.7605717937997449E-2</v>
      </c>
      <c r="S147" s="72">
        <f>MECS_data_SIC!BR74</f>
        <v>0.54384655183879094</v>
      </c>
      <c r="T147" s="72">
        <f>MECS_data_SIC!BS74</f>
        <v>2.9838483698405296E-3</v>
      </c>
      <c r="U147" s="72">
        <f>MECS_data_SIC!BT74</f>
        <v>0.41346407234447247</v>
      </c>
      <c r="V147" s="26">
        <v>0</v>
      </c>
      <c r="W147" s="26">
        <v>0</v>
      </c>
      <c r="X147" s="26">
        <f t="shared" si="21"/>
        <v>1</v>
      </c>
      <c r="Y147" s="74"/>
      <c r="AA147" s="4">
        <f>'[33]Predicted Residual Prices'!AP147</f>
        <v>3.141</v>
      </c>
      <c r="AB147" s="4">
        <f>'[34]Predicted Distillate Prices'!AP147</f>
        <v>6.01</v>
      </c>
      <c r="AC147" s="4">
        <f>'[35]Predicted Gas Prices'!AQ147</f>
        <v>2.5270000000000001</v>
      </c>
      <c r="AD147" s="4">
        <f>'[36]Predicted LPG Prices'!AP147</f>
        <v>8.0649999999999995</v>
      </c>
      <c r="AE147" s="4">
        <f>'[37]Predicted Coal Prices'!AP147</f>
        <v>1.583</v>
      </c>
      <c r="AF147" s="4">
        <v>0</v>
      </c>
      <c r="AG147" s="4">
        <v>0</v>
      </c>
      <c r="AH147" s="4"/>
      <c r="AI147" s="17" t="s">
        <v>34</v>
      </c>
      <c r="AJ147" s="115">
        <f t="shared" si="61"/>
        <v>2.2567944665955038</v>
      </c>
    </row>
    <row r="148" spans="4:36" x14ac:dyDescent="0.2">
      <c r="D148">
        <f>[13]Quantity_shares!BB374</f>
        <v>2004</v>
      </c>
      <c r="E148" t="str">
        <f>[13]Quantity_shares!BC374</f>
        <v>331</v>
      </c>
      <c r="F148" s="26">
        <f>[13]Quantity_shares!BD374</f>
        <v>0.43266417960289671</v>
      </c>
      <c r="G148" s="26">
        <f>[13]Quantity_shares!BE374</f>
        <v>1.4628037668520832E-2</v>
      </c>
      <c r="H148" s="26">
        <f>[13]Quantity_shares!BF374</f>
        <v>0.33179402532225288</v>
      </c>
      <c r="I148" s="26">
        <f>[13]Quantity_shares!BG374</f>
        <v>0.22091375740632962</v>
      </c>
      <c r="Q148" s="72">
        <f>MECS_data_SIC!BP75</f>
        <v>3.1950001837807135E-2</v>
      </c>
      <c r="R148" s="72">
        <f>MECS_data_SIC!BQ75</f>
        <v>1.0115703962228051E-2</v>
      </c>
      <c r="S148" s="72">
        <f>MECS_data_SIC!BR75</f>
        <v>0.65962011264399534</v>
      </c>
      <c r="T148" s="72">
        <f>MECS_data_SIC!BS75</f>
        <v>3.0859120868548854E-3</v>
      </c>
      <c r="U148" s="72">
        <f>MECS_data_SIC!BT75</f>
        <v>4.3475279114104363E-2</v>
      </c>
      <c r="V148" s="72">
        <f>MECS_data_SIC!BU75</f>
        <v>0.25175299035501025</v>
      </c>
      <c r="W148" s="26">
        <v>0</v>
      </c>
      <c r="X148" s="26">
        <f t="shared" si="21"/>
        <v>1</v>
      </c>
      <c r="Y148" s="74"/>
      <c r="AA148" s="4">
        <f>'[33]Predicted Residual Prices'!AP148</f>
        <v>2.1720000000000002</v>
      </c>
      <c r="AB148" s="4">
        <f>'[34]Predicted Distillate Prices'!AP148</f>
        <v>5.835</v>
      </c>
      <c r="AC148" s="4">
        <f>'[35]Predicted Gas Prices'!AQ148</f>
        <v>2.532</v>
      </c>
      <c r="AD148" s="4">
        <f>'[36]Predicted LPG Prices'!AP148</f>
        <v>5.23</v>
      </c>
      <c r="AE148" s="4">
        <f>'[37]Predicted Coal Prices'!AP148</f>
        <v>1.8779999999999999</v>
      </c>
      <c r="AF148" s="36">
        <f>3*AE148</f>
        <v>5.6339999999999995</v>
      </c>
      <c r="AG148" s="4">
        <v>0</v>
      </c>
      <c r="AH148" s="4"/>
      <c r="AI148" s="17" t="s">
        <v>36</v>
      </c>
      <c r="AJ148" s="115">
        <f t="shared" si="61"/>
        <v>3.3147409038765807</v>
      </c>
    </row>
    <row r="149" spans="4:36" x14ac:dyDescent="0.2">
      <c r="D149">
        <f>[13]Quantity_shares!BB375</f>
        <v>2004</v>
      </c>
      <c r="E149" t="str">
        <f>[13]Quantity_shares!BC375</f>
        <v>332</v>
      </c>
      <c r="F149" s="26">
        <f>[13]Quantity_shares!BD375</f>
        <v>0.93687982546611526</v>
      </c>
      <c r="G149" s="26">
        <f>[13]Quantity_shares!BE375</f>
        <v>2.3008393583730975E-2</v>
      </c>
      <c r="H149" s="26">
        <f>[13]Quantity_shares!BF375</f>
        <v>3.5029712656057398E-3</v>
      </c>
      <c r="I149" s="26">
        <f>[13]Quantity_shares!BG375</f>
        <v>3.6608809684548008E-2</v>
      </c>
      <c r="Q149" s="72">
        <f>MECS_data_SIC!BP76</f>
        <v>1.7328371293096483E-2</v>
      </c>
      <c r="R149" s="72">
        <f>MECS_data_SIC!BQ76</f>
        <v>3.0400384134461136E-2</v>
      </c>
      <c r="S149" s="72">
        <f>MECS_data_SIC!BR76</f>
        <v>0.89668428811082368</v>
      </c>
      <c r="T149" s="72">
        <f>MECS_data_SIC!BS76</f>
        <v>2.0724457333825289E-2</v>
      </c>
      <c r="U149" s="72">
        <f>MECS_data_SIC!BT76</f>
        <v>3.4862499127793413E-2</v>
      </c>
      <c r="V149" s="26">
        <v>0</v>
      </c>
      <c r="W149" s="26">
        <v>0</v>
      </c>
      <c r="X149" s="26">
        <f t="shared" si="21"/>
        <v>1</v>
      </c>
      <c r="Y149" s="74"/>
      <c r="AA149" s="4">
        <f>'[33]Predicted Residual Prices'!AP149</f>
        <v>3.1589999999999998</v>
      </c>
      <c r="AB149" s="4">
        <f>'[34]Predicted Distillate Prices'!AP149</f>
        <v>5.7060000000000004</v>
      </c>
      <c r="AC149" s="4">
        <f>'[35]Predicted Gas Prices'!AQ149</f>
        <v>3.3730000000000002</v>
      </c>
      <c r="AD149" s="4">
        <f>'[36]Predicted LPG Prices'!AP149</f>
        <v>8.1920000000000002</v>
      </c>
      <c r="AE149" s="4">
        <f>'[37]Predicted Coal Prices'!AP149</f>
        <v>1.9930000000000001</v>
      </c>
      <c r="AF149" s="4">
        <v>0</v>
      </c>
      <c r="AG149" s="4">
        <v>0</v>
      </c>
      <c r="AH149" s="4"/>
      <c r="AI149" s="17" t="s">
        <v>38</v>
      </c>
      <c r="AJ149" s="115">
        <f t="shared" si="61"/>
        <v>3.4919767358243243</v>
      </c>
    </row>
    <row r="150" spans="4:36" x14ac:dyDescent="0.2">
      <c r="D150">
        <f>[13]Quantity_shares!BB376</f>
        <v>2004</v>
      </c>
      <c r="E150" t="str">
        <f>[13]Quantity_shares!BC376</f>
        <v>333</v>
      </c>
      <c r="F150" s="26">
        <f>[13]Quantity_shares!BD376</f>
        <v>0.89011557702259791</v>
      </c>
      <c r="G150" s="26">
        <f>[13]Quantity_shares!BE376</f>
        <v>3.4845609798171466E-2</v>
      </c>
      <c r="H150" s="26">
        <f>[13]Quantity_shares!BF376</f>
        <v>1.0723937668909205E-2</v>
      </c>
      <c r="I150" s="26">
        <f>[13]Quantity_shares!BG376</f>
        <v>6.4314875510321431E-2</v>
      </c>
      <c r="Q150" s="72">
        <f>MECS_data_SIC!BP77</f>
        <v>3.002098137139133E-2</v>
      </c>
      <c r="R150" s="72">
        <f>MECS_data_SIC!BQ77</f>
        <v>3.0490315267683817E-2</v>
      </c>
      <c r="S150" s="72">
        <f>MECS_data_SIC!BR77</f>
        <v>0.78812685437983498</v>
      </c>
      <c r="T150" s="72">
        <f>MECS_data_SIC!BS77</f>
        <v>1.5536292003723322E-2</v>
      </c>
      <c r="U150" s="72">
        <f>MECS_data_SIC!BT77</f>
        <v>0.13582555697736651</v>
      </c>
      <c r="V150" s="26">
        <v>0</v>
      </c>
      <c r="W150" s="26">
        <v>0</v>
      </c>
      <c r="X150" s="26">
        <f t="shared" si="21"/>
        <v>1</v>
      </c>
      <c r="Y150" s="74"/>
      <c r="AA150" s="4">
        <f>'[33]Predicted Residual Prices'!AP150</f>
        <v>3.0790000000000002</v>
      </c>
      <c r="AB150" s="4">
        <f>'[34]Predicted Distillate Prices'!AP150</f>
        <v>5.7990000000000004</v>
      </c>
      <c r="AC150" s="4">
        <f>'[35]Predicted Gas Prices'!AQ150</f>
        <v>3.45</v>
      </c>
      <c r="AD150" s="4">
        <f>'[36]Predicted LPG Prices'!AP150</f>
        <v>7.7130000000000001</v>
      </c>
      <c r="AE150" s="4">
        <f>'[37]Predicted Coal Prices'!AP150</f>
        <v>1.544</v>
      </c>
      <c r="AF150" s="4">
        <v>0</v>
      </c>
      <c r="AG150" s="4">
        <v>0</v>
      </c>
      <c r="AH150" s="4"/>
      <c r="AI150" s="17" t="s">
        <v>40</v>
      </c>
      <c r="AJ150" s="115">
        <f t="shared" si="61"/>
        <v>3.3178316676880151</v>
      </c>
    </row>
    <row r="151" spans="4:36" x14ac:dyDescent="0.2">
      <c r="D151">
        <f>[13]Quantity_shares!BB377</f>
        <v>2004</v>
      </c>
      <c r="E151" t="str">
        <f>[13]Quantity_shares!BC377</f>
        <v>334</v>
      </c>
      <c r="F151" s="26">
        <f>[13]Quantity_shares!BD377</f>
        <v>0.93039772727272729</v>
      </c>
      <c r="G151" s="26">
        <f>[13]Quantity_shares!BE377</f>
        <v>2.9829545454545456E-2</v>
      </c>
      <c r="H151" s="26">
        <f>[13]Quantity_shares!BF377</f>
        <v>2.4621212121212124E-3</v>
      </c>
      <c r="I151" s="26">
        <f>[13]Quantity_shares!BG377</f>
        <v>3.7310606060606058E-2</v>
      </c>
      <c r="Q151" s="72">
        <f>MECS_data_SIC!BP78</f>
        <v>4.8597520487138807E-2</v>
      </c>
      <c r="R151" s="72">
        <f>MECS_data_SIC!BQ78</f>
        <v>2.5404726575628155E-2</v>
      </c>
      <c r="S151" s="72">
        <f>MECS_data_SIC!BR78</f>
        <v>0.74587038923717552</v>
      </c>
      <c r="T151" s="72">
        <f>MECS_data_SIC!BS78</f>
        <v>1.082748986746108E-2</v>
      </c>
      <c r="U151" s="72">
        <f>MECS_data_SIC!BT78</f>
        <v>0.16929987383259654</v>
      </c>
      <c r="V151" s="26">
        <v>0</v>
      </c>
      <c r="W151" s="26">
        <v>0</v>
      </c>
      <c r="X151" s="26">
        <f t="shared" si="21"/>
        <v>1</v>
      </c>
      <c r="Y151" s="74"/>
      <c r="AA151" s="4">
        <f>'[33]Predicted Residual Prices'!AP151</f>
        <v>3.3769999999999998</v>
      </c>
      <c r="AB151" s="4">
        <f>'[34]Predicted Distillate Prices'!AP151</f>
        <v>5.1280000000000001</v>
      </c>
      <c r="AC151" s="4">
        <f>'[35]Predicted Gas Prices'!AQ151</f>
        <v>3.3838999999999997</v>
      </c>
      <c r="AD151" s="4">
        <f>'[36]Predicted LPG Prices'!AP151</f>
        <v>7.6521999999999997</v>
      </c>
      <c r="AE151" s="4">
        <f>'[37]Predicted Coal Prices'!AP151</f>
        <v>2</v>
      </c>
      <c r="AF151" s="4">
        <v>0</v>
      </c>
      <c r="AG151" s="4">
        <v>0</v>
      </c>
      <c r="AH151" s="4"/>
      <c r="AI151" s="17" t="s">
        <v>42</v>
      </c>
      <c r="AJ151" s="115">
        <f t="shared" si="61"/>
        <v>3.2397939403335458</v>
      </c>
    </row>
    <row r="152" spans="4:36" x14ac:dyDescent="0.2">
      <c r="D152">
        <f>[13]Quantity_shares!BB378</f>
        <v>2004</v>
      </c>
      <c r="E152" t="str">
        <f>[13]Quantity_shares!BC378</f>
        <v>335</v>
      </c>
      <c r="F152" s="26">
        <f>[13]Quantity_shares!BD378</f>
        <v>0.93917045828141421</v>
      </c>
      <c r="G152" s="26">
        <f>[13]Quantity_shares!BE378</f>
        <v>2.1264160209759839E-2</v>
      </c>
      <c r="H152" s="26">
        <f>[13]Quantity_shares!BF378</f>
        <v>5.8244073107473508E-3</v>
      </c>
      <c r="I152" s="26">
        <f>[13]Quantity_shares!BG378</f>
        <v>3.3740974198078554E-2</v>
      </c>
      <c r="Q152" s="72">
        <f>MECS_data_SIC!BP79</f>
        <v>4.4749418913179816E-2</v>
      </c>
      <c r="R152" s="72">
        <f>MECS_data_SIC!BQ79</f>
        <v>2.8182646812027656E-2</v>
      </c>
      <c r="S152" s="72">
        <f>MECS_data_SIC!BR79</f>
        <v>0.9104232388764959</v>
      </c>
      <c r="T152" s="72">
        <f>MECS_data_SIC!BS79</f>
        <v>1.6644695398296674E-2</v>
      </c>
      <c r="U152" s="72">
        <f>MECS_data_SIC!BT79</f>
        <v>0</v>
      </c>
      <c r="V152" s="26">
        <v>0</v>
      </c>
      <c r="W152" s="26">
        <v>0</v>
      </c>
      <c r="X152" s="26">
        <f t="shared" si="21"/>
        <v>1</v>
      </c>
      <c r="Y152" s="74"/>
      <c r="AA152" s="4">
        <f>'[33]Predicted Residual Prices'!AP152</f>
        <v>3.47</v>
      </c>
      <c r="AB152" s="4">
        <f>'[34]Predicted Distillate Prices'!AP152</f>
        <v>5.2450000000000001</v>
      </c>
      <c r="AC152" s="4">
        <f>'[35]Predicted Gas Prices'!AQ152</f>
        <v>3.32</v>
      </c>
      <c r="AD152" s="4">
        <f>'[36]Predicted LPG Prices'!AP152</f>
        <v>7.2789999999999999</v>
      </c>
      <c r="AE152" s="4">
        <f>'[37]Predicted Coal Prices'!AP152</f>
        <v>2</v>
      </c>
      <c r="AF152" s="4">
        <v>0</v>
      </c>
      <c r="AG152" s="4">
        <v>0</v>
      </c>
      <c r="AH152" s="4"/>
      <c r="AI152" s="17" t="s">
        <v>44</v>
      </c>
      <c r="AJ152" s="115">
        <f t="shared" si="61"/>
        <v>3.4468603570319862</v>
      </c>
    </row>
    <row r="153" spans="4:36" x14ac:dyDescent="0.2">
      <c r="D153">
        <f>[13]Quantity_shares!BB379</f>
        <v>2004</v>
      </c>
      <c r="E153" t="str">
        <f>[13]Quantity_shares!BC379</f>
        <v>336</v>
      </c>
      <c r="F153" s="26">
        <f>[13]Quantity_shares!BD379</f>
        <v>0.83579406908918863</v>
      </c>
      <c r="G153" s="26">
        <f>[13]Quantity_shares!BE379</f>
        <v>3.7179856210318052E-2</v>
      </c>
      <c r="H153" s="26">
        <f>[13]Quantity_shares!BF379</f>
        <v>2.4458472706097995E-2</v>
      </c>
      <c r="I153" s="26">
        <f>[13]Quantity_shares!BG379</f>
        <v>0.10256760199439532</v>
      </c>
      <c r="Q153" s="72">
        <f>MECS_data_SIC!BP80</f>
        <v>5.9845389672998787E-2</v>
      </c>
      <c r="R153" s="72">
        <f>MECS_data_SIC!BQ80</f>
        <v>3.7682102913915667E-2</v>
      </c>
      <c r="S153" s="72">
        <f>MECS_data_SIC!BR80</f>
        <v>0.72972867160456456</v>
      </c>
      <c r="T153" s="72">
        <f>MECS_data_SIC!BS80</f>
        <v>1.1264667788178041E-2</v>
      </c>
      <c r="U153" s="72">
        <f>MECS_data_SIC!BT80</f>
        <v>0.1614791680203429</v>
      </c>
      <c r="V153" s="26">
        <v>0</v>
      </c>
      <c r="W153" s="26">
        <v>0</v>
      </c>
      <c r="X153" s="26">
        <f t="shared" si="21"/>
        <v>1</v>
      </c>
      <c r="Y153" s="74"/>
      <c r="AA153" s="4">
        <f>'[33]Predicted Residual Prices'!AP153</f>
        <v>3.0350000000000001</v>
      </c>
      <c r="AB153" s="4">
        <f>'[34]Predicted Distillate Prices'!AP153</f>
        <v>5.3780000000000001</v>
      </c>
      <c r="AC153" s="4">
        <f>'[35]Predicted Gas Prices'!AQ153</f>
        <v>3.0950000000000002</v>
      </c>
      <c r="AD153" s="4">
        <f>'[36]Predicted LPG Prices'!AP153</f>
        <v>7.1109999999999998</v>
      </c>
      <c r="AE153" s="4">
        <f>'[37]Predicted Coal Prices'!AP153</f>
        <v>2.06</v>
      </c>
      <c r="AF153" s="4">
        <v>0</v>
      </c>
      <c r="AG153" s="4">
        <v>0</v>
      </c>
      <c r="AH153" s="4"/>
      <c r="AI153" s="17" t="s">
        <v>46</v>
      </c>
      <c r="AJ153" s="115">
        <f t="shared" si="61"/>
        <v>3.0555454845083574</v>
      </c>
    </row>
    <row r="154" spans="4:36" x14ac:dyDescent="0.2">
      <c r="D154">
        <f>[13]Quantity_shares!BB380</f>
        <v>2004</v>
      </c>
      <c r="E154" t="str">
        <f>[13]Quantity_shares!BC380</f>
        <v>337</v>
      </c>
      <c r="F154" s="26">
        <f>[13]Quantity_shares!BD380</f>
        <v>0.61627990067349092</v>
      </c>
      <c r="G154" s="26">
        <f>[13]Quantity_shares!BE380</f>
        <v>2.7524697643675079E-2</v>
      </c>
      <c r="H154" s="26">
        <f>[13]Quantity_shares!BF380</f>
        <v>6.3217928792182507E-2</v>
      </c>
      <c r="I154" s="26">
        <f>[13]Quantity_shares!BG380</f>
        <v>0.29297747289065151</v>
      </c>
      <c r="Q154" s="72">
        <f>MECS_data_SIC!BP81</f>
        <v>4.6228427033100615E-2</v>
      </c>
      <c r="R154" s="72">
        <f>MECS_data_SIC!BQ81</f>
        <v>3.7942973905136547E-2</v>
      </c>
      <c r="S154" s="72">
        <f>MECS_data_SIC!BR81</f>
        <v>0.74089653355931606</v>
      </c>
      <c r="T154" s="72">
        <f>MECS_data_SIC!BS81</f>
        <v>3.6827832709399079E-2</v>
      </c>
      <c r="U154" s="72">
        <f>MECS_data_SIC!BT81</f>
        <v>0.13810423279304765</v>
      </c>
      <c r="V154" s="26">
        <v>0</v>
      </c>
      <c r="W154" s="26">
        <v>0</v>
      </c>
      <c r="X154" s="26">
        <f t="shared" si="21"/>
        <v>0.99999999999999989</v>
      </c>
      <c r="Y154" s="74"/>
      <c r="AA154" s="4">
        <f>'[33]Predicted Residual Prices'!AP154</f>
        <v>3.3119999999999998</v>
      </c>
      <c r="AB154" s="4">
        <f>'[34]Predicted Distillate Prices'!AP154</f>
        <v>5.8209999999999997</v>
      </c>
      <c r="AC154" s="4">
        <f>'[35]Predicted Gas Prices'!AQ154</f>
        <v>3.6509999999999998</v>
      </c>
      <c r="AD154" s="4">
        <f>'[36]Predicted LPG Prices'!AP154</f>
        <v>8.548</v>
      </c>
      <c r="AE154" s="4">
        <f>'[37]Predicted Coal Prices'!AP154</f>
        <v>1.9830000000000001</v>
      </c>
      <c r="AF154" s="4">
        <v>0</v>
      </c>
      <c r="AG154" s="4">
        <v>0</v>
      </c>
      <c r="AH154" s="4"/>
      <c r="AI154" s="17" t="s">
        <v>48</v>
      </c>
      <c r="AJ154" s="115">
        <f t="shared" si="61"/>
        <v>3.6676528530890491</v>
      </c>
    </row>
    <row r="155" spans="4:36" x14ac:dyDescent="0.2">
      <c r="D155">
        <f>[13]Quantity_shares!BB381</f>
        <v>2004</v>
      </c>
      <c r="E155" t="str">
        <f>[13]Quantity_shares!BC381</f>
        <v>339</v>
      </c>
      <c r="F155" s="26">
        <f>[13]Quantity_shares!BD381</f>
        <v>0.82788002726653032</v>
      </c>
      <c r="G155" s="26">
        <f>[13]Quantity_shares!BE381</f>
        <v>6.7569870483980901E-2</v>
      </c>
      <c r="H155" s="26">
        <f>[13]Quantity_shares!BF381</f>
        <v>1.5337423312884826E-3</v>
      </c>
      <c r="I155" s="26">
        <f>[13]Quantity_shares!BG381</f>
        <v>0.10301635991820041</v>
      </c>
      <c r="Q155" s="72">
        <f>MECS_data_SIC!BP82</f>
        <v>5.1940415365022356E-2</v>
      </c>
      <c r="R155" s="72">
        <f>MECS_data_SIC!BQ82</f>
        <v>3.7483057228229713E-2</v>
      </c>
      <c r="S155" s="72">
        <f>MECS_data_SIC!BR82</f>
        <v>0.64683562138115591</v>
      </c>
      <c r="T155" s="72">
        <f>MECS_data_SIC!BS82</f>
        <v>2.8098243799272647E-2</v>
      </c>
      <c r="U155" s="72">
        <f>MECS_data_SIC!BT82</f>
        <v>0.23564266222631933</v>
      </c>
      <c r="V155" s="26">
        <v>0</v>
      </c>
      <c r="W155" s="26">
        <v>0</v>
      </c>
      <c r="X155" s="26">
        <f t="shared" si="21"/>
        <v>1</v>
      </c>
      <c r="Y155" s="74"/>
      <c r="AA155" s="4">
        <f>'[33]Predicted Residual Prices'!AP155</f>
        <v>2.9529999999999998</v>
      </c>
      <c r="AB155" s="4">
        <f>'[34]Predicted Distillate Prices'!AP155</f>
        <v>6.1180000000000003</v>
      </c>
      <c r="AC155" s="4">
        <f>'[35]Predicted Gas Prices'!AQ155</f>
        <v>3.8780000000000001</v>
      </c>
      <c r="AD155" s="4">
        <f>'[36]Predicted LPG Prices'!AP155</f>
        <v>10.032999999999999</v>
      </c>
      <c r="AE155" s="4">
        <f>'[37]Predicted Coal Prices'!AP155</f>
        <v>2</v>
      </c>
      <c r="AF155" s="4">
        <v>0</v>
      </c>
      <c r="AG155" s="4">
        <v>0</v>
      </c>
      <c r="AH155" s="4"/>
      <c r="AI155" s="17" t="s">
        <v>50</v>
      </c>
      <c r="AJ155" s="115">
        <f t="shared" si="61"/>
        <v>3.6443249349020843</v>
      </c>
    </row>
    <row r="156" spans="4:36" x14ac:dyDescent="0.2">
      <c r="D156">
        <f>[13]Quantity_shares!BB382</f>
        <v>2005</v>
      </c>
      <c r="E156" t="str">
        <f>[13]Quantity_shares!BC382</f>
        <v>311</v>
      </c>
      <c r="F156" s="26">
        <f>[13]Quantity_shares!BD382</f>
        <v>0.67160433843145306</v>
      </c>
      <c r="G156" s="26">
        <f>[13]Quantity_shares!BE382</f>
        <v>4.2719184944653009E-2</v>
      </c>
      <c r="H156" s="26">
        <f>[13]Quantity_shares!BF382</f>
        <v>0.17063531343175481</v>
      </c>
      <c r="I156" s="26">
        <f>[13]Quantity_shares!BG382</f>
        <v>0.11504116319213915</v>
      </c>
      <c r="P156">
        <v>1992</v>
      </c>
      <c r="Q156" s="26">
        <f>0.667*Q135+0.333*Q198</f>
        <v>3.562640044840916E-2</v>
      </c>
      <c r="R156" s="26">
        <f t="shared" ref="R156:U156" si="65">0.667*R135+0.333*R198</f>
        <v>2.4361986328381359E-2</v>
      </c>
      <c r="S156" s="26">
        <f t="shared" si="65"/>
        <v>0.73508269780849467</v>
      </c>
      <c r="T156" s="26">
        <f t="shared" si="65"/>
        <v>7.6443283356426011E-3</v>
      </c>
      <c r="U156" s="26">
        <f t="shared" si="65"/>
        <v>0.19728458707907226</v>
      </c>
      <c r="V156" s="26">
        <v>0</v>
      </c>
      <c r="W156" s="26">
        <v>0</v>
      </c>
      <c r="X156" s="26">
        <f t="shared" si="21"/>
        <v>1</v>
      </c>
      <c r="Y156" s="74"/>
      <c r="Z156">
        <v>1992</v>
      </c>
      <c r="AA156" s="4">
        <f>'[33]Predicted Residual Prices'!AP156</f>
        <v>2.6047305036135144</v>
      </c>
      <c r="AB156" s="4">
        <f>'[34]Predicted Distillate Prices'!AP156</f>
        <v>5.7735280095882295</v>
      </c>
      <c r="AC156" s="4">
        <f>'[35]Predicted Gas Prices'!AQ156</f>
        <v>2.7562548909993465</v>
      </c>
      <c r="AD156" s="4">
        <f>'[36]Predicted LPG Prices'!AP156</f>
        <v>7.2712165986833197</v>
      </c>
      <c r="AE156" s="4">
        <f>'[37]Predicted Coal Prices'!AP156</f>
        <v>1.4430355293050652</v>
      </c>
      <c r="AF156" s="4">
        <v>0</v>
      </c>
      <c r="AG156" s="4">
        <v>0</v>
      </c>
      <c r="AH156" s="4"/>
      <c r="AI156" s="17" t="s">
        <v>10</v>
      </c>
      <c r="AJ156" s="115">
        <f t="shared" si="61"/>
        <v>2.5997992991609848</v>
      </c>
    </row>
    <row r="157" spans="4:36" x14ac:dyDescent="0.2">
      <c r="D157">
        <f>[13]Quantity_shares!BB383</f>
        <v>2005</v>
      </c>
      <c r="E157" t="str">
        <f>[13]Quantity_shares!BC383</f>
        <v>312</v>
      </c>
      <c r="F157" s="26">
        <f>[13]Quantity_shares!BD383</f>
        <v>0.54166666666666674</v>
      </c>
      <c r="G157" s="26">
        <f>[13]Quantity_shares!BE383</f>
        <v>5.128205128205128E-2</v>
      </c>
      <c r="H157" s="26">
        <f>[13]Quantity_shares!BF383</f>
        <v>0.24679487179487178</v>
      </c>
      <c r="I157" s="26">
        <f>[13]Quantity_shares!BG383</f>
        <v>0.16025641025641024</v>
      </c>
      <c r="Q157" s="26">
        <f t="shared" ref="Q157:U157" si="66">0.667*Q136+0.333*Q199</f>
        <v>5.7053511545072169E-2</v>
      </c>
      <c r="R157" s="26">
        <f t="shared" si="66"/>
        <v>8.9978856317345611E-3</v>
      </c>
      <c r="S157" s="26">
        <f t="shared" si="66"/>
        <v>0.44986664216423966</v>
      </c>
      <c r="T157" s="26">
        <f t="shared" si="66"/>
        <v>1.7299786890654506E-3</v>
      </c>
      <c r="U157" s="26">
        <f t="shared" si="66"/>
        <v>0.48235198196988815</v>
      </c>
      <c r="V157" s="26">
        <v>0</v>
      </c>
      <c r="W157" s="26">
        <v>0</v>
      </c>
      <c r="X157" s="26">
        <f t="shared" si="21"/>
        <v>1</v>
      </c>
      <c r="Y157" s="74"/>
      <c r="AA157" s="4">
        <f>'[33]Predicted Residual Prices'!AP157</f>
        <v>2.4580280944171533</v>
      </c>
      <c r="AB157" s="4">
        <f>'[34]Predicted Distillate Prices'!AP157</f>
        <v>4.8039099999999992</v>
      </c>
      <c r="AC157" s="4">
        <f>'[35]Predicted Gas Prices'!AQ157</f>
        <v>2.82274</v>
      </c>
      <c r="AD157" s="4">
        <f>'[36]Predicted LPG Prices'!AP157</f>
        <v>6.876417633926641</v>
      </c>
      <c r="AE157" s="4">
        <f>'[37]Predicted Coal Prices'!AP157</f>
        <v>2.0755314566178957</v>
      </c>
      <c r="AF157" s="4">
        <v>0</v>
      </c>
      <c r="AG157" s="4">
        <v>0</v>
      </c>
      <c r="AH157" s="4"/>
      <c r="AI157" s="17" t="s">
        <v>12</v>
      </c>
      <c r="AJ157" s="115">
        <f t="shared" si="61"/>
        <v>2.4663535002350709</v>
      </c>
    </row>
    <row r="158" spans="4:36" x14ac:dyDescent="0.2">
      <c r="D158">
        <f>[13]Quantity_shares!BB384</f>
        <v>2005</v>
      </c>
      <c r="E158" t="str">
        <f>[13]Quantity_shares!BC384</f>
        <v>313</v>
      </c>
      <c r="F158" s="26">
        <f>[13]Quantity_shares!BD384</f>
        <v>0.59268191581565366</v>
      </c>
      <c r="G158" s="26">
        <f>[13]Quantity_shares!BE384</f>
        <v>2.9421185514564571E-2</v>
      </c>
      <c r="H158" s="26">
        <f>[13]Quantity_shares!BF384</f>
        <v>0.26146512416625844</v>
      </c>
      <c r="I158" s="26">
        <f>[13]Quantity_shares!BG384</f>
        <v>0.11643177450352339</v>
      </c>
      <c r="Q158" s="26">
        <f t="shared" ref="Q158:U158" si="67">0.667*Q137+0.333*Q200</f>
        <v>8.2492818034417631E-2</v>
      </c>
      <c r="R158" s="26">
        <f t="shared" si="67"/>
        <v>3.9126640146529106E-2</v>
      </c>
      <c r="S158" s="26">
        <f t="shared" si="67"/>
        <v>0.66537653465938829</v>
      </c>
      <c r="T158" s="26">
        <f t="shared" si="67"/>
        <v>1.4340070567865619E-2</v>
      </c>
      <c r="U158" s="26">
        <f t="shared" si="67"/>
        <v>0.19866393659179937</v>
      </c>
      <c r="V158" s="26">
        <v>0</v>
      </c>
      <c r="W158" s="26">
        <v>0</v>
      </c>
      <c r="X158" s="26">
        <f t="shared" si="21"/>
        <v>1</v>
      </c>
      <c r="Y158" s="74"/>
      <c r="AA158" s="4">
        <f>'[33]Predicted Residual Prices'!AP158</f>
        <v>2.7776440334822907</v>
      </c>
      <c r="AB158" s="4">
        <f>'[34]Predicted Distillate Prices'!AP158</f>
        <v>4.3930266657954062</v>
      </c>
      <c r="AC158" s="4">
        <f>'[35]Predicted Gas Prices'!AQ158</f>
        <v>3.4002465794768613</v>
      </c>
      <c r="AD158" s="4">
        <f>'[36]Predicted LPG Prices'!AP158</f>
        <v>6.5067489336366613</v>
      </c>
      <c r="AE158" s="4">
        <f>'[37]Predicted Coal Prices'!AP158</f>
        <v>1.9274863558039079</v>
      </c>
      <c r="AF158" s="4">
        <v>0</v>
      </c>
      <c r="AG158" s="4">
        <v>0</v>
      </c>
      <c r="AH158" s="4"/>
      <c r="AI158" s="17" t="s">
        <v>14</v>
      </c>
      <c r="AJ158" s="115">
        <f t="shared" si="61"/>
        <v>3.1396936094115966</v>
      </c>
    </row>
    <row r="159" spans="4:36" x14ac:dyDescent="0.2">
      <c r="D159">
        <f>[13]Quantity_shares!BB385</f>
        <v>2005</v>
      </c>
      <c r="E159" t="str">
        <f>[13]Quantity_shares!BC385</f>
        <v>314</v>
      </c>
      <c r="F159" s="26">
        <f>[13]Quantity_shares!BD385</f>
        <v>0.8320661896243291</v>
      </c>
      <c r="G159" s="26">
        <f>[13]Quantity_shares!BE385</f>
        <v>4.0474060822898034E-2</v>
      </c>
      <c r="H159" s="26">
        <f>[13]Quantity_shares!BF385</f>
        <v>0.10722271914132379</v>
      </c>
      <c r="I159" s="26">
        <f>[13]Quantity_shares!BG385</f>
        <v>2.0237030411449017E-2</v>
      </c>
      <c r="Q159" s="26">
        <f t="shared" ref="Q159:U159" si="68">0.667*Q138+0.333*Q201</f>
        <v>8.2492818034417631E-2</v>
      </c>
      <c r="R159" s="26">
        <f t="shared" si="68"/>
        <v>3.9126640146529106E-2</v>
      </c>
      <c r="S159" s="26">
        <f t="shared" si="68"/>
        <v>0.66537653465938829</v>
      </c>
      <c r="T159" s="26">
        <f t="shared" si="68"/>
        <v>1.4340070567865619E-2</v>
      </c>
      <c r="U159" s="26">
        <f t="shared" si="68"/>
        <v>0.19866393659179937</v>
      </c>
      <c r="V159" s="26">
        <v>0</v>
      </c>
      <c r="W159" s="26">
        <v>0</v>
      </c>
      <c r="X159" s="26">
        <f t="shared" ref="X159:X222" si="69">SUM(Q159:W159)</f>
        <v>1</v>
      </c>
      <c r="Y159" s="74"/>
      <c r="AA159" s="4">
        <f>'[33]Predicted Residual Prices'!AP159</f>
        <v>2.8077945674560971</v>
      </c>
      <c r="AB159" s="4">
        <f>'[34]Predicted Distillate Prices'!AP159</f>
        <v>4.2263537144682104</v>
      </c>
      <c r="AC159" s="4">
        <f>'[35]Predicted Gas Prices'!AQ159</f>
        <v>3.4002243976051432</v>
      </c>
      <c r="AD159" s="4">
        <f>'[36]Predicted LPG Prices'!AP159</f>
        <v>5.7729766543327159</v>
      </c>
      <c r="AE159" s="4">
        <f>'[37]Predicted Coal Prices'!AP159</f>
        <v>1.9392354652613422</v>
      </c>
      <c r="AF159" s="4">
        <v>0</v>
      </c>
      <c r="AG159" s="4">
        <v>0</v>
      </c>
      <c r="AH159" s="4"/>
      <c r="AI159" s="17" t="s">
        <v>16</v>
      </c>
      <c r="AJ159" s="115">
        <f t="shared" si="61"/>
        <v>3.1274564781089622</v>
      </c>
    </row>
    <row r="160" spans="4:36" x14ac:dyDescent="0.2">
      <c r="D160">
        <f>[13]Quantity_shares!BB386</f>
        <v>2005</v>
      </c>
      <c r="E160" t="str">
        <f>[13]Quantity_shares!BC386</f>
        <v>315</v>
      </c>
      <c r="F160" s="26">
        <f>[13]Quantity_shares!BD386</f>
        <v>0.9148463532025165</v>
      </c>
      <c r="G160" s="26">
        <f>[13]Quantity_shares!BE386</f>
        <v>5.1092188078489392E-2</v>
      </c>
      <c r="H160" s="26">
        <f>[13]Quantity_shares!BF386</f>
        <v>1.1625323954091062E-15</v>
      </c>
      <c r="I160" s="26">
        <f>[13]Quantity_shares!BG386</f>
        <v>3.406145871899293E-2</v>
      </c>
      <c r="Q160" s="26">
        <f t="shared" ref="Q160:U160" si="70">0.667*Q139+0.333*Q202</f>
        <v>4.051054652295101E-2</v>
      </c>
      <c r="R160" s="26">
        <f t="shared" si="70"/>
        <v>3.1127709826876449E-2</v>
      </c>
      <c r="S160" s="26">
        <f t="shared" si="70"/>
        <v>0.82122308307828562</v>
      </c>
      <c r="T160" s="26">
        <f t="shared" si="70"/>
        <v>2.437902190671375E-2</v>
      </c>
      <c r="U160" s="26">
        <f t="shared" si="70"/>
        <v>8.2759638665173246E-2</v>
      </c>
      <c r="V160" s="26">
        <v>0</v>
      </c>
      <c r="W160" s="26">
        <v>0</v>
      </c>
      <c r="X160" s="26">
        <f t="shared" si="69"/>
        <v>1</v>
      </c>
      <c r="Y160" s="74"/>
      <c r="AA160" s="4">
        <f>'[33]Predicted Residual Prices'!AP160</f>
        <v>3.0803979417458676</v>
      </c>
      <c r="AB160" s="4">
        <f>'[34]Predicted Distillate Prices'!AP160</f>
        <v>5.8442465624655275</v>
      </c>
      <c r="AC160" s="4">
        <f>'[35]Predicted Gas Prices'!AQ160</f>
        <v>3.8703445869993325</v>
      </c>
      <c r="AD160" s="4">
        <f>'[36]Predicted LPG Prices'!AP160</f>
        <v>7.6961005751219833</v>
      </c>
      <c r="AE160" s="4">
        <f>'[37]Predicted Coal Prices'!AP160</f>
        <v>2.4117151251365141</v>
      </c>
      <c r="AF160" s="4">
        <v>0</v>
      </c>
      <c r="AG160" s="4">
        <v>0</v>
      </c>
      <c r="AH160" s="4"/>
      <c r="AI160" s="17" t="s">
        <v>18</v>
      </c>
      <c r="AJ160" s="115">
        <f t="shared" si="61"/>
        <v>3.8723390064291938</v>
      </c>
    </row>
    <row r="161" spans="4:36" x14ac:dyDescent="0.2">
      <c r="D161">
        <f>[13]Quantity_shares!BB387</f>
        <v>2005</v>
      </c>
      <c r="E161" t="str">
        <f>[13]Quantity_shares!BC387</f>
        <v>316</v>
      </c>
      <c r="F161" s="26">
        <f>[13]Quantity_shares!BD387</f>
        <v>0.74404761904761485</v>
      </c>
      <c r="G161" s="26">
        <f>[13]Quantity_shares!BE387</f>
        <v>0.12797619047618969</v>
      </c>
      <c r="H161" s="26">
        <f>[13]Quantity_shares!BF387</f>
        <v>5.8779761904761509E-15</v>
      </c>
      <c r="I161" s="26">
        <f>[13]Quantity_shares!BG387</f>
        <v>0.12797619047618969</v>
      </c>
      <c r="Q161" s="26">
        <f t="shared" ref="Q161:U161" si="71">0.667*Q140+0.333*Q203</f>
        <v>0.19639035388072162</v>
      </c>
      <c r="R161" s="26">
        <f t="shared" si="71"/>
        <v>0.15626138832938835</v>
      </c>
      <c r="S161" s="26">
        <f t="shared" si="71"/>
        <v>0.62797202488985582</v>
      </c>
      <c r="T161" s="26">
        <f t="shared" si="71"/>
        <v>1.9376232900034207E-2</v>
      </c>
      <c r="U161" s="26">
        <f t="shared" si="71"/>
        <v>0</v>
      </c>
      <c r="V161" s="26">
        <v>0</v>
      </c>
      <c r="W161" s="26">
        <v>0</v>
      </c>
      <c r="X161" s="26">
        <f t="shared" si="69"/>
        <v>1</v>
      </c>
      <c r="Y161" s="74"/>
      <c r="AA161" s="4">
        <f>'[33]Predicted Residual Prices'!AP161</f>
        <v>2.4529016101771934</v>
      </c>
      <c r="AB161" s="4">
        <f>'[34]Predicted Distillate Prices'!AP161</f>
        <v>4.4128702875115389</v>
      </c>
      <c r="AC161" s="4">
        <f>'[35]Predicted Gas Prices'!AQ161</f>
        <v>3.1351258747302908</v>
      </c>
      <c r="AD161" s="4">
        <f>'[36]Predicted LPG Prices'!AP161</f>
        <v>8.4205197222772057</v>
      </c>
      <c r="AE161" s="4">
        <f>'[37]Predicted Coal Prices'!AP161</f>
        <v>1.7741688517465783</v>
      </c>
      <c r="AF161" s="4">
        <v>0</v>
      </c>
      <c r="AG161" s="4">
        <v>0</v>
      </c>
      <c r="AH161" s="4"/>
      <c r="AI161" s="17" t="s">
        <v>20</v>
      </c>
      <c r="AJ161" s="115">
        <f t="shared" si="61"/>
        <v>3.3032167480184866</v>
      </c>
    </row>
    <row r="162" spans="4:36" x14ac:dyDescent="0.2">
      <c r="D162">
        <f>[13]Quantity_shares!BB388</f>
        <v>2005</v>
      </c>
      <c r="E162" t="str">
        <f>[13]Quantity_shares!BC388</f>
        <v>321</v>
      </c>
      <c r="F162" s="26">
        <f>[13]Quantity_shares!BD388</f>
        <v>0.2292330928008055</v>
      </c>
      <c r="G162" s="26">
        <f>[13]Quantity_shares!BE388</f>
        <v>4.9330144878894665E-2</v>
      </c>
      <c r="H162" s="26">
        <f>[13]Quantity_shares!BF388</f>
        <v>3.4723387592996591E-2</v>
      </c>
      <c r="I162" s="26">
        <f>[13]Quantity_shares!BG388</f>
        <v>0.68671337472730332</v>
      </c>
      <c r="Q162" s="26">
        <f t="shared" ref="Q162:U162" si="72">0.667*Q141+0.333*Q204</f>
        <v>3.1105743783729267E-2</v>
      </c>
      <c r="R162" s="26">
        <f t="shared" si="72"/>
        <v>0.24307747908124339</v>
      </c>
      <c r="S162" s="26">
        <f t="shared" si="72"/>
        <v>0.63939952475849882</v>
      </c>
      <c r="T162" s="26">
        <f t="shared" si="72"/>
        <v>5.5370257241565121E-2</v>
      </c>
      <c r="U162" s="26">
        <f t="shared" si="72"/>
        <v>3.1046995134963288E-2</v>
      </c>
      <c r="V162" s="26">
        <v>0</v>
      </c>
      <c r="W162" s="26">
        <v>0</v>
      </c>
      <c r="X162" s="26">
        <f t="shared" si="69"/>
        <v>0.99999999999999989</v>
      </c>
      <c r="Y162" s="74"/>
      <c r="AA162" s="4">
        <f>'[33]Predicted Residual Prices'!AP162</f>
        <v>2.4571331544922845</v>
      </c>
      <c r="AB162" s="4">
        <f>'[34]Predicted Distillate Prices'!AP162</f>
        <v>6.0637477172982761</v>
      </c>
      <c r="AC162" s="4">
        <f>'[35]Predicted Gas Prices'!AQ162</f>
        <v>3.2036730480443634</v>
      </c>
      <c r="AD162" s="4">
        <f>'[36]Predicted LPG Prices'!AP162</f>
        <v>6.3452264226419963</v>
      </c>
      <c r="AE162" s="4">
        <f>'[37]Predicted Coal Prices'!AP162</f>
        <v>2.5140142796313212</v>
      </c>
      <c r="AF162" s="4">
        <v>0</v>
      </c>
      <c r="AG162" s="4">
        <v>0</v>
      </c>
      <c r="AH162" s="4"/>
      <c r="AI162" s="17" t="s">
        <v>22</v>
      </c>
      <c r="AJ162" s="115">
        <f t="shared" si="61"/>
        <v>4.0282078960394347</v>
      </c>
    </row>
    <row r="163" spans="4:36" x14ac:dyDescent="0.2">
      <c r="D163">
        <f>[13]Quantity_shares!BB389</f>
        <v>2005</v>
      </c>
      <c r="E163" t="str">
        <f>[13]Quantity_shares!BC389</f>
        <v>322</v>
      </c>
      <c r="F163" s="26">
        <f>[13]Quantity_shares!BD389</f>
        <v>0.22776457930880017</v>
      </c>
      <c r="G163" s="26">
        <f>[13]Quantity_shares!BE389</f>
        <v>5.0256503578918178E-2</v>
      </c>
      <c r="H163" s="26">
        <f>[13]Quantity_shares!BF389</f>
        <v>0.10607852822405933</v>
      </c>
      <c r="I163" s="26">
        <f>[13]Quantity_shares!BG389</f>
        <v>0.61590038888822229</v>
      </c>
      <c r="Q163" s="26">
        <f t="shared" ref="Q163:U163" si="73">0.667*Q142+0.333*Q205</f>
        <v>0.15765895302761954</v>
      </c>
      <c r="R163" s="26">
        <f t="shared" si="73"/>
        <v>8.8849720352350801E-3</v>
      </c>
      <c r="S163" s="26">
        <f t="shared" si="73"/>
        <v>0.54297224547483758</v>
      </c>
      <c r="T163" s="26">
        <f t="shared" si="73"/>
        <v>4.7973961424284169E-3</v>
      </c>
      <c r="U163" s="26">
        <f t="shared" si="73"/>
        <v>0.28568643331987942</v>
      </c>
      <c r="V163" s="26">
        <v>0</v>
      </c>
      <c r="W163" s="26">
        <v>0</v>
      </c>
      <c r="X163" s="26">
        <f t="shared" si="69"/>
        <v>1</v>
      </c>
      <c r="Y163" s="74"/>
      <c r="AA163" s="4">
        <f>'[33]Predicted Residual Prices'!AP163</f>
        <v>2.4116786575425961</v>
      </c>
      <c r="AB163" s="4">
        <f>'[34]Predicted Distillate Prices'!AP163</f>
        <v>4.4958527677824049</v>
      </c>
      <c r="AC163" s="4">
        <f>'[35]Predicted Gas Prices'!AQ163</f>
        <v>2.3407668299963049</v>
      </c>
      <c r="AD163" s="4">
        <f>'[36]Predicted LPG Prices'!AP163</f>
        <v>6.8777219492836732</v>
      </c>
      <c r="AE163" s="4">
        <f>'[37]Predicted Coal Prices'!AP163</f>
        <v>1.866968791441395</v>
      </c>
      <c r="AF163" s="4">
        <v>0</v>
      </c>
      <c r="AG163" s="4">
        <v>0</v>
      </c>
      <c r="AH163" s="4"/>
      <c r="AI163" s="17" t="s">
        <v>24</v>
      </c>
      <c r="AJ163" s="115">
        <f t="shared" si="61"/>
        <v>2.2575024920142193</v>
      </c>
    </row>
    <row r="164" spans="4:36" x14ac:dyDescent="0.2">
      <c r="D164">
        <f>[13]Quantity_shares!BB390</f>
        <v>2005</v>
      </c>
      <c r="E164" t="str">
        <f>[13]Quantity_shares!BC390</f>
        <v>323</v>
      </c>
      <c r="F164" s="26">
        <f>[13]Quantity_shares!BD390</f>
        <v>0.9535372791091743</v>
      </c>
      <c r="G164" s="26">
        <f>[13]Quantity_shares!BE390</f>
        <v>1.4115831517792297E-2</v>
      </c>
      <c r="H164" s="26">
        <f>[13]Quantity_shares!BF390</f>
        <v>2.3526385862987167E-16</v>
      </c>
      <c r="I164" s="26">
        <f>[13]Quantity_shares!BG390</f>
        <v>3.234688937303315E-2</v>
      </c>
      <c r="Q164" s="26">
        <f t="shared" ref="Q164:U164" si="74">0.667*Q143+0.333*Q206</f>
        <v>6.0724547221334257E-3</v>
      </c>
      <c r="R164" s="26">
        <f t="shared" si="74"/>
        <v>3.4995091977887263E-2</v>
      </c>
      <c r="S164" s="26">
        <f t="shared" si="74"/>
        <v>0.94644485077155083</v>
      </c>
      <c r="T164" s="26">
        <f t="shared" si="74"/>
        <v>1.2487602528428496E-2</v>
      </c>
      <c r="U164" s="26">
        <f t="shared" si="74"/>
        <v>0</v>
      </c>
      <c r="V164" s="26">
        <v>0</v>
      </c>
      <c r="W164" s="26">
        <v>0</v>
      </c>
      <c r="X164" s="26">
        <f t="shared" si="69"/>
        <v>1</v>
      </c>
      <c r="Y164" s="74"/>
      <c r="AA164" s="4">
        <f>'[33]Predicted Residual Prices'!AP164</f>
        <v>3.3626952970771584</v>
      </c>
      <c r="AB164" s="4">
        <f>'[34]Predicted Distillate Prices'!AP164</f>
        <v>5.8324000523587998</v>
      </c>
      <c r="AC164" s="4">
        <f>'[35]Predicted Gas Prices'!AQ164</f>
        <v>3.7938438828090488</v>
      </c>
      <c r="AD164" s="4">
        <f>'[36]Predicted LPG Prices'!AP164</f>
        <v>9.1780363539241208</v>
      </c>
      <c r="AE164" s="4">
        <f>'[37]Predicted Coal Prices'!AP164</f>
        <v>1.8367526759168136</v>
      </c>
      <c r="AF164" s="4">
        <v>0</v>
      </c>
      <c r="AG164" s="4">
        <v>0</v>
      </c>
      <c r="AH164" s="4"/>
      <c r="AI164" s="17" t="s">
        <v>26</v>
      </c>
      <c r="AJ164" s="115">
        <f t="shared" si="61"/>
        <v>3.9298008687150054</v>
      </c>
    </row>
    <row r="165" spans="4:36" x14ac:dyDescent="0.2">
      <c r="D165">
        <f>[13]Quantity_shares!BB391</f>
        <v>2005</v>
      </c>
      <c r="E165" t="str">
        <f>[13]Quantity_shares!BC391</f>
        <v>324</v>
      </c>
      <c r="F165" s="26">
        <f>[13]Quantity_shares!BD391</f>
        <v>0.2667041997107088</v>
      </c>
      <c r="G165" s="26">
        <f>[13]Quantity_shares!BE391</f>
        <v>2.2428425357873212E-2</v>
      </c>
      <c r="H165" s="26">
        <f>[13]Quantity_shares!BF391</f>
        <v>1.3250162102848021E-2</v>
      </c>
      <c r="I165" s="26">
        <f>[13]Quantity_shares!BG391</f>
        <v>0.69761721282856992</v>
      </c>
      <c r="Q165" s="26">
        <f t="shared" ref="Q165:U165" si="75">0.667*Q144+0.333*Q207</f>
        <v>2.8970539602044675E-2</v>
      </c>
      <c r="R165" s="26">
        <f t="shared" si="75"/>
        <v>1.9082883966423665E-2</v>
      </c>
      <c r="S165" s="26">
        <f t="shared" si="75"/>
        <v>0.92040874401996908</v>
      </c>
      <c r="T165" s="26">
        <f t="shared" si="75"/>
        <v>2.7010005556423813E-2</v>
      </c>
      <c r="U165" s="26">
        <f t="shared" si="75"/>
        <v>4.5278268551388621E-3</v>
      </c>
      <c r="V165" s="26">
        <v>0</v>
      </c>
      <c r="W165" s="26">
        <v>0</v>
      </c>
      <c r="X165" s="26">
        <f t="shared" si="69"/>
        <v>1.0000000000000002</v>
      </c>
      <c r="Y165" s="74"/>
      <c r="AA165" s="4">
        <f>'[33]Predicted Residual Prices'!AP165</f>
        <v>2.8071172972572245</v>
      </c>
      <c r="AB165" s="4">
        <f>'[34]Predicted Distillate Prices'!AP165</f>
        <v>4.8428815042032314</v>
      </c>
      <c r="AC165" s="4">
        <f>'[35]Predicted Gas Prices'!AQ165</f>
        <v>2.0631806023058346</v>
      </c>
      <c r="AD165" s="4">
        <f>'[36]Predicted LPG Prices'!AP165</f>
        <v>4.6356123917419447</v>
      </c>
      <c r="AE165" s="4">
        <f>'[37]Predicted Coal Prices'!AP165</f>
        <v>1.7487307523042652</v>
      </c>
      <c r="AF165" s="4">
        <v>0</v>
      </c>
      <c r="AG165" s="4">
        <v>0</v>
      </c>
      <c r="AH165" s="4"/>
      <c r="AI165" s="17" t="s">
        <v>28</v>
      </c>
      <c r="AJ165" s="115">
        <f t="shared" si="61"/>
        <v>2.2058351820113682</v>
      </c>
    </row>
    <row r="166" spans="4:36" x14ac:dyDescent="0.2">
      <c r="D166">
        <f>[13]Quantity_shares!BB392</f>
        <v>2005</v>
      </c>
      <c r="E166" t="str">
        <f>[13]Quantity_shares!BC392</f>
        <v>325</v>
      </c>
      <c r="F166" s="26">
        <f>[13]Quantity_shares!BD392</f>
        <v>0.51986478183107054</v>
      </c>
      <c r="G166" s="26">
        <f>[13]Quantity_shares!BE392</f>
        <v>1.3357984649802607E-2</v>
      </c>
      <c r="H166" s="26">
        <f>[13]Quantity_shares!BF392</f>
        <v>7.0985968981786204E-2</v>
      </c>
      <c r="I166" s="26">
        <f>[13]Quantity_shares!BG392</f>
        <v>0.39579126453734076</v>
      </c>
      <c r="Q166" s="26">
        <f t="shared" ref="Q166:U166" si="76">0.667*Q145+0.333*Q208</f>
        <v>2.4786605890423738E-2</v>
      </c>
      <c r="R166" s="26">
        <f t="shared" si="76"/>
        <v>5.8778972489029122E-3</v>
      </c>
      <c r="S166" s="26">
        <f t="shared" si="76"/>
        <v>0.84618735204334983</v>
      </c>
      <c r="T166" s="26">
        <f t="shared" si="76"/>
        <v>1.9463040896327271E-3</v>
      </c>
      <c r="U166" s="26">
        <f t="shared" si="76"/>
        <v>0.12120184072769086</v>
      </c>
      <c r="V166" s="26">
        <v>0</v>
      </c>
      <c r="W166" s="26">
        <v>0</v>
      </c>
      <c r="X166" s="26">
        <f t="shared" si="69"/>
        <v>1</v>
      </c>
      <c r="Y166" s="74"/>
      <c r="AA166" s="4">
        <f>'[33]Predicted Residual Prices'!AP166</f>
        <v>2.4815244464242379</v>
      </c>
      <c r="AB166" s="4">
        <f>'[34]Predicted Distillate Prices'!AP166</f>
        <v>5.0299443032211366</v>
      </c>
      <c r="AC166" s="4">
        <f>'[35]Predicted Gas Prices'!AQ166</f>
        <v>1.9333072853077979</v>
      </c>
      <c r="AD166" s="4">
        <f>'[36]Predicted LPG Prices'!AP166</f>
        <v>4.6022137418380895</v>
      </c>
      <c r="AE166" s="4">
        <f>'[37]Predicted Coal Prices'!AP166</f>
        <v>1.6802004887593607</v>
      </c>
      <c r="AF166" s="4">
        <v>0</v>
      </c>
      <c r="AG166" s="4">
        <v>0</v>
      </c>
      <c r="AH166" s="4"/>
      <c r="AI166" s="17" t="s">
        <v>30</v>
      </c>
      <c r="AJ166" s="115">
        <f t="shared" si="61"/>
        <v>1.9396149361400343</v>
      </c>
    </row>
    <row r="167" spans="4:36" x14ac:dyDescent="0.2">
      <c r="D167">
        <f>[13]Quantity_shares!BB393</f>
        <v>2005</v>
      </c>
      <c r="E167" t="str">
        <f>[13]Quantity_shares!BC393</f>
        <v>326</v>
      </c>
      <c r="F167" s="26">
        <f>[13]Quantity_shares!BD393</f>
        <v>0.83241251826570073</v>
      </c>
      <c r="G167" s="26">
        <f>[13]Quantity_shares!BE393</f>
        <v>7.3550103527151994E-2</v>
      </c>
      <c r="H167" s="26">
        <f>[13]Quantity_shares!BF393</f>
        <v>5.4915216167791436E-2</v>
      </c>
      <c r="I167" s="26">
        <f>[13]Quantity_shares!BG393</f>
        <v>3.9122162039355805E-2</v>
      </c>
      <c r="Q167" s="26">
        <f t="shared" ref="Q167:U167" si="77">0.667*Q146+0.333*Q209</f>
        <v>7.0841609308191472E-2</v>
      </c>
      <c r="R167" s="26">
        <f t="shared" si="77"/>
        <v>2.5003786970243205E-2</v>
      </c>
      <c r="S167" s="26">
        <f t="shared" si="77"/>
        <v>0.83068928337091219</v>
      </c>
      <c r="T167" s="26">
        <f t="shared" si="77"/>
        <v>2.3880200400561505E-2</v>
      </c>
      <c r="U167" s="26">
        <f t="shared" si="77"/>
        <v>4.9585119950091752E-2</v>
      </c>
      <c r="V167" s="26">
        <v>0</v>
      </c>
      <c r="W167" s="26">
        <v>0</v>
      </c>
      <c r="X167" s="26">
        <f t="shared" si="69"/>
        <v>1.0000000000000002</v>
      </c>
      <c r="Y167" s="74"/>
      <c r="AA167" s="4">
        <f>'[33]Predicted Residual Prices'!AP167</f>
        <v>2.5068749672572204</v>
      </c>
      <c r="AB167" s="4">
        <f>'[34]Predicted Distillate Prices'!AP167</f>
        <v>5.0757792113953366</v>
      </c>
      <c r="AC167" s="4">
        <f>'[35]Predicted Gas Prices'!AQ167</f>
        <v>3.2306450949269001</v>
      </c>
      <c r="AD167" s="4">
        <f>'[36]Predicted LPG Prices'!AP167</f>
        <v>8.2081180561471072</v>
      </c>
      <c r="AE167" s="4">
        <f>'[37]Predicted Coal Prices'!AP167</f>
        <v>2.194742320053122</v>
      </c>
      <c r="AF167" s="4">
        <v>0</v>
      </c>
      <c r="AG167" s="4">
        <v>0</v>
      </c>
      <c r="AH167" s="4"/>
      <c r="AI167" s="17" t="s">
        <v>32</v>
      </c>
      <c r="AJ167" s="115">
        <f t="shared" si="61"/>
        <v>3.2930050831468556</v>
      </c>
    </row>
    <row r="168" spans="4:36" x14ac:dyDescent="0.2">
      <c r="D168">
        <f>[13]Quantity_shares!BB394</f>
        <v>2005</v>
      </c>
      <c r="E168" t="str">
        <f>[13]Quantity_shares!BC394</f>
        <v>327</v>
      </c>
      <c r="F168" s="26">
        <f>[13]Quantity_shares!BD394</f>
        <v>0.47487476195605094</v>
      </c>
      <c r="G168" s="26">
        <f>[13]Quantity_shares!BE394</f>
        <v>3.5165479215984639E-2</v>
      </c>
      <c r="H168" s="26">
        <f>[13]Quantity_shares!BF394</f>
        <v>0.34694919895776288</v>
      </c>
      <c r="I168" s="26">
        <f>[13]Quantity_shares!BG394</f>
        <v>0.14301055987020161</v>
      </c>
      <c r="Q168" s="26">
        <f t="shared" ref="Q168:U168" si="78">0.667*Q147+0.333*Q210</f>
        <v>1.1432891469528954E-2</v>
      </c>
      <c r="R168" s="26">
        <f t="shared" si="78"/>
        <v>2.8693038977830203E-2</v>
      </c>
      <c r="S168" s="26">
        <f t="shared" si="78"/>
        <v>0.55719026590196152</v>
      </c>
      <c r="T168" s="26">
        <f t="shared" si="78"/>
        <v>3.7075237551754928E-3</v>
      </c>
      <c r="U168" s="26">
        <f t="shared" si="78"/>
        <v>0.39897627989550388</v>
      </c>
      <c r="V168" s="26">
        <v>0</v>
      </c>
      <c r="W168" s="26">
        <v>0</v>
      </c>
      <c r="X168" s="26">
        <f t="shared" si="69"/>
        <v>1</v>
      </c>
      <c r="Y168" s="74"/>
      <c r="AA168" s="4">
        <f>'[33]Predicted Residual Prices'!AP168</f>
        <v>2.7983545173205018</v>
      </c>
      <c r="AB168" s="4">
        <f>'[34]Predicted Distillate Prices'!AP168</f>
        <v>5.6157429709071236</v>
      </c>
      <c r="AC168" s="4">
        <f>'[35]Predicted Gas Prices'!AQ168</f>
        <v>2.9037470653187416</v>
      </c>
      <c r="AD168" s="4">
        <f>'[36]Predicted LPG Prices'!AP168</f>
        <v>7.8231650112023328</v>
      </c>
      <c r="AE168" s="4">
        <f>'[37]Predicted Coal Prices'!AP168</f>
        <v>1.6173543790074545</v>
      </c>
      <c r="AF168" s="4">
        <v>0</v>
      </c>
      <c r="AG168" s="4">
        <v>0</v>
      </c>
      <c r="AH168" s="4"/>
      <c r="AI168" s="17" t="s">
        <v>34</v>
      </c>
      <c r="AJ168" s="115">
        <f t="shared" si="61"/>
        <v>2.485356218409283</v>
      </c>
    </row>
    <row r="169" spans="4:36" x14ac:dyDescent="0.2">
      <c r="D169">
        <f>[13]Quantity_shares!BB395</f>
        <v>2005</v>
      </c>
      <c r="E169" t="str">
        <f>[13]Quantity_shares!BC395</f>
        <v>331</v>
      </c>
      <c r="F169" s="26">
        <f>[13]Quantity_shares!BD395</f>
        <v>0.44378154547796472</v>
      </c>
      <c r="G169" s="26">
        <f>[13]Quantity_shares!BE395</f>
        <v>1.703408104265855E-2</v>
      </c>
      <c r="H169" s="26">
        <f>[13]Quantity_shares!BF395</f>
        <v>0.31364195822877805</v>
      </c>
      <c r="I169" s="26">
        <f>[13]Quantity_shares!BG395</f>
        <v>0.2255424152505987</v>
      </c>
      <c r="Q169" s="26">
        <f t="shared" ref="Q169:V169" si="79">0.667*Q148+0.333*Q211</f>
        <v>3.2178615010944163E-2</v>
      </c>
      <c r="R169" s="26">
        <f t="shared" si="79"/>
        <v>9.8632443265265681E-3</v>
      </c>
      <c r="S169" s="26">
        <f t="shared" si="79"/>
        <v>0.64134192822906932</v>
      </c>
      <c r="T169" s="26">
        <f t="shared" si="79"/>
        <v>3.3939190682473397E-3</v>
      </c>
      <c r="U169" s="26">
        <f t="shared" si="79"/>
        <v>4.1886555586714731E-2</v>
      </c>
      <c r="V169" s="26">
        <f t="shared" si="79"/>
        <v>0.27133573777849795</v>
      </c>
      <c r="W169" s="26">
        <v>0</v>
      </c>
      <c r="X169" s="26">
        <f t="shared" si="69"/>
        <v>1</v>
      </c>
      <c r="Y169" s="74"/>
      <c r="AA169" s="4">
        <f>'[33]Predicted Residual Prices'!AP169</f>
        <v>2.1568491409818762</v>
      </c>
      <c r="AB169" s="4">
        <f>'[34]Predicted Distillate Prices'!AP169</f>
        <v>5.241666375868915</v>
      </c>
      <c r="AC169" s="4">
        <f>'[35]Predicted Gas Prices'!AQ169</f>
        <v>2.5741532727169503</v>
      </c>
      <c r="AD169" s="4">
        <f>'[36]Predicted LPG Prices'!AP169</f>
        <v>5.755015088615643</v>
      </c>
      <c r="AE169" s="4">
        <f>'[37]Predicted Coal Prices'!AP169</f>
        <v>1.8548281768866941</v>
      </c>
      <c r="AF169" s="36">
        <f>3*AE169</f>
        <v>5.5644845306600823</v>
      </c>
      <c r="AG169" s="4">
        <v>0</v>
      </c>
      <c r="AH169" s="4"/>
      <c r="AI169" s="17" t="s">
        <v>36</v>
      </c>
      <c r="AJ169" s="115">
        <f t="shared" si="61"/>
        <v>3.3790846122350997</v>
      </c>
    </row>
    <row r="170" spans="4:36" x14ac:dyDescent="0.2">
      <c r="D170">
        <f>[13]Quantity_shares!BB396</f>
        <v>2005</v>
      </c>
      <c r="E170" t="str">
        <f>[13]Quantity_shares!BC396</f>
        <v>332</v>
      </c>
      <c r="F170" s="26">
        <f>[13]Quantity_shares!BD396</f>
        <v>0.94256081356276922</v>
      </c>
      <c r="G170" s="26">
        <f>[13]Quantity_shares!BE396</f>
        <v>1.6442956175508318E-2</v>
      </c>
      <c r="H170" s="26">
        <f>[13]Quantity_shares!BF396</f>
        <v>1.9490360081485831E-3</v>
      </c>
      <c r="I170" s="26">
        <f>[13]Quantity_shares!BG396</f>
        <v>3.9047194253573884E-2</v>
      </c>
      <c r="Q170" s="26">
        <f t="shared" ref="Q170:U170" si="80">0.667*Q149+0.333*Q212</f>
        <v>1.5866403724016861E-2</v>
      </c>
      <c r="R170" s="26">
        <f t="shared" si="80"/>
        <v>2.6816045494693248E-2</v>
      </c>
      <c r="S170" s="26">
        <f t="shared" si="80"/>
        <v>0.90204511145047084</v>
      </c>
      <c r="T170" s="26">
        <f t="shared" si="80"/>
        <v>2.0716660759708759E-2</v>
      </c>
      <c r="U170" s="26">
        <f t="shared" si="80"/>
        <v>3.4555778571110356E-2</v>
      </c>
      <c r="V170" s="26">
        <v>0</v>
      </c>
      <c r="W170" s="26">
        <v>0</v>
      </c>
      <c r="X170" s="26">
        <f t="shared" si="69"/>
        <v>1</v>
      </c>
      <c r="Y170" s="74"/>
      <c r="AA170" s="4">
        <f>'[33]Predicted Residual Prices'!AP170</f>
        <v>3.2008889748478007</v>
      </c>
      <c r="AB170" s="4">
        <f>'[34]Predicted Distillate Prices'!AP170</f>
        <v>5.587377850964697</v>
      </c>
      <c r="AC170" s="4">
        <f>'[35]Predicted Gas Prices'!AQ170</f>
        <v>3.4481914339579633</v>
      </c>
      <c r="AD170" s="4">
        <f>'[36]Predicted LPG Prices'!AP170</f>
        <v>8.6149821355750138</v>
      </c>
      <c r="AE170" s="4">
        <f>'[37]Predicted Coal Prices'!AP170</f>
        <v>2.0216312914458792</v>
      </c>
      <c r="AF170" s="4">
        <v>0</v>
      </c>
      <c r="AG170" s="4">
        <v>0</v>
      </c>
      <c r="AH170" s="4"/>
      <c r="AI170" s="17" t="s">
        <v>38</v>
      </c>
      <c r="AJ170" s="115">
        <f t="shared" si="61"/>
        <v>3.5593749073586607</v>
      </c>
    </row>
    <row r="171" spans="4:36" x14ac:dyDescent="0.2">
      <c r="D171">
        <f>[13]Quantity_shares!BB397</f>
        <v>2005</v>
      </c>
      <c r="E171" t="str">
        <f>[13]Quantity_shares!BC397</f>
        <v>333</v>
      </c>
      <c r="F171" s="26">
        <f>[13]Quantity_shares!BD397</f>
        <v>0.89667069173710534</v>
      </c>
      <c r="G171" s="26">
        <f>[13]Quantity_shares!BE397</f>
        <v>3.3551837157150252E-2</v>
      </c>
      <c r="H171" s="26">
        <f>[13]Quantity_shares!BF397</f>
        <v>1.0738312920476108E-2</v>
      </c>
      <c r="I171" s="26">
        <f>[13]Quantity_shares!BG397</f>
        <v>5.903915818526824E-2</v>
      </c>
      <c r="Q171" s="26">
        <f t="shared" ref="Q171:U171" si="81">0.667*Q150+0.333*Q213</f>
        <v>2.7821049677945152E-2</v>
      </c>
      <c r="R171" s="26">
        <f t="shared" si="81"/>
        <v>2.9710311537582485E-2</v>
      </c>
      <c r="S171" s="26">
        <f t="shared" si="81"/>
        <v>0.79023068769002136</v>
      </c>
      <c r="T171" s="26">
        <f t="shared" si="81"/>
        <v>1.7236259533257057E-2</v>
      </c>
      <c r="U171" s="26">
        <f t="shared" si="81"/>
        <v>0.13500169156119393</v>
      </c>
      <c r="V171" s="26">
        <v>0</v>
      </c>
      <c r="W171" s="26">
        <v>0</v>
      </c>
      <c r="X171" s="26">
        <f t="shared" si="69"/>
        <v>0.99999999999999989</v>
      </c>
      <c r="Y171" s="74"/>
      <c r="AA171" s="4">
        <f>'[33]Predicted Residual Prices'!AP171</f>
        <v>2.9508962074151563</v>
      </c>
      <c r="AB171" s="4">
        <f>'[34]Predicted Distillate Prices'!AP171</f>
        <v>5.5123300179591119</v>
      </c>
      <c r="AC171" s="4">
        <f>'[35]Predicted Gas Prices'!AQ171</f>
        <v>3.5143106796669183</v>
      </c>
      <c r="AD171" s="4">
        <f>'[36]Predicted LPG Prices'!AP171</f>
        <v>8.450869092778138</v>
      </c>
      <c r="AE171" s="4">
        <f>'[37]Predicted Coal Prices'!AP171</f>
        <v>1.5867459523531064</v>
      </c>
      <c r="AF171" s="4">
        <v>0</v>
      </c>
      <c r="AG171" s="4">
        <v>0</v>
      </c>
      <c r="AH171" s="4"/>
      <c r="AI171" s="17" t="s">
        <v>40</v>
      </c>
      <c r="AJ171" s="115">
        <f t="shared" si="61"/>
        <v>3.3828609778723169</v>
      </c>
    </row>
    <row r="172" spans="4:36" x14ac:dyDescent="0.2">
      <c r="D172">
        <f>[13]Quantity_shares!BB398</f>
        <v>2005</v>
      </c>
      <c r="E172" t="str">
        <f>[13]Quantity_shares!BC398</f>
        <v>334</v>
      </c>
      <c r="F172" s="26">
        <f>[13]Quantity_shares!BD398</f>
        <v>0.93394886363636365</v>
      </c>
      <c r="G172" s="26">
        <f>[13]Quantity_shares!BE398</f>
        <v>3.0539772727272728E-2</v>
      </c>
      <c r="H172" s="26">
        <f>[13]Quantity_shares!BF398</f>
        <v>2.2727272727272726E-3</v>
      </c>
      <c r="I172" s="26">
        <f>[13]Quantity_shares!BG398</f>
        <v>3.3238636363636359E-2</v>
      </c>
      <c r="Q172" s="26">
        <f t="shared" ref="Q172:U172" si="82">0.667*Q151+0.333*Q214</f>
        <v>4.577660122439154E-2</v>
      </c>
      <c r="R172" s="26">
        <f t="shared" si="82"/>
        <v>2.340808190477248E-2</v>
      </c>
      <c r="S172" s="26">
        <f t="shared" si="82"/>
        <v>0.75279312569855295</v>
      </c>
      <c r="T172" s="26">
        <f t="shared" si="82"/>
        <v>1.2341066001996446E-2</v>
      </c>
      <c r="U172" s="26">
        <f t="shared" si="82"/>
        <v>0.1656811251702866</v>
      </c>
      <c r="V172" s="26">
        <v>0</v>
      </c>
      <c r="W172" s="26">
        <v>0</v>
      </c>
      <c r="X172" s="26">
        <f t="shared" si="69"/>
        <v>1</v>
      </c>
      <c r="Y172" s="74"/>
      <c r="AA172" s="4">
        <f>'[33]Predicted Residual Prices'!AP172</f>
        <v>3.3213368319041638</v>
      </c>
      <c r="AB172" s="4">
        <f>'[34]Predicted Distillate Prices'!AP172</f>
        <v>5.1371271518597652</v>
      </c>
      <c r="AC172" s="4">
        <f>'[35]Predicted Gas Prices'!AQ172</f>
        <v>3.3493386006180179</v>
      </c>
      <c r="AD172" s="4">
        <f>'[36]Predicted LPG Prices'!AP172</f>
        <v>6.664934741273508</v>
      </c>
      <c r="AE172" s="4">
        <f>'[37]Predicted Coal Prices'!AP172</f>
        <v>1.8312773220422656</v>
      </c>
      <c r="AF172" s="4">
        <v>0</v>
      </c>
      <c r="AG172" s="4">
        <v>0</v>
      </c>
      <c r="AH172" s="4"/>
      <c r="AI172" s="17" t="s">
        <v>42</v>
      </c>
      <c r="AJ172" s="115">
        <f t="shared" si="61"/>
        <v>3.1793093657498273</v>
      </c>
    </row>
    <row r="173" spans="4:36" x14ac:dyDescent="0.2">
      <c r="D173">
        <f>[13]Quantity_shares!BB399</f>
        <v>2005</v>
      </c>
      <c r="E173" t="str">
        <f>[13]Quantity_shares!BC399</f>
        <v>335</v>
      </c>
      <c r="F173" s="26">
        <f>[13]Quantity_shares!BD399</f>
        <v>0.94302633768574173</v>
      </c>
      <c r="G173" s="26">
        <f>[13]Quantity_shares!BE399</f>
        <v>1.8715220982478072E-2</v>
      </c>
      <c r="H173" s="26">
        <f>[13]Quantity_shares!BF399</f>
        <v>5.2216724775445761E-3</v>
      </c>
      <c r="I173" s="26">
        <f>[13]Quantity_shares!BG399</f>
        <v>3.3036768854235579E-2</v>
      </c>
      <c r="Q173" s="26">
        <f t="shared" ref="Q173:U173" si="83">0.667*Q152+0.333*Q215</f>
        <v>3.9185158002821172E-2</v>
      </c>
      <c r="R173" s="26">
        <f t="shared" si="83"/>
        <v>2.4801511391790168E-2</v>
      </c>
      <c r="S173" s="26">
        <f t="shared" si="83"/>
        <v>0.91688445934699814</v>
      </c>
      <c r="T173" s="26">
        <f t="shared" si="83"/>
        <v>1.9128871258390613E-2</v>
      </c>
      <c r="U173" s="26">
        <f t="shared" si="83"/>
        <v>0</v>
      </c>
      <c r="V173" s="26">
        <v>0</v>
      </c>
      <c r="W173" s="26">
        <v>0</v>
      </c>
      <c r="X173" s="26">
        <f t="shared" si="69"/>
        <v>1</v>
      </c>
      <c r="Y173" s="74"/>
      <c r="AA173" s="4">
        <f>'[33]Predicted Residual Prices'!AP173</f>
        <v>3.237818823812713</v>
      </c>
      <c r="AB173" s="4">
        <f>'[34]Predicted Distillate Prices'!AP173</f>
        <v>5.1181603680031875</v>
      </c>
      <c r="AC173" s="4">
        <f>'[35]Predicted Gas Prices'!AQ173</f>
        <v>3.4366142807830253</v>
      </c>
      <c r="AD173" s="4">
        <f>'[36]Predicted LPG Prices'!AP173</f>
        <v>6.7285098659950142</v>
      </c>
      <c r="AE173" s="4">
        <f>'[37]Predicted Coal Prices'!AP173</f>
        <v>2.0421338618403357</v>
      </c>
      <c r="AF173" s="4">
        <v>0</v>
      </c>
      <c r="AG173" s="4">
        <v>0</v>
      </c>
      <c r="AH173" s="4"/>
      <c r="AI173" s="17" t="s">
        <v>44</v>
      </c>
      <c r="AJ173" s="115">
        <f t="shared" si="61"/>
        <v>3.533499580674996</v>
      </c>
    </row>
    <row r="174" spans="4:36" x14ac:dyDescent="0.2">
      <c r="D174">
        <f>[13]Quantity_shares!BB400</f>
        <v>2005</v>
      </c>
      <c r="E174" t="str">
        <f>[13]Quantity_shares!BC400</f>
        <v>336</v>
      </c>
      <c r="F174" s="26">
        <f>[13]Quantity_shares!BD400</f>
        <v>0.85658625230357943</v>
      </c>
      <c r="G174" s="26">
        <f>[13]Quantity_shares!BE400</f>
        <v>3.6207968979013856E-2</v>
      </c>
      <c r="H174" s="26">
        <f>[13]Quantity_shares!BF400</f>
        <v>2.1038256789976409E-2</v>
      </c>
      <c r="I174" s="26">
        <f>[13]Quantity_shares!BG400</f>
        <v>8.6167521927430213E-2</v>
      </c>
      <c r="Q174" s="26">
        <f t="shared" ref="Q174:U174" si="84">0.667*Q153+0.333*Q216</f>
        <v>5.7039309728886267E-2</v>
      </c>
      <c r="R174" s="26">
        <f t="shared" si="84"/>
        <v>3.5324169705957885E-2</v>
      </c>
      <c r="S174" s="26">
        <f t="shared" si="84"/>
        <v>0.74689192769719592</v>
      </c>
      <c r="T174" s="26">
        <f t="shared" si="84"/>
        <v>1.1418396508906381E-2</v>
      </c>
      <c r="U174" s="26">
        <f t="shared" si="84"/>
        <v>0.14932619635905356</v>
      </c>
      <c r="V174" s="26">
        <v>0</v>
      </c>
      <c r="W174" s="26">
        <v>0</v>
      </c>
      <c r="X174" s="26">
        <f t="shared" si="69"/>
        <v>1</v>
      </c>
      <c r="Y174" s="74"/>
      <c r="AA174" s="4">
        <f>'[33]Predicted Residual Prices'!AP174</f>
        <v>2.6909425313738353</v>
      </c>
      <c r="AB174" s="4">
        <f>'[34]Predicted Distillate Prices'!AP174</f>
        <v>4.9342424358026511</v>
      </c>
      <c r="AC174" s="4">
        <f>'[35]Predicted Gas Prices'!AQ174</f>
        <v>3.1985587942287874</v>
      </c>
      <c r="AD174" s="4">
        <f>'[36]Predicted LPG Prices'!AP174</f>
        <v>7.5992798376010544</v>
      </c>
      <c r="AE174" s="4">
        <f>'[37]Predicted Coal Prices'!AP174</f>
        <v>1.9967035783952742</v>
      </c>
      <c r="AF174" s="4">
        <v>0</v>
      </c>
      <c r="AG174" s="4">
        <v>0</v>
      </c>
      <c r="AH174" s="4"/>
      <c r="AI174" s="17" t="s">
        <v>46</v>
      </c>
      <c r="AJ174" s="115">
        <f t="shared" si="61"/>
        <v>3.1016970063427993</v>
      </c>
    </row>
    <row r="175" spans="4:36" x14ac:dyDescent="0.2">
      <c r="D175">
        <f>[13]Quantity_shares!BB401</f>
        <v>2005</v>
      </c>
      <c r="E175" t="str">
        <f>[13]Quantity_shares!BC401</f>
        <v>337</v>
      </c>
      <c r="F175" s="26">
        <f>[13]Quantity_shares!BD401</f>
        <v>0.60955839005305745</v>
      </c>
      <c r="G175" s="26">
        <f>[13]Quantity_shares!BE401</f>
        <v>2.6173696339568037E-2</v>
      </c>
      <c r="H175" s="26">
        <f>[13]Quantity_shares!BF401</f>
        <v>7.5935205530843028E-2</v>
      </c>
      <c r="I175" s="26">
        <f>[13]Quantity_shares!BG401</f>
        <v>0.28833270807653144</v>
      </c>
      <c r="Q175" s="26">
        <f t="shared" ref="Q175:U175" si="85">0.667*Q154+0.333*Q217</f>
        <v>3.52807745488877E-2</v>
      </c>
      <c r="R175" s="26">
        <f t="shared" si="85"/>
        <v>3.5813119911079543E-2</v>
      </c>
      <c r="S175" s="26">
        <f t="shared" si="85"/>
        <v>0.77341965315872918</v>
      </c>
      <c r="T175" s="26">
        <f t="shared" si="85"/>
        <v>3.3532737185884828E-2</v>
      </c>
      <c r="U175" s="26">
        <f t="shared" si="85"/>
        <v>0.12195371519541877</v>
      </c>
      <c r="V175" s="26">
        <v>0</v>
      </c>
      <c r="W175" s="26">
        <v>0</v>
      </c>
      <c r="X175" s="26">
        <f t="shared" si="69"/>
        <v>1</v>
      </c>
      <c r="Y175" s="74"/>
      <c r="AA175" s="4">
        <f>'[33]Predicted Residual Prices'!AP175</f>
        <v>3.3215243215969448</v>
      </c>
      <c r="AB175" s="4">
        <f>'[34]Predicted Distillate Prices'!AP175</f>
        <v>5.6056269299873316</v>
      </c>
      <c r="AC175" s="4">
        <f>'[35]Predicted Gas Prices'!AQ175</f>
        <v>3.7688636231667183</v>
      </c>
      <c r="AD175" s="4">
        <f>'[36]Predicted LPG Prices'!AP175</f>
        <v>8.7319115624712449</v>
      </c>
      <c r="AE175" s="4">
        <f>'[37]Predicted Coal Prices'!AP175</f>
        <v>2.082079547040351</v>
      </c>
      <c r="AF175" s="4">
        <v>0</v>
      </c>
      <c r="AG175" s="4">
        <v>0</v>
      </c>
      <c r="AH175" s="4"/>
      <c r="AI175" s="17" t="s">
        <v>48</v>
      </c>
      <c r="AJ175" s="115">
        <f t="shared" si="61"/>
        <v>3.7795763680501797</v>
      </c>
    </row>
    <row r="176" spans="4:36" x14ac:dyDescent="0.2">
      <c r="D176">
        <f>[13]Quantity_shares!BB402</f>
        <v>2005</v>
      </c>
      <c r="E176" t="str">
        <f>[13]Quantity_shares!BC402</f>
        <v>339</v>
      </c>
      <c r="F176" s="26">
        <f>[13]Quantity_shares!BD402</f>
        <v>0.79737559645535105</v>
      </c>
      <c r="G176" s="26">
        <f>[13]Quantity_shares!BE402</f>
        <v>8.7465916837082477E-2</v>
      </c>
      <c r="H176" s="26">
        <f>[13]Quantity_shares!BF402</f>
        <v>2.3006134969325849E-3</v>
      </c>
      <c r="I176" s="26">
        <f>[13]Quantity_shares!BG402</f>
        <v>0.11285787321063394</v>
      </c>
      <c r="Q176" s="26">
        <f t="shared" ref="Q176:U176" si="86">0.667*Q155+0.333*Q218</f>
        <v>5.1834145514273421E-2</v>
      </c>
      <c r="R176" s="26">
        <f t="shared" si="86"/>
        <v>3.5833832141892515E-2</v>
      </c>
      <c r="S176" s="26">
        <f t="shared" si="86"/>
        <v>0.66823614822217192</v>
      </c>
      <c r="T176" s="26">
        <f t="shared" si="86"/>
        <v>1.8741528614114857E-2</v>
      </c>
      <c r="U176" s="26">
        <f t="shared" si="86"/>
        <v>0.22535434550754746</v>
      </c>
      <c r="V176" s="26">
        <v>0</v>
      </c>
      <c r="W176" s="26">
        <v>0</v>
      </c>
      <c r="X176" s="26">
        <f t="shared" si="69"/>
        <v>1.0000000000000002</v>
      </c>
      <c r="Y176" s="74"/>
      <c r="AA176" s="4">
        <f>'[33]Predicted Residual Prices'!AP176</f>
        <v>2.921556779147763</v>
      </c>
      <c r="AB176" s="4">
        <f>'[34]Predicted Distillate Prices'!AP176</f>
        <v>5.2882611658352889</v>
      </c>
      <c r="AC176" s="4">
        <f>'[35]Predicted Gas Prices'!AQ176</f>
        <v>4.0970781321729843</v>
      </c>
      <c r="AD176" s="4">
        <f>'[36]Predicted LPG Prices'!AP176</f>
        <v>9.1600167786424702</v>
      </c>
      <c r="AE176" s="4">
        <f>'[37]Predicted Coal Prices'!AP176</f>
        <v>2.0106672420203608</v>
      </c>
      <c r="AF176" s="4">
        <v>0</v>
      </c>
      <c r="AG176" s="4">
        <v>0</v>
      </c>
      <c r="AH176" s="4"/>
      <c r="AI176" s="17" t="s">
        <v>50</v>
      </c>
      <c r="AJ176" s="115">
        <f t="shared" si="61"/>
        <v>3.7035360890878168</v>
      </c>
    </row>
    <row r="177" spans="4:36" x14ac:dyDescent="0.2">
      <c r="D177" s="27">
        <f>[13]Quantity_shares!BB403</f>
        <v>2006</v>
      </c>
      <c r="E177" s="27" t="str">
        <f>[13]Quantity_shares!BC403</f>
        <v>311</v>
      </c>
      <c r="F177" s="28">
        <f>[13]Quantity_shares!BD403</f>
        <v>0.67914438502673802</v>
      </c>
      <c r="G177" s="28">
        <f>[13]Quantity_shares!BE403</f>
        <v>4.4919786096256686E-2</v>
      </c>
      <c r="H177" s="28">
        <f>[13]Quantity_shares!BF403</f>
        <v>0.15828877005347594</v>
      </c>
      <c r="I177" s="28">
        <f>[13]Quantity_shares!BG403</f>
        <v>0.11764705882352941</v>
      </c>
      <c r="P177">
        <v>1993</v>
      </c>
      <c r="Q177" s="26">
        <f>0.333*Q135+0.667*Q198</f>
        <v>3.4806940913382364E-2</v>
      </c>
      <c r="R177" s="26">
        <f t="shared" ref="R177:U177" si="87">0.333*R135+0.667*R198</f>
        <v>2.3531728449482717E-2</v>
      </c>
      <c r="S177" s="26">
        <f t="shared" si="87"/>
        <v>0.74263522774182933</v>
      </c>
      <c r="T177" s="26">
        <f t="shared" si="87"/>
        <v>7.6518002736149868E-3</v>
      </c>
      <c r="U177" s="26">
        <f t="shared" si="87"/>
        <v>0.19137430262169058</v>
      </c>
      <c r="V177" s="26">
        <v>0</v>
      </c>
      <c r="W177" s="26">
        <v>0</v>
      </c>
      <c r="X177" s="26">
        <f t="shared" si="69"/>
        <v>1</v>
      </c>
      <c r="Y177" s="34"/>
      <c r="Z177">
        <v>1993</v>
      </c>
      <c r="AA177" s="4">
        <f>'[33]Predicted Residual Prices'!AP177</f>
        <v>2.6592879504044244</v>
      </c>
      <c r="AB177" s="4">
        <f>'[34]Predicted Distillate Prices'!AP177</f>
        <v>5.6695297514448972</v>
      </c>
      <c r="AC177" s="4">
        <f>'[35]Predicted Gas Prices'!AQ177</f>
        <v>2.9152774181531056</v>
      </c>
      <c r="AD177" s="4">
        <f>'[36]Predicted LPG Prices'!AP177</f>
        <v>7.8918305162646671</v>
      </c>
      <c r="AE177" s="4">
        <f>'[37]Predicted Coal Prices'!AP177</f>
        <v>1.4506317739558707</v>
      </c>
      <c r="AF177" s="4">
        <v>0</v>
      </c>
      <c r="AG177" s="4">
        <v>0</v>
      </c>
      <c r="AH177" s="4"/>
      <c r="AI177" s="17" t="s">
        <v>10</v>
      </c>
      <c r="AJ177" s="115">
        <f t="shared" si="61"/>
        <v>2.7289635774747527</v>
      </c>
    </row>
    <row r="178" spans="4:36" x14ac:dyDescent="0.2">
      <c r="D178" s="27">
        <f>[13]Quantity_shares!BB404</f>
        <v>2006</v>
      </c>
      <c r="E178" s="27" t="str">
        <f>[13]Quantity_shares!BC404</f>
        <v>312</v>
      </c>
      <c r="F178" s="28">
        <f>[13]Quantity_shares!BD404</f>
        <v>0.52564102564102566</v>
      </c>
      <c r="G178" s="28">
        <f>[13]Quantity_shares!BE404</f>
        <v>5.128205128205128E-2</v>
      </c>
      <c r="H178" s="28">
        <f>[13]Quantity_shares!BF404</f>
        <v>0.25641025641025639</v>
      </c>
      <c r="I178" s="28">
        <f>[13]Quantity_shares!BG404</f>
        <v>0.16666666666666666</v>
      </c>
      <c r="Q178" s="26">
        <f t="shared" ref="Q178:U178" si="88">0.333*Q136+0.667*Q199</f>
        <v>5.767541564041119E-2</v>
      </c>
      <c r="R178" s="26">
        <f t="shared" si="88"/>
        <v>8.7457875015697351E-3</v>
      </c>
      <c r="S178" s="26">
        <f t="shared" si="88"/>
        <v>0.46587677459611904</v>
      </c>
      <c r="T178" s="26">
        <f t="shared" si="88"/>
        <v>1.6444642105260651E-3</v>
      </c>
      <c r="U178" s="26">
        <f t="shared" si="88"/>
        <v>0.46605755805137394</v>
      </c>
      <c r="V178" s="26">
        <v>0</v>
      </c>
      <c r="W178" s="26">
        <v>0</v>
      </c>
      <c r="X178" s="26">
        <f t="shared" si="69"/>
        <v>1</v>
      </c>
      <c r="Y178" s="34"/>
      <c r="AA178" s="4">
        <f>'[33]Predicted Residual Prices'!AP178</f>
        <v>2.6526618396100781</v>
      </c>
      <c r="AB178" s="4">
        <f>'[34]Predicted Distillate Prices'!AP178</f>
        <v>4.5490899999999996</v>
      </c>
      <c r="AC178" s="4">
        <f>'[35]Predicted Gas Prices'!AQ178</f>
        <v>3.2072599999999998</v>
      </c>
      <c r="AD178" s="4">
        <f>'[36]Predicted LPG Prices'!AP178</f>
        <v>7.9030144412163903</v>
      </c>
      <c r="AE178" s="4">
        <f>'[37]Predicted Coal Prices'!AP178</f>
        <v>2.0367108622715491</v>
      </c>
      <c r="AF178" s="4">
        <v>0</v>
      </c>
      <c r="AG178" s="4">
        <v>0</v>
      </c>
      <c r="AH178" s="4"/>
      <c r="AI178" s="17" t="s">
        <v>12</v>
      </c>
      <c r="AJ178" s="115">
        <f t="shared" si="61"/>
        <v>2.6491874080404711</v>
      </c>
    </row>
    <row r="179" spans="4:36" x14ac:dyDescent="0.2">
      <c r="D179" s="27">
        <f>[13]Quantity_shares!BB405</f>
        <v>2006</v>
      </c>
      <c r="E179" s="27" t="str">
        <f>[13]Quantity_shares!BC405</f>
        <v>313</v>
      </c>
      <c r="F179" s="28">
        <f>[13]Quantity_shares!BD405</f>
        <v>0.5829596412556054</v>
      </c>
      <c r="G179" s="28">
        <f>[13]Quantity_shares!BE405</f>
        <v>2.2421524663677129E-2</v>
      </c>
      <c r="H179" s="28">
        <f>[13]Quantity_shares!BF405</f>
        <v>0.28699551569506726</v>
      </c>
      <c r="I179" s="28">
        <f>[13]Quantity_shares!BG405</f>
        <v>0.10762331838565023</v>
      </c>
      <c r="Q179" s="26">
        <f t="shared" ref="Q179:U179" si="89">0.333*Q137+0.667*Q200</f>
        <v>8.7243706459537607E-2</v>
      </c>
      <c r="R179" s="26">
        <f t="shared" si="89"/>
        <v>3.9264400291066884E-2</v>
      </c>
      <c r="S179" s="26">
        <f t="shared" si="89"/>
        <v>0.65035506972197576</v>
      </c>
      <c r="T179" s="26">
        <f t="shared" si="89"/>
        <v>1.4379912954214806E-2</v>
      </c>
      <c r="U179" s="26">
        <f t="shared" si="89"/>
        <v>0.208756910573205</v>
      </c>
      <c r="V179" s="26">
        <v>0</v>
      </c>
      <c r="W179" s="26">
        <v>0</v>
      </c>
      <c r="X179" s="26">
        <f t="shared" si="69"/>
        <v>1</v>
      </c>
      <c r="Y179" s="34"/>
      <c r="AA179" s="4">
        <f>'[33]Predicted Residual Prices'!AP179</f>
        <v>2.7835736175062862</v>
      </c>
      <c r="AB179" s="4">
        <f>'[34]Predicted Distillate Prices'!AP179</f>
        <v>4.4267142259510646</v>
      </c>
      <c r="AC179" s="4">
        <f>'[35]Predicted Gas Prices'!AQ179</f>
        <v>3.5732155522880875</v>
      </c>
      <c r="AD179" s="4">
        <f>'[36]Predicted LPG Prices'!AP179</f>
        <v>7.2112288980627239</v>
      </c>
      <c r="AE179" s="4">
        <f>'[37]Predicted Coal Prices'!AP179</f>
        <v>1.9014751570357209</v>
      </c>
      <c r="AF179" s="4">
        <v>0</v>
      </c>
      <c r="AG179" s="4">
        <v>0</v>
      </c>
      <c r="AH179" s="4"/>
      <c r="AI179" s="17" t="s">
        <v>14</v>
      </c>
      <c r="AJ179" s="115">
        <f t="shared" si="61"/>
        <v>3.2411633317376394</v>
      </c>
    </row>
    <row r="180" spans="4:36" x14ac:dyDescent="0.2">
      <c r="D180" s="27">
        <f>[13]Quantity_shares!BB406</f>
        <v>2006</v>
      </c>
      <c r="E180" s="27" t="str">
        <f>[13]Quantity_shares!BC406</f>
        <v>314</v>
      </c>
      <c r="F180" s="28">
        <f>[13]Quantity_shares!BD406</f>
        <v>0.88461538461538458</v>
      </c>
      <c r="G180" s="28">
        <f>[13]Quantity_shares!BE406</f>
        <v>3.8461538461538464E-2</v>
      </c>
      <c r="H180" s="28">
        <f>[13]Quantity_shares!BF406</f>
        <v>5.7692307692307696E-2</v>
      </c>
      <c r="I180" s="28">
        <f>[13]Quantity_shares!BG406</f>
        <v>1.9230769230769232E-2</v>
      </c>
      <c r="Q180" s="26">
        <f t="shared" ref="Q180:U180" si="90">0.333*Q138+0.667*Q201</f>
        <v>8.7243706459537607E-2</v>
      </c>
      <c r="R180" s="26">
        <f t="shared" si="90"/>
        <v>3.9264400291066884E-2</v>
      </c>
      <c r="S180" s="26">
        <f t="shared" si="90"/>
        <v>0.65035506972197576</v>
      </c>
      <c r="T180" s="26">
        <f t="shared" si="90"/>
        <v>1.4379912954214806E-2</v>
      </c>
      <c r="U180" s="26">
        <f t="shared" si="90"/>
        <v>0.208756910573205</v>
      </c>
      <c r="V180" s="26">
        <v>0</v>
      </c>
      <c r="W180" s="26">
        <v>0</v>
      </c>
      <c r="X180" s="26">
        <f t="shared" si="69"/>
        <v>1</v>
      </c>
      <c r="Y180" s="34"/>
      <c r="AA180" s="4">
        <f>'[33]Predicted Residual Prices'!AP180</f>
        <v>2.7801102088197829</v>
      </c>
      <c r="AB180" s="4">
        <f>'[34]Predicted Distillate Prices'!AP180</f>
        <v>4.2753829777099321</v>
      </c>
      <c r="AC180" s="4">
        <f>'[35]Predicted Gas Prices'!AQ180</f>
        <v>3.5731168713972385</v>
      </c>
      <c r="AD180" s="4">
        <f>'[36]Predicted LPG Prices'!AP180</f>
        <v>6.8446796338930485</v>
      </c>
      <c r="AE180" s="4">
        <f>'[37]Predicted Coal Prices'!AP180</f>
        <v>1.9088257100363359</v>
      </c>
      <c r="AF180" s="4">
        <v>0</v>
      </c>
      <c r="AG180" s="4">
        <v>0</v>
      </c>
      <c r="AH180" s="4"/>
      <c r="AI180" s="17" t="s">
        <v>16</v>
      </c>
      <c r="AJ180" s="115">
        <f t="shared" si="61"/>
        <v>3.231118595024931</v>
      </c>
    </row>
    <row r="181" spans="4:36" x14ac:dyDescent="0.2">
      <c r="D181" s="27">
        <f>[13]Quantity_shares!BB407</f>
        <v>2006</v>
      </c>
      <c r="E181" s="27" t="str">
        <f>[13]Quantity_shares!BC407</f>
        <v>315</v>
      </c>
      <c r="F181" s="28">
        <f>[13]Quantity_shares!BD407</f>
        <v>0.93150684931506722</v>
      </c>
      <c r="G181" s="28">
        <f>[13]Quantity_shares!BE407</f>
        <v>4.1095890410958846E-2</v>
      </c>
      <c r="H181" s="28">
        <f>[13]Quantity_shares!BF407</f>
        <v>1.3698630136986284E-15</v>
      </c>
      <c r="I181" s="28">
        <f>[13]Quantity_shares!BG407</f>
        <v>2.739726027397257E-2</v>
      </c>
      <c r="Q181" s="26">
        <f t="shared" ref="Q181:U181" si="91">0.333*Q139+0.667*Q202</f>
        <v>3.7296038385947583E-2</v>
      </c>
      <c r="R181" s="26">
        <f t="shared" si="91"/>
        <v>2.6081091776667738E-2</v>
      </c>
      <c r="S181" s="26">
        <f t="shared" si="91"/>
        <v>0.83199433609597939</v>
      </c>
      <c r="T181" s="26">
        <f t="shared" si="91"/>
        <v>2.3794257687870184E-2</v>
      </c>
      <c r="U181" s="26">
        <f t="shared" si="91"/>
        <v>8.0834276053535215E-2</v>
      </c>
      <c r="V181" s="26">
        <v>0</v>
      </c>
      <c r="W181" s="26">
        <v>0</v>
      </c>
      <c r="X181" s="26">
        <f t="shared" si="69"/>
        <v>1</v>
      </c>
      <c r="Y181" s="34"/>
      <c r="AA181" s="4">
        <f>'[33]Predicted Residual Prices'!AP181</f>
        <v>3.0106731461545571</v>
      </c>
      <c r="AB181" s="4">
        <f>'[34]Predicted Distillate Prices'!AP181</f>
        <v>5.4499246403879065</v>
      </c>
      <c r="AC181" s="4">
        <f>'[35]Predicted Gas Prices'!AQ181</f>
        <v>4.101734893445748</v>
      </c>
      <c r="AD181" s="4">
        <f>'[36]Predicted LPG Prices'!AP181</f>
        <v>8.6921686413090864</v>
      </c>
      <c r="AE181" s="4">
        <f>'[37]Predicted Coal Prices'!AP181</f>
        <v>2.4053972640938031</v>
      </c>
      <c r="AF181" s="4">
        <v>0</v>
      </c>
      <c r="AG181" s="4">
        <v>0</v>
      </c>
      <c r="AH181" s="4"/>
      <c r="AI181" s="17" t="s">
        <v>18</v>
      </c>
      <c r="AJ181" s="115">
        <f t="shared" si="61"/>
        <v>4.0683086124444188</v>
      </c>
    </row>
    <row r="182" spans="4:36" x14ac:dyDescent="0.2">
      <c r="D182" s="27">
        <f>[13]Quantity_shares!BB408</f>
        <v>2006</v>
      </c>
      <c r="E182" s="27" t="str">
        <f>[13]Quantity_shares!BC408</f>
        <v>316</v>
      </c>
      <c r="F182" s="28">
        <f>[13]Quantity_shares!BD408</f>
        <v>0.71428571428570919</v>
      </c>
      <c r="G182" s="28">
        <f>[13]Quantity_shares!BE408</f>
        <v>0.14285714285714185</v>
      </c>
      <c r="H182" s="28">
        <f>[13]Quantity_shares!BF408</f>
        <v>7.1428571428570917E-15</v>
      </c>
      <c r="I182" s="28">
        <f>[13]Quantity_shares!BG408</f>
        <v>0.14285714285714185</v>
      </c>
      <c r="Q182" s="26">
        <f t="shared" ref="Q182:U182" si="92">0.333*Q140+0.667*Q203</f>
        <v>0.21613038811849244</v>
      </c>
      <c r="R182" s="26">
        <f t="shared" si="92"/>
        <v>0.15242566695297297</v>
      </c>
      <c r="S182" s="26">
        <f t="shared" si="92"/>
        <v>0.61255730379072237</v>
      </c>
      <c r="T182" s="26">
        <f t="shared" si="92"/>
        <v>1.8886641137812167E-2</v>
      </c>
      <c r="U182" s="26">
        <f t="shared" si="92"/>
        <v>0</v>
      </c>
      <c r="V182" s="26">
        <v>0</v>
      </c>
      <c r="W182" s="26">
        <v>0</v>
      </c>
      <c r="X182" s="26">
        <f t="shared" si="69"/>
        <v>0.99999999999999989</v>
      </c>
      <c r="Y182" s="34"/>
      <c r="AA182" s="4">
        <f>'[33]Predicted Residual Prices'!AP182</f>
        <v>2.2493157076857431</v>
      </c>
      <c r="AB182" s="4">
        <f>'[34]Predicted Distillate Prices'!AP182</f>
        <v>4.0504127640938776</v>
      </c>
      <c r="AC182" s="4">
        <f>'[35]Predicted Gas Prices'!AQ182</f>
        <v>3.5093708786078324</v>
      </c>
      <c r="AD182" s="4">
        <f>'[36]Predicted LPG Prices'!AP182</f>
        <v>7.6394379369993874</v>
      </c>
      <c r="AE182" s="4">
        <f>'[37]Predicted Coal Prices'!AP182</f>
        <v>1.7612376437279744</v>
      </c>
      <c r="AF182" s="4">
        <v>0</v>
      </c>
      <c r="AG182" s="4">
        <v>0</v>
      </c>
      <c r="AH182" s="4"/>
      <c r="AI182" s="17" t="s">
        <v>20</v>
      </c>
      <c r="AJ182" s="115">
        <f t="shared" si="61"/>
        <v>3.3975064301173732</v>
      </c>
    </row>
    <row r="183" spans="4:36" x14ac:dyDescent="0.2">
      <c r="D183" s="27">
        <f>[13]Quantity_shares!BB409</f>
        <v>2006</v>
      </c>
      <c r="E183" s="27" t="str">
        <f>[13]Quantity_shares!BC409</f>
        <v>321</v>
      </c>
      <c r="F183" s="28">
        <f>[13]Quantity_shares!BD409</f>
        <v>0.24293785310734464</v>
      </c>
      <c r="G183" s="28">
        <f>[13]Quantity_shares!BE409</f>
        <v>5.3672316384180789E-2</v>
      </c>
      <c r="H183" s="28">
        <f>[13]Quantity_shares!BF409</f>
        <v>4.519774011299435E-2</v>
      </c>
      <c r="I183" s="28">
        <f>[13]Quantity_shares!BG409</f>
        <v>0.65819209039548021</v>
      </c>
      <c r="Q183" s="26">
        <f t="shared" ref="Q183:U183" si="93">0.333*Q141+0.667*Q204</f>
        <v>2.8285547990579099E-2</v>
      </c>
      <c r="R183" s="26">
        <f t="shared" si="93"/>
        <v>0.26227342052025626</v>
      </c>
      <c r="S183" s="26">
        <f t="shared" si="93"/>
        <v>0.62797928105442513</v>
      </c>
      <c r="T183" s="26">
        <f t="shared" si="93"/>
        <v>5.2181325956097757E-2</v>
      </c>
      <c r="U183" s="26">
        <f t="shared" si="93"/>
        <v>2.9280424478641598E-2</v>
      </c>
      <c r="V183" s="26">
        <v>0</v>
      </c>
      <c r="W183" s="26">
        <v>0</v>
      </c>
      <c r="X183" s="26">
        <f t="shared" si="69"/>
        <v>0.99999999999999978</v>
      </c>
      <c r="Y183" s="34"/>
      <c r="AA183" s="4">
        <f>'[33]Predicted Residual Prices'!AP183</f>
        <v>2.489048164203524</v>
      </c>
      <c r="AB183" s="4">
        <f>'[34]Predicted Distillate Prices'!AP183</f>
        <v>6.0865535969375646</v>
      </c>
      <c r="AC183" s="4">
        <f>'[35]Predicted Gas Prices'!AQ183</f>
        <v>3.3593595855306941</v>
      </c>
      <c r="AD183" s="4">
        <f>'[36]Predicted LPG Prices'!AP183</f>
        <v>6.7967683070091311</v>
      </c>
      <c r="AE183" s="4">
        <f>'[37]Predicted Coal Prices'!AP183</f>
        <v>2.506551867864264</v>
      </c>
      <c r="AF183" s="4">
        <v>0</v>
      </c>
      <c r="AG183" s="4">
        <v>0</v>
      </c>
      <c r="AH183" s="4"/>
      <c r="AI183" s="17" t="s">
        <v>22</v>
      </c>
      <c r="AJ183" s="115">
        <f t="shared" si="61"/>
        <v>4.2044108248178986</v>
      </c>
    </row>
    <row r="184" spans="4:36" x14ac:dyDescent="0.2">
      <c r="D184" s="27">
        <f>[13]Quantity_shares!BB410</f>
        <v>2006</v>
      </c>
      <c r="E184" s="27" t="str">
        <f>[13]Quantity_shares!BC410</f>
        <v>322</v>
      </c>
      <c r="F184" s="28">
        <f>[13]Quantity_shares!BD410</f>
        <v>0.22507122507122507</v>
      </c>
      <c r="G184" s="28">
        <f>[13]Quantity_shares!BE410</f>
        <v>4.9382716049382713E-2</v>
      </c>
      <c r="H184" s="28">
        <f>[13]Quantity_shares!BF410</f>
        <v>0.10493827160493827</v>
      </c>
      <c r="I184" s="28">
        <f>[13]Quantity_shares!BG410</f>
        <v>0.62060778727445398</v>
      </c>
      <c r="Q184" s="26">
        <f t="shared" ref="Q184:U184" si="94">0.333*Q142+0.667*Q205</f>
        <v>0.15982792934239834</v>
      </c>
      <c r="R184" s="26">
        <f t="shared" si="94"/>
        <v>8.7024307777088562E-3</v>
      </c>
      <c r="S184" s="26">
        <f t="shared" si="94"/>
        <v>0.54128230124413812</v>
      </c>
      <c r="T184" s="26">
        <f t="shared" si="94"/>
        <v>4.6244122440914463E-3</v>
      </c>
      <c r="U184" s="26">
        <f t="shared" si="94"/>
        <v>0.28556292639166325</v>
      </c>
      <c r="V184" s="26">
        <v>0</v>
      </c>
      <c r="W184" s="26">
        <v>0</v>
      </c>
      <c r="X184" s="26">
        <f t="shared" si="69"/>
        <v>1</v>
      </c>
      <c r="Y184" s="34"/>
      <c r="AA184" s="4">
        <f>'[33]Predicted Residual Prices'!AP184</f>
        <v>2.3921164872493108</v>
      </c>
      <c r="AB184" s="4">
        <f>'[34]Predicted Distillate Prices'!AP184</f>
        <v>4.5808519046852529</v>
      </c>
      <c r="AC184" s="4">
        <f>'[35]Predicted Gas Prices'!AQ184</f>
        <v>2.526319830019867</v>
      </c>
      <c r="AD184" s="4">
        <f>'[36]Predicted LPG Prices'!AP184</f>
        <v>7.9441313667774196</v>
      </c>
      <c r="AE184" s="4">
        <f>'[37]Predicted Coal Prices'!AP184</f>
        <v>1.8478848540689308</v>
      </c>
      <c r="AF184" s="4">
        <v>0</v>
      </c>
      <c r="AG184" s="4">
        <v>0</v>
      </c>
      <c r="AH184" s="4"/>
      <c r="AI184" s="17" t="s">
        <v>24</v>
      </c>
      <c r="AJ184" s="115">
        <f t="shared" si="61"/>
        <v>2.3540681277021336</v>
      </c>
    </row>
    <row r="185" spans="4:36" x14ac:dyDescent="0.2">
      <c r="D185" s="27">
        <f>[13]Quantity_shares!BB411</f>
        <v>2006</v>
      </c>
      <c r="E185" s="27" t="str">
        <f>[13]Quantity_shares!BC411</f>
        <v>323</v>
      </c>
      <c r="F185" s="28">
        <f>[13]Quantity_shares!BD411</f>
        <v>0.95588235294117618</v>
      </c>
      <c r="G185" s="28">
        <f>[13]Quantity_shares!BE411</f>
        <v>1.4705882352941171E-2</v>
      </c>
      <c r="H185" s="28">
        <f>[13]Quantity_shares!BF411</f>
        <v>2.4509803921568622E-16</v>
      </c>
      <c r="I185" s="28">
        <f>[13]Quantity_shares!BG411</f>
        <v>2.9411764705882342E-2</v>
      </c>
      <c r="Q185" s="26">
        <f t="shared" ref="Q185:U185" si="95">0.333*Q143+0.667*Q206</f>
        <v>6.0029935277170496E-3</v>
      </c>
      <c r="R185" s="26">
        <f t="shared" si="95"/>
        <v>3.459479242873871E-2</v>
      </c>
      <c r="S185" s="26">
        <f t="shared" si="95"/>
        <v>0.94706658511211328</v>
      </c>
      <c r="T185" s="26">
        <f t="shared" si="95"/>
        <v>1.2335628931430944E-2</v>
      </c>
      <c r="U185" s="26">
        <f t="shared" si="95"/>
        <v>0</v>
      </c>
      <c r="V185" s="26">
        <v>0</v>
      </c>
      <c r="W185" s="26">
        <v>0</v>
      </c>
      <c r="X185" s="26">
        <f t="shared" si="69"/>
        <v>1</v>
      </c>
      <c r="Y185" s="34"/>
      <c r="AA185" s="4">
        <f>'[33]Predicted Residual Prices'!AP185</f>
        <v>3.3405218460622104</v>
      </c>
      <c r="AB185" s="4">
        <f>'[34]Predicted Distillate Prices'!AP185</f>
        <v>5.772441989310674</v>
      </c>
      <c r="AC185" s="4">
        <f>'[35]Predicted Gas Prices'!AQ185</f>
        <v>4.0792798376248722</v>
      </c>
      <c r="AD185" s="4">
        <f>'[36]Predicted LPG Prices'!AP185</f>
        <v>8.6285455304606078</v>
      </c>
      <c r="AE185" s="4">
        <f>'[37]Predicted Coal Prices'!AP185</f>
        <v>1.947808092900265</v>
      </c>
      <c r="AF185" s="4">
        <v>0</v>
      </c>
      <c r="AG185" s="4">
        <v>0</v>
      </c>
      <c r="AH185" s="4"/>
      <c r="AI185" s="17" t="s">
        <v>26</v>
      </c>
      <c r="AJ185" s="115">
        <f t="shared" si="61"/>
        <v>4.1895377248660504</v>
      </c>
    </row>
    <row r="186" spans="4:36" x14ac:dyDescent="0.2">
      <c r="D186" s="27">
        <f>[13]Quantity_shares!BB412</f>
        <v>2006</v>
      </c>
      <c r="E186" s="27" t="str">
        <f>[13]Quantity_shares!BC412</f>
        <v>324</v>
      </c>
      <c r="F186" s="28">
        <f>[13]Quantity_shares!BD412</f>
        <v>0.26042944785276073</v>
      </c>
      <c r="G186" s="28">
        <f>[13]Quantity_shares!BE412</f>
        <v>2.5460122699386502E-2</v>
      </c>
      <c r="H186" s="28">
        <f>[13]Quantity_shares!BF412</f>
        <v>1.6257668711656442E-2</v>
      </c>
      <c r="I186" s="28">
        <f>[13]Quantity_shares!BG412</f>
        <v>0.69785276073619629</v>
      </c>
      <c r="Q186" s="26">
        <f t="shared" ref="Q186:U186" si="96">0.333*Q144+0.667*Q207</f>
        <v>3.1302005154647983E-2</v>
      </c>
      <c r="R186" s="26">
        <f t="shared" si="96"/>
        <v>1.9395042078153148E-2</v>
      </c>
      <c r="S186" s="26">
        <f t="shared" si="96"/>
        <v>0.91827998646740883</v>
      </c>
      <c r="T186" s="26">
        <f t="shared" si="96"/>
        <v>2.641203294565387E-2</v>
      </c>
      <c r="U186" s="26">
        <f t="shared" si="96"/>
        <v>4.6109333541362483E-3</v>
      </c>
      <c r="V186" s="26">
        <v>0</v>
      </c>
      <c r="W186" s="26">
        <v>0</v>
      </c>
      <c r="X186" s="26">
        <f t="shared" si="69"/>
        <v>1</v>
      </c>
      <c r="Y186" s="34"/>
      <c r="AA186" s="4">
        <f>'[33]Predicted Residual Prices'!AP186</f>
        <v>2.8722013237567294</v>
      </c>
      <c r="AB186" s="4">
        <f>'[34]Predicted Distillate Prices'!AP186</f>
        <v>4.6787660484264615</v>
      </c>
      <c r="AC186" s="4">
        <f>'[35]Predicted Gas Prices'!AQ186</f>
        <v>2.231381084434152</v>
      </c>
      <c r="AD186" s="4">
        <f>'[36]Predicted LPG Prices'!AP186</f>
        <v>6.0908434688827509</v>
      </c>
      <c r="AE186" s="4">
        <f>'[37]Predicted Coal Prices'!AP186</f>
        <v>1.478587144474766</v>
      </c>
      <c r="AF186" s="4">
        <v>0</v>
      </c>
      <c r="AG186" s="4">
        <v>0</v>
      </c>
      <c r="AH186" s="4"/>
      <c r="AI186" s="17" t="s">
        <v>28</v>
      </c>
      <c r="AJ186" s="115">
        <f t="shared" si="61"/>
        <v>2.3973723421907183</v>
      </c>
    </row>
    <row r="187" spans="4:36" x14ac:dyDescent="0.2">
      <c r="D187" s="27">
        <f>[13]Quantity_shares!BB413</f>
        <v>2006</v>
      </c>
      <c r="E187" s="27" t="str">
        <f>[13]Quantity_shares!BC413</f>
        <v>325</v>
      </c>
      <c r="F187" s="28">
        <f>[13]Quantity_shares!BD413</f>
        <v>0.52073216286888313</v>
      </c>
      <c r="G187" s="28">
        <f>[13]Quantity_shares!BE413</f>
        <v>1.1953679491968622E-2</v>
      </c>
      <c r="H187" s="28">
        <f>[13]Quantity_shares!BF413</f>
        <v>6.2383264848711241E-2</v>
      </c>
      <c r="I187" s="28">
        <f>[13]Quantity_shares!BG413</f>
        <v>0.40493089279043704</v>
      </c>
      <c r="Q187" s="26">
        <f t="shared" ref="Q187:U187" si="97">0.333*Q145+0.667*Q208</f>
        <v>2.5902624201835964E-2</v>
      </c>
      <c r="R187" s="26">
        <f t="shared" si="97"/>
        <v>5.8520456582231914E-3</v>
      </c>
      <c r="S187" s="26">
        <f t="shared" si="97"/>
        <v>0.84847952678347383</v>
      </c>
      <c r="T187" s="26">
        <f t="shared" si="97"/>
        <v>1.8419282661331774E-3</v>
      </c>
      <c r="U187" s="26">
        <f t="shared" si="97"/>
        <v>0.11792387509033395</v>
      </c>
      <c r="V187" s="26">
        <v>0</v>
      </c>
      <c r="W187" s="26">
        <v>0</v>
      </c>
      <c r="X187" s="26">
        <f t="shared" si="69"/>
        <v>1</v>
      </c>
      <c r="Y187" s="34"/>
      <c r="AA187" s="4">
        <f>'[33]Predicted Residual Prices'!AP187</f>
        <v>2.9049878318318507</v>
      </c>
      <c r="AB187" s="4">
        <f>'[34]Predicted Distillate Prices'!AP187</f>
        <v>4.9675059709886646</v>
      </c>
      <c r="AC187" s="4">
        <f>'[35]Predicted Gas Prices'!AQ187</f>
        <v>2.1397115116892933</v>
      </c>
      <c r="AD187" s="4">
        <f>'[36]Predicted LPG Prices'!AP187</f>
        <v>5.4482692324706861</v>
      </c>
      <c r="AE187" s="4">
        <f>'[37]Predicted Coal Prices'!AP187</f>
        <v>1.6645747111514735</v>
      </c>
      <c r="AF187" s="4">
        <v>0</v>
      </c>
      <c r="AG187" s="4">
        <v>0</v>
      </c>
      <c r="AH187" s="4"/>
      <c r="AI187" s="17" t="s">
        <v>30</v>
      </c>
      <c r="AJ187" s="115">
        <f t="shared" si="61"/>
        <v>2.1261467121769986</v>
      </c>
    </row>
    <row r="188" spans="4:36" x14ac:dyDescent="0.2">
      <c r="D188" s="27">
        <f>[13]Quantity_shares!BB414</f>
        <v>2006</v>
      </c>
      <c r="E188" s="27" t="str">
        <f>[13]Quantity_shares!BC414</f>
        <v>326</v>
      </c>
      <c r="F188" s="28">
        <f>[13]Quantity_shares!BD414</f>
        <v>0.82844096542726675</v>
      </c>
      <c r="G188" s="28">
        <f>[13]Quantity_shares!BE414</f>
        <v>7.8277886497064575E-2</v>
      </c>
      <c r="H188" s="28">
        <f>[13]Quantity_shares!BF414</f>
        <v>5.8708414872798431E-2</v>
      </c>
      <c r="I188" s="28">
        <f>[13]Quantity_shares!BG414</f>
        <v>3.4572733202870187E-2</v>
      </c>
      <c r="Q188" s="26">
        <f t="shared" ref="Q188:U188" si="98">0.333*Q146+0.667*Q209</f>
        <v>7.3758587847623569E-2</v>
      </c>
      <c r="R188" s="26">
        <f t="shared" si="98"/>
        <v>2.4487935459452187E-2</v>
      </c>
      <c r="S188" s="26">
        <f t="shared" si="98"/>
        <v>0.83533786475277483</v>
      </c>
      <c r="T188" s="26">
        <f t="shared" si="98"/>
        <v>2.3262318916912245E-2</v>
      </c>
      <c r="U188" s="26">
        <f t="shared" si="98"/>
        <v>4.3153293023237241E-2</v>
      </c>
      <c r="V188" s="26">
        <v>0</v>
      </c>
      <c r="W188" s="26">
        <v>0</v>
      </c>
      <c r="X188" s="26">
        <f t="shared" si="69"/>
        <v>1</v>
      </c>
      <c r="Y188" s="34"/>
      <c r="AA188" s="4">
        <f>'[33]Predicted Residual Prices'!AP188</f>
        <v>2.519372241179457</v>
      </c>
      <c r="AB188" s="4">
        <f>'[34]Predicted Distillate Prices'!AP188</f>
        <v>4.8905456330637644</v>
      </c>
      <c r="AC188" s="4">
        <f>'[35]Predicted Gas Prices'!AQ188</f>
        <v>3.4825072194551732</v>
      </c>
      <c r="AD188" s="4">
        <f>'[36]Predicted LPG Prices'!AP188</f>
        <v>8.0100643320239939</v>
      </c>
      <c r="AE188" s="4">
        <f>'[37]Predicted Coal Prices'!AP188</f>
        <v>2.2358803836361156</v>
      </c>
      <c r="AF188" s="4">
        <v>0</v>
      </c>
      <c r="AG188" s="4">
        <v>0</v>
      </c>
      <c r="AH188" s="4"/>
      <c r="AI188" s="17" t="s">
        <v>32</v>
      </c>
      <c r="AJ188" s="115">
        <f t="shared" si="61"/>
        <v>3.4974731216781607</v>
      </c>
    </row>
    <row r="189" spans="4:36" x14ac:dyDescent="0.2">
      <c r="D189" s="27">
        <f>[13]Quantity_shares!BB415</f>
        <v>2006</v>
      </c>
      <c r="E189" s="27" t="str">
        <f>[13]Quantity_shares!BC415</f>
        <v>327</v>
      </c>
      <c r="F189" s="28">
        <f>[13]Quantity_shares!BD415</f>
        <v>0.4791231732776618</v>
      </c>
      <c r="G189" s="28">
        <f>[13]Quantity_shares!BE415</f>
        <v>3.444676409185804E-2</v>
      </c>
      <c r="H189" s="28">
        <f>[13]Quantity_shares!BF415</f>
        <v>0.3455114822546973</v>
      </c>
      <c r="I189" s="28">
        <f>[13]Quantity_shares!BG415</f>
        <v>0.14091858037578289</v>
      </c>
      <c r="Q189" s="26">
        <f t="shared" ref="Q189:U189" si="99">0.333*Q147+0.667*Q210</f>
        <v>1.076397067328432E-2</v>
      </c>
      <c r="R189" s="26">
        <f t="shared" si="99"/>
        <v>2.9783625246010803E-2</v>
      </c>
      <c r="S189" s="26">
        <f t="shared" si="99"/>
        <v>0.57057405117853499</v>
      </c>
      <c r="T189" s="26">
        <f t="shared" si="99"/>
        <v>4.4333723398658166E-3</v>
      </c>
      <c r="U189" s="26">
        <f t="shared" si="99"/>
        <v>0.38444498056230419</v>
      </c>
      <c r="V189" s="26">
        <v>0</v>
      </c>
      <c r="W189" s="26">
        <v>0</v>
      </c>
      <c r="X189" s="26">
        <f t="shared" si="69"/>
        <v>1.0000000000000002</v>
      </c>
      <c r="Y189" s="34"/>
      <c r="AA189" s="4">
        <f>'[33]Predicted Residual Prices'!AP189</f>
        <v>2.7630274077181762</v>
      </c>
      <c r="AB189" s="4">
        <f>'[34]Predicted Distillate Prices'!AP189</f>
        <v>5.5548449529289607</v>
      </c>
      <c r="AC189" s="4">
        <f>'[35]Predicted Gas Prices'!AQ189</f>
        <v>3.3706472008410686</v>
      </c>
      <c r="AD189" s="4">
        <f>'[36]Predicted LPG Prices'!AP189</f>
        <v>7.5101044282431104</v>
      </c>
      <c r="AE189" s="4">
        <f>'[37]Predicted Coal Prices'!AP189</f>
        <v>1.6387107560897611</v>
      </c>
      <c r="AF189" s="4">
        <v>0</v>
      </c>
      <c r="AG189" s="4">
        <v>0</v>
      </c>
      <c r="AH189" s="4"/>
      <c r="AI189" s="17" t="s">
        <v>34</v>
      </c>
      <c r="AJ189" s="115">
        <f t="shared" si="61"/>
        <v>2.7816776088552109</v>
      </c>
    </row>
    <row r="190" spans="4:36" x14ac:dyDescent="0.2">
      <c r="D190" s="27">
        <f>[13]Quantity_shares!BB416</f>
        <v>2006</v>
      </c>
      <c r="E190" s="27" t="str">
        <f>[13]Quantity_shares!BC416</f>
        <v>331</v>
      </c>
      <c r="F190" s="28">
        <f>[13]Quantity_shares!BD416</f>
        <v>0.45489891135303268</v>
      </c>
      <c r="G190" s="28">
        <f>[13]Quantity_shares!BE416</f>
        <v>1.9440124416796267E-2</v>
      </c>
      <c r="H190" s="28">
        <f>[13]Quantity_shares!BF416</f>
        <v>0.29548989113530327</v>
      </c>
      <c r="I190" s="28">
        <f>[13]Quantity_shares!BG416</f>
        <v>0.23017107309486781</v>
      </c>
      <c r="Q190" s="26">
        <f t="shared" ref="Q190:V190" si="100">0.333*Q148+0.667*Q211</f>
        <v>3.2407914710126641E-2</v>
      </c>
      <c r="R190" s="26">
        <f t="shared" si="100"/>
        <v>9.610026553780935E-3</v>
      </c>
      <c r="S190" s="26">
        <f t="shared" si="100"/>
        <v>0.62300885437145581</v>
      </c>
      <c r="T190" s="26">
        <f t="shared" si="100"/>
        <v>3.7028509955298614E-3</v>
      </c>
      <c r="U190" s="26">
        <f t="shared" si="100"/>
        <v>4.0293061117801399E-2</v>
      </c>
      <c r="V190" s="26">
        <f t="shared" si="100"/>
        <v>0.29097729225130542</v>
      </c>
      <c r="W190" s="26">
        <v>0</v>
      </c>
      <c r="X190" s="26">
        <f t="shared" si="69"/>
        <v>1</v>
      </c>
      <c r="Y190" s="34"/>
      <c r="AA190" s="4">
        <f>'[33]Predicted Residual Prices'!AP190</f>
        <v>2.3507593526051149</v>
      </c>
      <c r="AB190" s="4">
        <f>'[34]Predicted Distillate Prices'!AP190</f>
        <v>4.9094891161972685</v>
      </c>
      <c r="AC190" s="4">
        <f>'[35]Predicted Gas Prices'!AQ190</f>
        <v>2.7445676135333321</v>
      </c>
      <c r="AD190" s="4">
        <f>'[36]Predicted LPG Prices'!AP190</f>
        <v>6.4969417518051014</v>
      </c>
      <c r="AE190" s="4">
        <f>'[37]Predicted Coal Prices'!AP190</f>
        <v>1.8302213125872862</v>
      </c>
      <c r="AF190" s="36">
        <f>3*AE190</f>
        <v>5.4906639377618589</v>
      </c>
      <c r="AG190" s="4">
        <v>0</v>
      </c>
      <c r="AH190" s="4"/>
      <c r="AI190" s="17" t="s">
        <v>36</v>
      </c>
      <c r="AJ190" s="115">
        <f t="shared" si="61"/>
        <v>3.5287144057404038</v>
      </c>
    </row>
    <row r="191" spans="4:36" x14ac:dyDescent="0.2">
      <c r="D191" s="27">
        <f>[13]Quantity_shares!BB417</f>
        <v>2006</v>
      </c>
      <c r="E191" s="27" t="str">
        <f>[13]Quantity_shares!BC417</f>
        <v>332</v>
      </c>
      <c r="F191" s="28">
        <f>[13]Quantity_shares!BD417</f>
        <v>0.94824180165942318</v>
      </c>
      <c r="G191" s="28">
        <f>[13]Quantity_shares!BE417</f>
        <v>9.8775187672856587E-3</v>
      </c>
      <c r="H191" s="28">
        <f>[13]Quantity_shares!BF417</f>
        <v>3.9510075069142635E-4</v>
      </c>
      <c r="I191" s="28">
        <f>[13]Quantity_shares!BG417</f>
        <v>4.1485578822599761E-2</v>
      </c>
      <c r="Q191" s="26">
        <f t="shared" ref="Q191:U191" si="101">0.333*Q149+0.667*Q212</f>
        <v>1.4400045861936998E-2</v>
      </c>
      <c r="R191" s="26">
        <f t="shared" si="101"/>
        <v>2.322094307522635E-2</v>
      </c>
      <c r="S191" s="26">
        <f t="shared" si="101"/>
        <v>0.90742203335870553</v>
      </c>
      <c r="T191" s="26">
        <f t="shared" si="101"/>
        <v>2.0708840772456744E-2</v>
      </c>
      <c r="U191" s="26">
        <f t="shared" si="101"/>
        <v>3.4248136931674493E-2</v>
      </c>
      <c r="V191" s="26">
        <v>0</v>
      </c>
      <c r="W191" s="26">
        <v>0</v>
      </c>
      <c r="X191" s="26">
        <f t="shared" si="69"/>
        <v>1</v>
      </c>
      <c r="Y191" s="34"/>
      <c r="AA191" s="4">
        <f>'[33]Predicted Residual Prices'!AP191</f>
        <v>3.442102151229145</v>
      </c>
      <c r="AB191" s="4">
        <f>'[34]Predicted Distillate Prices'!AP191</f>
        <v>5.5960822490781821</v>
      </c>
      <c r="AC191" s="4">
        <f>'[35]Predicted Gas Prices'!AQ191</f>
        <v>3.6141304818386319</v>
      </c>
      <c r="AD191" s="4">
        <f>'[36]Predicted LPG Prices'!AP191</f>
        <v>8.7543252723234826</v>
      </c>
      <c r="AE191" s="4">
        <f>'[37]Predicted Coal Prices'!AP191</f>
        <v>2.0491382982875344</v>
      </c>
      <c r="AF191" s="4">
        <v>0</v>
      </c>
      <c r="AG191" s="4">
        <v>0</v>
      </c>
      <c r="AH191" s="4"/>
      <c r="AI191" s="17" t="s">
        <v>38</v>
      </c>
      <c r="AJ191" s="115">
        <f t="shared" si="61"/>
        <v>3.7105254640095215</v>
      </c>
    </row>
    <row r="192" spans="4:36" x14ac:dyDescent="0.2">
      <c r="D192" s="27">
        <f>[13]Quantity_shares!BB418</f>
        <v>2006</v>
      </c>
      <c r="E192" s="27" t="str">
        <f>[13]Quantity_shares!BC418</f>
        <v>333</v>
      </c>
      <c r="F192" s="28">
        <f>[13]Quantity_shares!BD418</f>
        <v>0.90322580645161288</v>
      </c>
      <c r="G192" s="28">
        <f>[13]Quantity_shares!BE418</f>
        <v>3.2258064516129031E-2</v>
      </c>
      <c r="H192" s="28">
        <f>[13]Quantity_shares!BF418</f>
        <v>1.0752688172043012E-2</v>
      </c>
      <c r="I192" s="28">
        <f>[13]Quantity_shares!BG418</f>
        <v>5.3763440860215055E-2</v>
      </c>
      <c r="Q192" s="26">
        <f t="shared" ref="Q192:U192" si="102">0.333*Q150+0.667*Q213</f>
        <v>2.5614511583017148E-2</v>
      </c>
      <c r="R192" s="26">
        <f t="shared" si="102"/>
        <v>2.8927965453937301E-2</v>
      </c>
      <c r="S192" s="26">
        <f t="shared" si="102"/>
        <v>0.79234083881795603</v>
      </c>
      <c r="T192" s="26">
        <f t="shared" si="102"/>
        <v>1.8941332070386986E-2</v>
      </c>
      <c r="U192" s="26">
        <f t="shared" si="102"/>
        <v>0.13417535207470252</v>
      </c>
      <c r="V192" s="26">
        <v>0</v>
      </c>
      <c r="W192" s="26">
        <v>0</v>
      </c>
      <c r="X192" s="26">
        <f t="shared" si="69"/>
        <v>1</v>
      </c>
      <c r="Y192" s="34"/>
      <c r="AA192" s="4">
        <f>'[33]Predicted Residual Prices'!AP192</f>
        <v>3.0276902267134109</v>
      </c>
      <c r="AB192" s="4">
        <f>'[34]Predicted Distillate Prices'!AP192</f>
        <v>5.4269292776415714</v>
      </c>
      <c r="AC192" s="4">
        <f>'[35]Predicted Gas Prices'!AQ192</f>
        <v>3.7463874086842663</v>
      </c>
      <c r="AD192" s="4">
        <f>'[36]Predicted LPG Prices'!AP192</f>
        <v>9.1299189765560396</v>
      </c>
      <c r="AE192" s="4">
        <f>'[37]Predicted Coal Prices'!AP192</f>
        <v>1.6183711177480331</v>
      </c>
      <c r="AF192" s="4">
        <v>0</v>
      </c>
      <c r="AG192" s="4">
        <v>0</v>
      </c>
      <c r="AH192" s="4"/>
      <c r="AI192" s="17" t="s">
        <v>40</v>
      </c>
      <c r="AJ192" s="115">
        <f t="shared" si="61"/>
        <v>3.593036912602483</v>
      </c>
    </row>
    <row r="193" spans="4:36" x14ac:dyDescent="0.2">
      <c r="D193" s="27">
        <f>[13]Quantity_shares!BB419</f>
        <v>2006</v>
      </c>
      <c r="E193" s="27" t="str">
        <f>[13]Quantity_shares!BC419</f>
        <v>334</v>
      </c>
      <c r="F193" s="28">
        <f>[13]Quantity_shares!BD419</f>
        <v>0.9375</v>
      </c>
      <c r="G193" s="28">
        <f>[13]Quantity_shares!BE419</f>
        <v>3.125E-2</v>
      </c>
      <c r="H193" s="28">
        <f>[13]Quantity_shares!BF419</f>
        <v>2.0833333333333333E-3</v>
      </c>
      <c r="I193" s="28">
        <f>[13]Quantity_shares!BG419</f>
        <v>2.9166666666666664E-2</v>
      </c>
      <c r="Q193" s="26">
        <f t="shared" ref="Q193:U193" si="103">0.333*Q151+0.667*Q214</f>
        <v>4.2947210732627007E-2</v>
      </c>
      <c r="R193" s="26">
        <f t="shared" si="103"/>
        <v>2.1405441303974294E-2</v>
      </c>
      <c r="S193" s="26">
        <f t="shared" si="103"/>
        <v>0.7597366511583129</v>
      </c>
      <c r="T193" s="26">
        <f t="shared" si="103"/>
        <v>1.3859187410209094E-2</v>
      </c>
      <c r="U193" s="26">
        <f t="shared" si="103"/>
        <v>0.16205150939487661</v>
      </c>
      <c r="V193" s="26">
        <v>0</v>
      </c>
      <c r="W193" s="26">
        <v>0</v>
      </c>
      <c r="X193" s="26">
        <f t="shared" si="69"/>
        <v>1</v>
      </c>
      <c r="Y193" s="34"/>
      <c r="AA193" s="4">
        <f>'[33]Predicted Residual Prices'!AP193</f>
        <v>3.2416270730174039</v>
      </c>
      <c r="AB193" s="4">
        <f>'[34]Predicted Distillate Prices'!AP193</f>
        <v>5.257673878270074</v>
      </c>
      <c r="AC193" s="4">
        <f>'[35]Predicted Gas Prices'!AQ193</f>
        <v>3.5565741923876888</v>
      </c>
      <c r="AD193" s="4">
        <f>'[36]Predicted LPG Prices'!AP193</f>
        <v>7.2942412394146796</v>
      </c>
      <c r="AE193" s="4">
        <f>'[37]Predicted Coal Prices'!AP193</f>
        <v>1.656688086406005</v>
      </c>
      <c r="AF193" s="4">
        <v>0</v>
      </c>
      <c r="AG193" s="4">
        <v>0</v>
      </c>
      <c r="AH193" s="4"/>
      <c r="AI193" s="17" t="s">
        <v>42</v>
      </c>
      <c r="AJ193" s="115">
        <f t="shared" si="61"/>
        <v>3.3233824984898468</v>
      </c>
    </row>
    <row r="194" spans="4:36" x14ac:dyDescent="0.2">
      <c r="D194" s="27">
        <f>[13]Quantity_shares!BB420</f>
        <v>2006</v>
      </c>
      <c r="E194" s="27" t="str">
        <f>[13]Quantity_shares!BC420</f>
        <v>335</v>
      </c>
      <c r="F194" s="28">
        <f>[13]Quantity_shares!BD420</f>
        <v>0.94688221709006914</v>
      </c>
      <c r="G194" s="28">
        <f>[13]Quantity_shares!BE420</f>
        <v>1.6166281755196302E-2</v>
      </c>
      <c r="H194" s="28">
        <f>[13]Quantity_shares!BF420</f>
        <v>4.6189376443418013E-3</v>
      </c>
      <c r="I194" s="28">
        <f>[13]Quantity_shares!BG420</f>
        <v>3.2332563510392605E-2</v>
      </c>
      <c r="Q194" s="26">
        <f t="shared" ref="Q194:U194" si="104">0.333*Q152+0.667*Q215</f>
        <v>3.3604187600239227E-2</v>
      </c>
      <c r="R194" s="26">
        <f t="shared" si="104"/>
        <v>2.1410222411732148E-2</v>
      </c>
      <c r="S194" s="26">
        <f t="shared" si="104"/>
        <v>0.92336508288197616</v>
      </c>
      <c r="T194" s="26">
        <f t="shared" si="104"/>
        <v>2.16205071060524E-2</v>
      </c>
      <c r="U194" s="26">
        <f t="shared" si="104"/>
        <v>0</v>
      </c>
      <c r="V194" s="26">
        <v>0</v>
      </c>
      <c r="W194" s="26">
        <v>0</v>
      </c>
      <c r="X194" s="26">
        <f t="shared" si="69"/>
        <v>1</v>
      </c>
      <c r="Y194" s="34"/>
      <c r="AA194" s="4">
        <f>'[33]Predicted Residual Prices'!AP194</f>
        <v>3.3127688721414419</v>
      </c>
      <c r="AB194" s="4">
        <f>'[34]Predicted Distillate Prices'!AP194</f>
        <v>5.2138275315517078</v>
      </c>
      <c r="AC194" s="4">
        <f>'[35]Predicted Gas Prices'!AQ194</f>
        <v>3.6472455824578209</v>
      </c>
      <c r="AD194" s="4">
        <f>'[36]Predicted LPG Prices'!AP194</f>
        <v>7.3907902247094537</v>
      </c>
      <c r="AE194" s="4">
        <f>'[37]Predicted Coal Prices'!AP194</f>
        <v>2.0847772787572016</v>
      </c>
      <c r="AF194" s="4">
        <v>0</v>
      </c>
      <c r="AG194" s="4">
        <v>0</v>
      </c>
      <c r="AH194" s="4"/>
      <c r="AI194" s="17" t="s">
        <v>44</v>
      </c>
      <c r="AJ194" s="115">
        <f t="shared" si="61"/>
        <v>3.7504839658323692</v>
      </c>
    </row>
    <row r="195" spans="4:36" x14ac:dyDescent="0.2">
      <c r="D195" s="27">
        <f>[13]Quantity_shares!BB421</f>
        <v>2006</v>
      </c>
      <c r="E195" s="27" t="str">
        <f>[13]Quantity_shares!BC421</f>
        <v>336</v>
      </c>
      <c r="F195" s="28">
        <f>[13]Quantity_shares!BD421</f>
        <v>0.87737843551797035</v>
      </c>
      <c r="G195" s="28">
        <f>[13]Quantity_shares!BE421</f>
        <v>3.5236081747709654E-2</v>
      </c>
      <c r="H195" s="28">
        <f>[13]Quantity_shares!BF421</f>
        <v>1.7618040873854827E-2</v>
      </c>
      <c r="I195" s="28">
        <f>[13]Quantity_shares!BG421</f>
        <v>6.9767441860465115E-2</v>
      </c>
      <c r="Q195" s="26">
        <f t="shared" ref="Q195:U195" si="105">0.333*Q153+0.667*Q216</f>
        <v>5.4224803118274906E-2</v>
      </c>
      <c r="R195" s="26">
        <f t="shared" si="105"/>
        <v>3.2959155617495711E-2</v>
      </c>
      <c r="S195" s="26">
        <f t="shared" si="105"/>
        <v>0.7641067250994148</v>
      </c>
      <c r="T195" s="26">
        <f t="shared" si="105"/>
        <v>1.1572586877444717E-2</v>
      </c>
      <c r="U195" s="26">
        <f t="shared" si="105"/>
        <v>0.13713672928736995</v>
      </c>
      <c r="V195" s="26">
        <v>0</v>
      </c>
      <c r="W195" s="26">
        <v>0</v>
      </c>
      <c r="X195" s="26">
        <f t="shared" si="69"/>
        <v>1</v>
      </c>
      <c r="Y195" s="34"/>
      <c r="AA195" s="4">
        <f>'[33]Predicted Residual Prices'!AP195</f>
        <v>2.6522095885997654</v>
      </c>
      <c r="AB195" s="4">
        <f>'[34]Predicted Distillate Prices'!AP195</f>
        <v>4.598515739335828</v>
      </c>
      <c r="AC195" s="4">
        <f>'[35]Predicted Gas Prices'!AQ195</f>
        <v>3.3841173281716568</v>
      </c>
      <c r="AD195" s="4">
        <f>'[36]Predicted LPG Prices'!AP195</f>
        <v>8.0617179390773117</v>
      </c>
      <c r="AE195" s="4">
        <f>'[37]Predicted Coal Prices'!AP195</f>
        <v>1.9305047606189729</v>
      </c>
      <c r="AF195" s="4">
        <v>0</v>
      </c>
      <c r="AG195" s="4">
        <v>0</v>
      </c>
      <c r="AH195" s="4"/>
      <c r="AI195" s="17" t="s">
        <v>46</v>
      </c>
      <c r="AJ195" s="115">
        <f t="shared" si="61"/>
        <v>3.239243587590332</v>
      </c>
    </row>
    <row r="196" spans="4:36" x14ac:dyDescent="0.2">
      <c r="D196" s="27">
        <f>[13]Quantity_shares!BB422</f>
        <v>2006</v>
      </c>
      <c r="E196" s="27" t="str">
        <f>[13]Quantity_shares!BC422</f>
        <v>337</v>
      </c>
      <c r="F196" s="28">
        <f>[13]Quantity_shares!BD422</f>
        <v>0.6028368794326241</v>
      </c>
      <c r="G196" s="28">
        <f>[13]Quantity_shares!BE422</f>
        <v>2.4822695035460991E-2</v>
      </c>
      <c r="H196" s="28">
        <f>[13]Quantity_shares!BF422</f>
        <v>8.8652482269503549E-2</v>
      </c>
      <c r="I196" s="28">
        <f>[13]Quantity_shares!BG422</f>
        <v>0.28368794326241137</v>
      </c>
      <c r="Q196" s="26">
        <f t="shared" ref="Q196:U196" si="106">0.333*Q154+0.667*Q217</f>
        <v>2.4300246231388867E-2</v>
      </c>
      <c r="R196" s="26">
        <f t="shared" si="106"/>
        <v>3.3676869959082423E-2</v>
      </c>
      <c r="S196" s="26">
        <f t="shared" si="106"/>
        <v>0.80604043978396622</v>
      </c>
      <c r="T196" s="26">
        <f t="shared" si="106"/>
        <v>3.0227746480618274E-2</v>
      </c>
      <c r="U196" s="26">
        <f t="shared" si="106"/>
        <v>0.10575469754494415</v>
      </c>
      <c r="V196" s="26">
        <v>0</v>
      </c>
      <c r="W196" s="26">
        <v>0</v>
      </c>
      <c r="X196" s="26">
        <f t="shared" si="69"/>
        <v>1</v>
      </c>
      <c r="Y196" s="34"/>
      <c r="AA196" s="4">
        <f>'[33]Predicted Residual Prices'!AP196</f>
        <v>3.3040140044342747</v>
      </c>
      <c r="AB196" s="4">
        <f>'[34]Predicted Distillate Prices'!AP196</f>
        <v>5.6277107267950273</v>
      </c>
      <c r="AC196" s="4">
        <f>'[35]Predicted Gas Prices'!AQ196</f>
        <v>3.9925824004980939</v>
      </c>
      <c r="AD196" s="4">
        <f>'[36]Predicted LPG Prices'!AP196</f>
        <v>9.3703487395998817</v>
      </c>
      <c r="AE196" s="4">
        <f>'[37]Predicted Coal Prices'!AP196</f>
        <v>2.1769257022071562</v>
      </c>
      <c r="AF196" s="4">
        <v>0</v>
      </c>
      <c r="AG196" s="4">
        <v>0</v>
      </c>
      <c r="AH196" s="4"/>
      <c r="AI196" s="17" t="s">
        <v>48</v>
      </c>
      <c r="AJ196" s="115">
        <f t="shared" si="61"/>
        <v>4.0014595554948658</v>
      </c>
    </row>
    <row r="197" spans="4:36" x14ac:dyDescent="0.2">
      <c r="D197" s="27">
        <f>[13]Quantity_shares!BB423</f>
        <v>2006</v>
      </c>
      <c r="E197" s="27" t="str">
        <f>[13]Quantity_shares!BC423</f>
        <v>339</v>
      </c>
      <c r="F197" s="28">
        <f>[13]Quantity_shares!BD423</f>
        <v>0.76687116564417179</v>
      </c>
      <c r="G197" s="28">
        <f>[13]Quantity_shares!BE423</f>
        <v>0.10736196319018404</v>
      </c>
      <c r="H197" s="28">
        <f>[13]Quantity_shares!BF423</f>
        <v>3.0674846625766872E-3</v>
      </c>
      <c r="I197" s="28">
        <f>[13]Quantity_shares!BG423</f>
        <v>0.12269938650306748</v>
      </c>
      <c r="Q197" s="26">
        <f t="shared" ref="Q197:U197" si="107">0.333*Q155+0.667*Q218</f>
        <v>5.1727556534843552E-2</v>
      </c>
      <c r="R197" s="26">
        <f t="shared" si="107"/>
        <v>3.4179654427668411E-2</v>
      </c>
      <c r="S197" s="26">
        <f t="shared" si="107"/>
        <v>0.68970094090955714</v>
      </c>
      <c r="T197" s="26">
        <f t="shared" si="107"/>
        <v>9.3567151851577917E-3</v>
      </c>
      <c r="U197" s="26">
        <f t="shared" si="107"/>
        <v>0.21503513294277321</v>
      </c>
      <c r="V197" s="26">
        <v>0</v>
      </c>
      <c r="W197" s="26">
        <v>0</v>
      </c>
      <c r="X197" s="26">
        <f t="shared" si="69"/>
        <v>1</v>
      </c>
      <c r="Y197" s="34"/>
      <c r="AA197" s="4">
        <f>'[33]Predicted Residual Prices'!AP197</f>
        <v>2.8612200636840068</v>
      </c>
      <c r="AB197" s="4">
        <f>'[34]Predicted Distillate Prices'!AP197</f>
        <v>4.6236670874532688</v>
      </c>
      <c r="AC197" s="4">
        <f>'[35]Predicted Gas Prices'!AQ197</f>
        <v>4.4200591264618661</v>
      </c>
      <c r="AD197" s="4">
        <f>'[36]Predicted LPG Prices'!AP197</f>
        <v>7.9752953311457908</v>
      </c>
      <c r="AE197" s="4">
        <f>'[37]Predicted Coal Prices'!AP197</f>
        <v>2.0049144951591851</v>
      </c>
      <c r="AF197" s="4">
        <v>0</v>
      </c>
      <c r="AG197" s="4">
        <v>0</v>
      </c>
      <c r="AH197" s="4"/>
      <c r="AI197" s="17" t="s">
        <v>50</v>
      </c>
      <c r="AJ197" s="115">
        <f t="shared" si="61"/>
        <v>3.8603078261737021</v>
      </c>
    </row>
    <row r="198" spans="4:36" x14ac:dyDescent="0.2">
      <c r="D198">
        <f>[13]Quantity_shares!BB424</f>
        <v>2007</v>
      </c>
      <c r="E198" t="str">
        <f>[13]Quantity_shares!BC424</f>
        <v>311</v>
      </c>
      <c r="F198" s="26">
        <f>[13]Quantity_shares!BD424</f>
        <v>0.66983500717360123</v>
      </c>
      <c r="G198" s="26">
        <f>[13]Quantity_shares!BE424</f>
        <v>4.3113342898134864E-2</v>
      </c>
      <c r="H198" s="26">
        <f>[13]Quantity_shares!BF424</f>
        <v>0.16971436024520672</v>
      </c>
      <c r="I198" s="26">
        <f>[13]Quantity_shares!BG424</f>
        <v>0.11733728968305725</v>
      </c>
      <c r="O198" t="s">
        <v>10</v>
      </c>
      <c r="P198">
        <v>1994</v>
      </c>
      <c r="Q198" s="72">
        <f>MECS_data_SIC!BP118</f>
        <v>3.398993485001732E-2</v>
      </c>
      <c r="R198" s="72">
        <f>MECS_data_SIC!BQ118</f>
        <v>2.2703956372616699E-2</v>
      </c>
      <c r="S198" s="72">
        <f>MECS_data_SIC!BR118</f>
        <v>0.75016514531009415</v>
      </c>
      <c r="T198" s="72">
        <f>MECS_data_SIC!BS118</f>
        <v>7.6592498405155971E-3</v>
      </c>
      <c r="U198" s="72">
        <f>MECS_data_SIC!BT118</f>
        <v>0.18548171362675617</v>
      </c>
      <c r="V198" s="26">
        <v>0</v>
      </c>
      <c r="W198" s="26">
        <v>0</v>
      </c>
      <c r="X198" s="26">
        <f t="shared" si="69"/>
        <v>0.99999999999999989</v>
      </c>
      <c r="Y198" s="74"/>
      <c r="Z198">
        <v>1994</v>
      </c>
      <c r="AA198" s="4">
        <f>'[33]Predicted Residual Prices'!AP198</f>
        <v>2.79</v>
      </c>
      <c r="AB198" s="4">
        <f>'[34]Predicted Distillate Prices'!AP198</f>
        <v>5.47</v>
      </c>
      <c r="AC198" s="4">
        <f>'[35]Predicted Gas Prices'!AQ198</f>
        <v>2.85</v>
      </c>
      <c r="AD198" s="4">
        <f>'[36]Predicted LPG Prices'!AP198</f>
        <v>7.15</v>
      </c>
      <c r="AE198" s="4">
        <f>'[37]Predicted Coal Prices'!AP198</f>
        <v>1.46</v>
      </c>
      <c r="AF198" s="4">
        <v>0</v>
      </c>
      <c r="AG198" s="4">
        <v>0</v>
      </c>
      <c r="AH198" s="4"/>
      <c r="AI198" s="17" t="str">
        <f t="shared" ref="AI198:AI201" si="108">O198</f>
        <v>311</v>
      </c>
      <c r="AJ198" s="115">
        <f t="shared" si="61"/>
        <v>2.6825601619782806</v>
      </c>
    </row>
    <row r="199" spans="4:36" x14ac:dyDescent="0.2">
      <c r="D199">
        <f>[13]Quantity_shares!BB425</f>
        <v>2007</v>
      </c>
      <c r="E199" t="str">
        <f>[13]Quantity_shares!BC425</f>
        <v>312</v>
      </c>
      <c r="F199" s="26">
        <f>[13]Quantity_shares!BD425</f>
        <v>0.55802387267904519</v>
      </c>
      <c r="G199" s="26">
        <f>[13]Quantity_shares!BE425</f>
        <v>4.7082228116710881E-2</v>
      </c>
      <c r="H199" s="26">
        <f>[13]Quantity_shares!BF425</f>
        <v>0.23541114058355436</v>
      </c>
      <c r="I199" s="26">
        <f>[13]Quantity_shares!BG425</f>
        <v>0.15948275862068967</v>
      </c>
      <c r="O199" t="s">
        <v>12</v>
      </c>
      <c r="Q199" s="72">
        <f>MECS_data_SIC!BP119</f>
        <v>5.8295457747440813E-2</v>
      </c>
      <c r="R199" s="72">
        <f>MECS_data_SIC!BQ119</f>
        <v>8.4944441562257618E-3</v>
      </c>
      <c r="S199" s="72">
        <f>MECS_data_SIC!BR119</f>
        <v>0.48183897249975921</v>
      </c>
      <c r="T199" s="72">
        <f>MECS_data_SIC!BS119</f>
        <v>1.5592057633595517E-3</v>
      </c>
      <c r="U199" s="72">
        <f>MECS_data_SIC!BT119</f>
        <v>0.44981191983321461</v>
      </c>
      <c r="V199" s="26">
        <v>0</v>
      </c>
      <c r="W199" s="26">
        <v>0</v>
      </c>
      <c r="X199" s="26">
        <f t="shared" si="69"/>
        <v>1</v>
      </c>
      <c r="Y199" s="74"/>
      <c r="AA199" s="4">
        <f>'[33]Predicted Residual Prices'!AP199</f>
        <v>2.92</v>
      </c>
      <c r="AB199" s="4">
        <f>'[34]Predicted Distillate Prices'!AP199</f>
        <v>4.17</v>
      </c>
      <c r="AC199" s="4">
        <f>'[35]Predicted Gas Prices'!AQ199</f>
        <v>3.37</v>
      </c>
      <c r="AD199" s="4">
        <f>'[36]Predicted LPG Prices'!AP199</f>
        <v>6.87</v>
      </c>
      <c r="AE199" s="4">
        <f>'[37]Predicted Coal Prices'!AP199</f>
        <v>2</v>
      </c>
      <c r="AF199" s="4">
        <v>0</v>
      </c>
      <c r="AG199" s="4">
        <v>0</v>
      </c>
      <c r="AH199" s="4"/>
      <c r="AI199" s="17" t="str">
        <f t="shared" si="108"/>
        <v>312</v>
      </c>
      <c r="AJ199" s="115">
        <f t="shared" si="61"/>
        <v>2.7397774893388864</v>
      </c>
    </row>
    <row r="200" spans="4:36" x14ac:dyDescent="0.2">
      <c r="D200">
        <f>[13]Quantity_shares!BB426</f>
        <v>2007</v>
      </c>
      <c r="E200" t="str">
        <f>[13]Quantity_shares!BC426</f>
        <v>313</v>
      </c>
      <c r="F200" s="26">
        <f>[13]Quantity_shares!BD426</f>
        <v>0.5922197309417041</v>
      </c>
      <c r="G200" s="26">
        <f>[13]Quantity_shares!BE426</f>
        <v>3.6816143497757844E-2</v>
      </c>
      <c r="H200" s="26">
        <f>[13]Quantity_shares!BF426</f>
        <v>0.25524663677130044</v>
      </c>
      <c r="I200" s="26">
        <f>[13]Quantity_shares!BG426</f>
        <v>0.11571748878923768</v>
      </c>
      <c r="O200" t="s">
        <v>14</v>
      </c>
      <c r="Q200" s="72">
        <f>MECS_data_SIC!BP120</f>
        <v>9.1980370667815892E-2</v>
      </c>
      <c r="R200" s="72">
        <f>MECS_data_SIC!BQ120</f>
        <v>3.94017479800821E-2</v>
      </c>
      <c r="S200" s="72">
        <f>MECS_data_SIC!BR120</f>
        <v>0.63537857923048346</v>
      </c>
      <c r="T200" s="72">
        <f>MECS_data_SIC!BS120</f>
        <v>1.4419636051982111E-2</v>
      </c>
      <c r="U200" s="72">
        <f>MECS_data_SIC!BT120</f>
        <v>0.21881966606963635</v>
      </c>
      <c r="V200" s="26">
        <v>0</v>
      </c>
      <c r="W200" s="26">
        <v>0</v>
      </c>
      <c r="X200" s="26">
        <f t="shared" si="69"/>
        <v>0.99999999999999989</v>
      </c>
      <c r="Y200" s="74"/>
      <c r="AA200" s="4">
        <f>'[33]Predicted Residual Prices'!AP200</f>
        <v>2.94</v>
      </c>
      <c r="AB200" s="4">
        <f>'[34]Predicted Distillate Prices'!AP200</f>
        <v>4.32</v>
      </c>
      <c r="AC200" s="4">
        <f>'[35]Predicted Gas Prices'!AQ200</f>
        <v>3.46</v>
      </c>
      <c r="AD200" s="4">
        <f>'[36]Predicted LPG Prices'!AP200</f>
        <v>5.77</v>
      </c>
      <c r="AE200" s="4">
        <f>'[37]Predicted Coal Prices'!AP200</f>
        <v>1.88</v>
      </c>
      <c r="AF200" s="4">
        <v>0</v>
      </c>
      <c r="AG200" s="4">
        <v>0</v>
      </c>
      <c r="AH200" s="4"/>
      <c r="AI200" s="17" t="str">
        <f t="shared" si="108"/>
        <v>313</v>
      </c>
      <c r="AJ200" s="115">
        <f t="shared" si="61"/>
        <v>3.1336299974056594</v>
      </c>
    </row>
    <row r="201" spans="4:36" x14ac:dyDescent="0.2">
      <c r="D201">
        <f>[13]Quantity_shares!BB427</f>
        <v>2007</v>
      </c>
      <c r="E201" t="str">
        <f>[13]Quantity_shares!BC427</f>
        <v>314</v>
      </c>
      <c r="F201" s="26">
        <f>[13]Quantity_shares!BD427</f>
        <v>0.85096153846153844</v>
      </c>
      <c r="G201" s="26">
        <f>[13]Quantity_shares!BE427</f>
        <v>4.5512820512820518E-2</v>
      </c>
      <c r="H201" s="26">
        <f>[13]Quantity_shares!BF427</f>
        <v>7.8685897435897434E-2</v>
      </c>
      <c r="I201" s="26">
        <f>[13]Quantity_shares!BG427</f>
        <v>2.4839743589743592E-2</v>
      </c>
      <c r="O201" t="s">
        <v>16</v>
      </c>
      <c r="Q201" s="72">
        <f>MECS_data_SIC!BP121</f>
        <v>9.1980370667815892E-2</v>
      </c>
      <c r="R201" s="72">
        <f>MECS_data_SIC!BQ121</f>
        <v>3.94017479800821E-2</v>
      </c>
      <c r="S201" s="72">
        <f>MECS_data_SIC!BR121</f>
        <v>0.63537857923048346</v>
      </c>
      <c r="T201" s="72">
        <f>MECS_data_SIC!BS121</f>
        <v>1.4419636051982111E-2</v>
      </c>
      <c r="U201" s="72">
        <f>MECS_data_SIC!BT121</f>
        <v>0.21881966606963635</v>
      </c>
      <c r="V201" s="26">
        <v>0</v>
      </c>
      <c r="W201" s="26">
        <v>0</v>
      </c>
      <c r="X201" s="26">
        <f t="shared" si="69"/>
        <v>0.99999999999999989</v>
      </c>
      <c r="Y201" s="74"/>
      <c r="AA201" s="4">
        <f>'[33]Predicted Residual Prices'!AP201</f>
        <v>2.94</v>
      </c>
      <c r="AB201" s="4">
        <f>'[34]Predicted Distillate Prices'!AP201</f>
        <v>4.32</v>
      </c>
      <c r="AC201" s="4">
        <f>'[35]Predicted Gas Prices'!AQ201</f>
        <v>3.46</v>
      </c>
      <c r="AD201" s="4">
        <f>'[36]Predicted LPG Prices'!AP201</f>
        <v>5.77</v>
      </c>
      <c r="AE201" s="4">
        <f>'[37]Predicted Coal Prices'!AP201</f>
        <v>1.88</v>
      </c>
      <c r="AF201" s="4">
        <v>0</v>
      </c>
      <c r="AG201" s="4">
        <v>0</v>
      </c>
      <c r="AH201" s="4"/>
      <c r="AI201" s="17" t="str">
        <f t="shared" si="108"/>
        <v>314</v>
      </c>
      <c r="AJ201" s="115">
        <f t="shared" ref="AJ201:AJ264" si="109">SUMPRODUCT(Q201:W201,AA201:AG201)</f>
        <v>3.1336299974056594</v>
      </c>
    </row>
    <row r="202" spans="4:36" x14ac:dyDescent="0.2">
      <c r="D202">
        <f>[13]Quantity_shares!BB428</f>
        <v>2007</v>
      </c>
      <c r="E202" t="str">
        <f>[13]Quantity_shares!BC428</f>
        <v>315</v>
      </c>
      <c r="F202" s="26">
        <f>[13]Quantity_shares!BD428</f>
        <v>0.89863013698630034</v>
      </c>
      <c r="G202" s="26">
        <f>[13]Quantity_shares!BE428</f>
        <v>5.0821917808219139E-2</v>
      </c>
      <c r="H202" s="26">
        <f>[13]Quantity_shares!BF428</f>
        <v>1.0273972602739712E-15</v>
      </c>
      <c r="I202" s="26">
        <f>[13]Quantity_shares!BG428</f>
        <v>5.0547945205479422E-2</v>
      </c>
      <c r="O202" t="s">
        <v>18</v>
      </c>
      <c r="Q202" s="72">
        <f>MECS_data_SIC!BP122</f>
        <v>3.4091154524803442E-2</v>
      </c>
      <c r="R202" s="72">
        <f>MECS_data_SIC!BQ122</f>
        <v>2.1049583361339885E-2</v>
      </c>
      <c r="S202" s="72">
        <f>MECS_data_SIC!BR122</f>
        <v>0.84273333985314114</v>
      </c>
      <c r="T202" s="72">
        <f>MECS_data_SIC!BS122</f>
        <v>2.3211244260100999E-2</v>
      </c>
      <c r="U202" s="72">
        <f>MECS_data_SIC!BT122</f>
        <v>7.8914678000614649E-2</v>
      </c>
      <c r="V202" s="26">
        <v>0</v>
      </c>
      <c r="W202" s="26">
        <v>0</v>
      </c>
      <c r="X202" s="26">
        <f t="shared" si="69"/>
        <v>1.0000000000000002</v>
      </c>
      <c r="Y202" s="74"/>
      <c r="AA202" s="4">
        <f>'[33]Predicted Residual Prices'!AP202</f>
        <v>3.14</v>
      </c>
      <c r="AB202" s="4">
        <f>'[34]Predicted Distillate Prices'!AP202</f>
        <v>5.15</v>
      </c>
      <c r="AC202" s="4">
        <f>'[35]Predicted Gas Prices'!AQ202</f>
        <v>4.01</v>
      </c>
      <c r="AD202" s="4">
        <f>'[36]Predicted LPG Prices'!AP202</f>
        <v>8.01</v>
      </c>
      <c r="AE202" s="4">
        <f>'[37]Predicted Coal Prices'!AP202</f>
        <v>2.4</v>
      </c>
      <c r="AF202" s="4">
        <v>0</v>
      </c>
      <c r="AG202" s="4">
        <v>0</v>
      </c>
      <c r="AH202" s="4"/>
      <c r="AI202" s="17" t="str">
        <f t="shared" ref="AI202:AI218" si="110">O202</f>
        <v>315</v>
      </c>
      <c r="AJ202" s="115">
        <f t="shared" si="109"/>
        <v>3.9701295660547631</v>
      </c>
    </row>
    <row r="203" spans="4:36" x14ac:dyDescent="0.2">
      <c r="D203">
        <f>[13]Quantity_shares!BB429</f>
        <v>2007</v>
      </c>
      <c r="E203" t="str">
        <f>[13]Quantity_shares!BC429</f>
        <v>316</v>
      </c>
      <c r="F203" s="26">
        <f>[13]Quantity_shares!BD429</f>
        <v>0.65336134453781136</v>
      </c>
      <c r="G203" s="26">
        <f>[13]Quantity_shares!BE429</f>
        <v>0.12184873949579757</v>
      </c>
      <c r="H203" s="26">
        <f>[13]Quantity_shares!BF429</f>
        <v>5.3571428571428188E-15</v>
      </c>
      <c r="I203" s="26">
        <f>[13]Quantity_shares!BG429</f>
        <v>0.22478991596638581</v>
      </c>
      <c r="O203" t="s">
        <v>20</v>
      </c>
      <c r="Q203" s="72">
        <f>MECS_data_SIC!BP123</f>
        <v>0.23581132045734779</v>
      </c>
      <c r="R203" s="72">
        <f>MECS_data_SIC!BQ123</f>
        <v>0.14860142977229532</v>
      </c>
      <c r="S203" s="72">
        <f>MECS_data_SIC!BR123</f>
        <v>0.59718873455116728</v>
      </c>
      <c r="T203" s="72">
        <f>MECS_data_SIC!BS123</f>
        <v>1.8398515219189594E-2</v>
      </c>
      <c r="U203" s="72">
        <f>MECS_data_SIC!BT123</f>
        <v>0</v>
      </c>
      <c r="V203" s="26">
        <v>0</v>
      </c>
      <c r="W203" s="26">
        <v>0</v>
      </c>
      <c r="X203" s="26">
        <f t="shared" si="69"/>
        <v>0.99999999999999989</v>
      </c>
      <c r="Y203" s="74"/>
      <c r="AA203" s="4">
        <f>'[33]Predicted Residual Prices'!AP203</f>
        <v>2.23</v>
      </c>
      <c r="AB203" s="4">
        <f>'[34]Predicted Distillate Prices'!AP203</f>
        <v>3.57</v>
      </c>
      <c r="AC203" s="4">
        <f>'[35]Predicted Gas Prices'!AQ203</f>
        <v>3.57</v>
      </c>
      <c r="AD203" s="4">
        <f>'[36]Predicted LPG Prices'!AP203</f>
        <v>8.36</v>
      </c>
      <c r="AE203" s="4">
        <f>'[37]Predicted Coal Prices'!AP203</f>
        <v>1.75</v>
      </c>
      <c r="AF203" s="4">
        <v>0</v>
      </c>
      <c r="AG203" s="4">
        <v>0</v>
      </c>
      <c r="AH203" s="4"/>
      <c r="AI203" s="17" t="str">
        <f t="shared" si="110"/>
        <v>316</v>
      </c>
      <c r="AJ203" s="115">
        <f t="shared" si="109"/>
        <v>3.3421417184870719</v>
      </c>
    </row>
    <row r="204" spans="4:36" x14ac:dyDescent="0.2">
      <c r="D204">
        <f>[13]Quantity_shares!BB430</f>
        <v>2007</v>
      </c>
      <c r="E204" t="str">
        <f>[13]Quantity_shares!BC430</f>
        <v>321</v>
      </c>
      <c r="F204" s="26">
        <f>[13]Quantity_shares!BD430</f>
        <v>0.20256754891052767</v>
      </c>
      <c r="G204" s="26">
        <f>[13]Quantity_shares!BE430</f>
        <v>5.3670624446736453E-2</v>
      </c>
      <c r="H204" s="26">
        <f>[13]Quantity_shares!BF430</f>
        <v>3.4497250940040441E-2</v>
      </c>
      <c r="I204" s="26">
        <f>[13]Quantity_shares!BG430</f>
        <v>0.70926457570269552</v>
      </c>
      <c r="O204" t="s">
        <v>22</v>
      </c>
      <c r="Q204" s="72">
        <f>MECS_data_SIC!BP124</f>
        <v>2.5473795897408419E-2</v>
      </c>
      <c r="R204" s="72">
        <f>MECS_data_SIC!BQ124</f>
        <v>0.28141188908070924</v>
      </c>
      <c r="S204" s="72">
        <f>MECS_data_SIC!BR124</f>
        <v>0.61659322969677088</v>
      </c>
      <c r="T204" s="72">
        <f>MECS_data_SIC!BS124</f>
        <v>4.9001942369089883E-2</v>
      </c>
      <c r="U204" s="72">
        <f>MECS_data_SIC!BT124</f>
        <v>2.7519142956021467E-2</v>
      </c>
      <c r="V204" s="26">
        <v>0</v>
      </c>
      <c r="W204" s="26">
        <v>0</v>
      </c>
      <c r="X204" s="26">
        <f t="shared" si="69"/>
        <v>0.99999999999999978</v>
      </c>
      <c r="Y204" s="74"/>
      <c r="AA204" s="4">
        <f>'[33]Predicted Residual Prices'!AP204</f>
        <v>2.61</v>
      </c>
      <c r="AB204" s="4">
        <f>'[34]Predicted Distillate Prices'!AP204</f>
        <v>6.14</v>
      </c>
      <c r="AC204" s="4">
        <f>'[35]Predicted Gas Prices'!AQ204</f>
        <v>3.24</v>
      </c>
      <c r="AD204" s="4">
        <f>'[36]Predicted LPG Prices'!AP204</f>
        <v>6.56</v>
      </c>
      <c r="AE204" s="4">
        <f>'[37]Predicted Coal Prices'!AP204</f>
        <v>2.5</v>
      </c>
      <c r="AF204" s="4">
        <v>0</v>
      </c>
      <c r="AG204" s="4">
        <v>0</v>
      </c>
      <c r="AH204" s="4"/>
      <c r="AI204" s="17" t="str">
        <f t="shared" si="110"/>
        <v>321</v>
      </c>
      <c r="AJ204" s="115">
        <f t="shared" si="109"/>
        <v>4.182368269796612</v>
      </c>
    </row>
    <row r="205" spans="4:36" x14ac:dyDescent="0.2">
      <c r="D205">
        <f>[13]Quantity_shares!BB431</f>
        <v>2007</v>
      </c>
      <c r="E205" t="str">
        <f>[13]Quantity_shares!BC431</f>
        <v>322</v>
      </c>
      <c r="F205" s="26">
        <f>[13]Quantity_shares!BD431</f>
        <v>0.22118487130565062</v>
      </c>
      <c r="G205" s="26">
        <f>[13]Quantity_shares!BE431</f>
        <v>4.2419592306689929E-2</v>
      </c>
      <c r="H205" s="26">
        <f>[13]Quantity_shares!BF431</f>
        <v>0.10591842827441209</v>
      </c>
      <c r="I205" s="26">
        <f>[13]Quantity_shares!BG431</f>
        <v>0.63047710811324742</v>
      </c>
      <c r="O205" t="s">
        <v>24</v>
      </c>
      <c r="Q205" s="72">
        <f>MECS_data_SIC!BP125</f>
        <v>0.16199041171611495</v>
      </c>
      <c r="R205" s="72">
        <f>MECS_data_SIC!BQ125</f>
        <v>8.5204360508937867E-3</v>
      </c>
      <c r="S205" s="72">
        <f>MECS_data_SIC!BR125</f>
        <v>0.53959741672670425</v>
      </c>
      <c r="T205" s="72">
        <f>MECS_data_SIC!BS125</f>
        <v>4.4519462616177596E-3</v>
      </c>
      <c r="U205" s="72">
        <f>MECS_data_SIC!BT125</f>
        <v>0.28543978924466923</v>
      </c>
      <c r="V205" s="26">
        <v>0</v>
      </c>
      <c r="W205" s="26">
        <v>0</v>
      </c>
      <c r="X205" s="26">
        <f t="shared" si="69"/>
        <v>1</v>
      </c>
      <c r="Y205" s="74"/>
      <c r="AA205" s="4">
        <f>'[33]Predicted Residual Prices'!AP205</f>
        <v>2.4900000000000002</v>
      </c>
      <c r="AB205" s="4">
        <f>'[34]Predicted Distillate Prices'!AP205</f>
        <v>4.59</v>
      </c>
      <c r="AC205" s="4">
        <f>'[35]Predicted Gas Prices'!AQ205</f>
        <v>2.5299999999999998</v>
      </c>
      <c r="AD205" s="4">
        <f>'[36]Predicted LPG Prices'!AP205</f>
        <v>7.18</v>
      </c>
      <c r="AE205" s="4">
        <f>'[37]Predicted Coal Prices'!AP205</f>
        <v>1.83</v>
      </c>
      <c r="AF205" s="4">
        <v>0</v>
      </c>
      <c r="AG205" s="4">
        <v>0</v>
      </c>
      <c r="AH205" s="4"/>
      <c r="AI205" s="17" t="str">
        <f t="shared" si="110"/>
        <v>322</v>
      </c>
      <c r="AJ205" s="115">
        <f t="shared" si="109"/>
        <v>2.3619661794414504</v>
      </c>
    </row>
    <row r="206" spans="4:36" x14ac:dyDescent="0.2">
      <c r="D206">
        <f>[13]Quantity_shares!BB432</f>
        <v>2007</v>
      </c>
      <c r="E206" t="str">
        <f>[13]Quantity_shares!BC432</f>
        <v>323</v>
      </c>
      <c r="F206" s="26">
        <f>[13]Quantity_shares!BD432</f>
        <v>0.95302287581699319</v>
      </c>
      <c r="G206" s="26">
        <f>[13]Quantity_shares!BE432</f>
        <v>1.6584967320261434E-2</v>
      </c>
      <c r="H206" s="26">
        <f>[13]Quantity_shares!BF432</f>
        <v>1.8382352941176467E-16</v>
      </c>
      <c r="I206" s="26">
        <f>[13]Quantity_shares!BG432</f>
        <v>3.0392156862745108E-2</v>
      </c>
      <c r="O206" t="s">
        <v>26</v>
      </c>
      <c r="Q206" s="72">
        <f>MECS_data_SIC!BP126</f>
        <v>5.933740300948627E-3</v>
      </c>
      <c r="R206" s="72">
        <f>MECS_data_SIC!BQ126</f>
        <v>3.4195691381234322E-2</v>
      </c>
      <c r="S206" s="72">
        <f>MECS_data_SIC!BR126</f>
        <v>0.94768645797261419</v>
      </c>
      <c r="T206" s="72">
        <f>MECS_data_SIC!BS126</f>
        <v>1.2184110345202845E-2</v>
      </c>
      <c r="U206" s="72">
        <f>MECS_data_SIC!BT126</f>
        <v>0</v>
      </c>
      <c r="V206" s="26">
        <v>0</v>
      </c>
      <c r="W206" s="26">
        <v>0</v>
      </c>
      <c r="X206" s="26">
        <f t="shared" si="69"/>
        <v>1</v>
      </c>
      <c r="Y206" s="74"/>
      <c r="AA206" s="4">
        <f>'[33]Predicted Residual Prices'!AP206</f>
        <v>3.39</v>
      </c>
      <c r="AB206" s="4">
        <f>'[34]Predicted Distillate Prices'!AP206</f>
        <v>5.57</v>
      </c>
      <c r="AC206" s="4">
        <f>'[35]Predicted Gas Prices'!AQ206</f>
        <v>4.08</v>
      </c>
      <c r="AD206" s="4">
        <f>'[36]Predicted LPG Prices'!AP206</f>
        <v>8.4600000000000009</v>
      </c>
      <c r="AE206" s="4">
        <f>'[37]Predicted Coal Prices'!AP206</f>
        <v>2.0570000000000004</v>
      </c>
      <c r="AF206" s="4">
        <v>0</v>
      </c>
      <c r="AG206" s="4">
        <v>0</v>
      </c>
      <c r="AH206" s="4"/>
      <c r="AI206" s="17" t="str">
        <f t="shared" si="110"/>
        <v>323</v>
      </c>
      <c r="AJ206" s="115">
        <f t="shared" si="109"/>
        <v>4.1802237026623725</v>
      </c>
    </row>
    <row r="207" spans="4:36" x14ac:dyDescent="0.2">
      <c r="D207">
        <f>[13]Quantity_shares!BB433</f>
        <v>2007</v>
      </c>
      <c r="E207" t="str">
        <f>[13]Quantity_shares!BC433</f>
        <v>324</v>
      </c>
      <c r="F207" s="26">
        <f>[13]Quantity_shares!BD433</f>
        <v>0.26799466347031786</v>
      </c>
      <c r="G207" s="26">
        <f>[13]Quantity_shares!BE433</f>
        <v>2.2340817167035128E-2</v>
      </c>
      <c r="H207" s="26">
        <f>[13]Quantity_shares!BF433</f>
        <v>1.3064055840265446E-2</v>
      </c>
      <c r="I207" s="26">
        <f>[13]Quantity_shares!BG433</f>
        <v>0.69660046352238147</v>
      </c>
      <c r="O207" t="s">
        <v>28</v>
      </c>
      <c r="Q207" s="72">
        <f>MECS_data_SIC!BP127</f>
        <v>3.3626490271465061E-2</v>
      </c>
      <c r="R207" s="72">
        <f>MECS_data_SIC!BQ127</f>
        <v>1.9706265584757691E-2</v>
      </c>
      <c r="S207" s="72">
        <f>MECS_data_SIC!BR127</f>
        <v>0.91615760244045497</v>
      </c>
      <c r="T207" s="72">
        <f>MECS_data_SIC!BS127</f>
        <v>2.581585067204192E-2</v>
      </c>
      <c r="U207" s="72">
        <f>MECS_data_SIC!BT127</f>
        <v>4.6937910312803491E-3</v>
      </c>
      <c r="V207" s="26">
        <v>0</v>
      </c>
      <c r="W207" s="26">
        <v>0</v>
      </c>
      <c r="X207" s="26">
        <f t="shared" si="69"/>
        <v>1</v>
      </c>
      <c r="Y207" s="74"/>
      <c r="AA207" s="4">
        <f>'[33]Predicted Residual Prices'!AP207</f>
        <v>2.99</v>
      </c>
      <c r="AB207" s="4">
        <f>'[34]Predicted Distillate Prices'!AP207</f>
        <v>4.4400000000000004</v>
      </c>
      <c r="AC207" s="4">
        <f>'[35]Predicted Gas Prices'!AQ207</f>
        <v>2.2000000000000002</v>
      </c>
      <c r="AD207" s="4">
        <f>'[36]Predicted LPG Prices'!AP207</f>
        <v>5.45</v>
      </c>
      <c r="AE207" s="4">
        <f>'[37]Predicted Coal Prices'!AP207</f>
        <v>1.22</v>
      </c>
      <c r="AF207" s="4">
        <v>0</v>
      </c>
      <c r="AG207" s="4">
        <v>0</v>
      </c>
      <c r="AH207" s="4"/>
      <c r="AI207" s="17" t="str">
        <f t="shared" si="110"/>
        <v>324</v>
      </c>
      <c r="AJ207" s="115">
        <f t="shared" si="109"/>
        <v>2.3500085616977966</v>
      </c>
    </row>
    <row r="208" spans="4:36" x14ac:dyDescent="0.2">
      <c r="D208">
        <f>[13]Quantity_shares!BB434</f>
        <v>2007</v>
      </c>
      <c r="E208" t="str">
        <f>[13]Quantity_shares!BC434</f>
        <v>325</v>
      </c>
      <c r="F208" s="26">
        <f>[13]Quantity_shares!BD434</f>
        <v>0.55150184679980385</v>
      </c>
      <c r="G208" s="26">
        <f>[13]Quantity_shares!BE434</f>
        <v>1.0318561675995593E-2</v>
      </c>
      <c r="H208" s="26">
        <f>[13]Quantity_shares!BF434</f>
        <v>6.4831476063455129E-2</v>
      </c>
      <c r="I208" s="26">
        <f>[13]Quantity_shares!BG434</f>
        <v>0.37334811546074553</v>
      </c>
      <c r="O208" t="s">
        <v>30</v>
      </c>
      <c r="Q208" s="72">
        <f>MECS_data_SIC!BP128</f>
        <v>2.7015301141058337E-2</v>
      </c>
      <c r="R208" s="72">
        <f>MECS_data_SIC!BQ128</f>
        <v>5.8262714675155654E-3</v>
      </c>
      <c r="S208" s="72">
        <f>MECS_data_SIC!BR128</f>
        <v>0.85076483872497455</v>
      </c>
      <c r="T208" s="72">
        <f>MECS_data_SIC!BS128</f>
        <v>1.7378649450991953E-3</v>
      </c>
      <c r="U208" s="72">
        <f>MECS_data_SIC!BT128</f>
        <v>0.11465572372135234</v>
      </c>
      <c r="V208" s="26">
        <v>0</v>
      </c>
      <c r="W208" s="26">
        <v>0</v>
      </c>
      <c r="X208" s="26">
        <f t="shared" si="69"/>
        <v>1</v>
      </c>
      <c r="Y208" s="74"/>
      <c r="AA208" s="4">
        <f>'[33]Predicted Residual Prices'!AP208</f>
        <v>3.39</v>
      </c>
      <c r="AB208" s="4">
        <f>'[34]Predicted Distillate Prices'!AP208</f>
        <v>4.84</v>
      </c>
      <c r="AC208" s="4">
        <f>'[35]Predicted Gas Prices'!AQ208</f>
        <v>2.15</v>
      </c>
      <c r="AD208" s="4">
        <f>'[36]Predicted LPG Prices'!AP208</f>
        <v>4.71</v>
      </c>
      <c r="AE208" s="4">
        <f>'[37]Predicted Coal Prices'!AP208</f>
        <v>1.65</v>
      </c>
      <c r="AF208" s="4">
        <v>0</v>
      </c>
      <c r="AG208" s="4">
        <v>0</v>
      </c>
      <c r="AH208" s="4"/>
      <c r="AI208" s="17" t="str">
        <f t="shared" si="110"/>
        <v>325</v>
      </c>
      <c r="AJ208" s="115">
        <f t="shared" si="109"/>
        <v>2.146292716061307</v>
      </c>
    </row>
    <row r="209" spans="4:36" x14ac:dyDescent="0.2">
      <c r="D209">
        <f>[13]Quantity_shares!BB435</f>
        <v>2007</v>
      </c>
      <c r="E209" t="str">
        <f>[13]Quantity_shares!BC435</f>
        <v>326</v>
      </c>
      <c r="F209" s="26">
        <f>[13]Quantity_shares!BD435</f>
        <v>0.8433134826911397</v>
      </c>
      <c r="G209" s="26">
        <f>[13]Quantity_shares!BE435</f>
        <v>6.3665311424522572E-2</v>
      </c>
      <c r="H209" s="26">
        <f>[13]Quantity_shares!BF435</f>
        <v>4.98502766718402E-2</v>
      </c>
      <c r="I209" s="26">
        <f>[13]Quantity_shares!BG435</f>
        <v>4.3170929212497468E-2</v>
      </c>
      <c r="O209" t="s">
        <v>32</v>
      </c>
      <c r="Q209" s="72">
        <f>MECS_data_SIC!BP129</f>
        <v>7.6666832918374742E-2</v>
      </c>
      <c r="R209" s="72">
        <f>MECS_data_SIC!BQ129</f>
        <v>2.397362841426234E-2</v>
      </c>
      <c r="S209" s="72">
        <f>MECS_data_SIC!BR129</f>
        <v>0.83997252822630841</v>
      </c>
      <c r="T209" s="72">
        <f>MECS_data_SIC!BS129</f>
        <v>2.2646287377824804E-2</v>
      </c>
      <c r="U209" s="72">
        <f>MECS_data_SIC!BT129</f>
        <v>3.6740723063229584E-2</v>
      </c>
      <c r="V209" s="26">
        <v>0</v>
      </c>
      <c r="W209" s="26">
        <v>0</v>
      </c>
      <c r="X209" s="26">
        <f t="shared" si="69"/>
        <v>0.99999999999999989</v>
      </c>
      <c r="Y209" s="74"/>
      <c r="AA209" s="4">
        <f>'[33]Predicted Residual Prices'!AP209</f>
        <v>2.68</v>
      </c>
      <c r="AB209" s="4">
        <f>'[34]Predicted Distillate Prices'!AP209</f>
        <v>4.5599999999999996</v>
      </c>
      <c r="AC209" s="4">
        <f>'[35]Predicted Gas Prices'!AQ209</f>
        <v>3.52</v>
      </c>
      <c r="AD209" s="4">
        <f>'[36]Predicted LPG Prices'!AP209</f>
        <v>8.61</v>
      </c>
      <c r="AE209" s="4">
        <f>'[37]Predicted Coal Prices'!AP209</f>
        <v>2.2799999999999998</v>
      </c>
      <c r="AF209" s="4">
        <v>0</v>
      </c>
      <c r="AG209" s="4">
        <v>0</v>
      </c>
      <c r="AH209" s="4"/>
      <c r="AI209" s="17" t="str">
        <f t="shared" si="110"/>
        <v>326</v>
      </c>
      <c r="AJ209" s="115">
        <f t="shared" si="109"/>
        <v>3.5502435400541215</v>
      </c>
    </row>
    <row r="210" spans="4:36" x14ac:dyDescent="0.2">
      <c r="D210">
        <f>[13]Quantity_shares!BB436</f>
        <v>2007</v>
      </c>
      <c r="E210" t="str">
        <f>[13]Quantity_shares!BC436</f>
        <v>327</v>
      </c>
      <c r="F210" s="26">
        <f>[13]Quantity_shares!BD436</f>
        <v>0.47309237995824638</v>
      </c>
      <c r="G210" s="26">
        <f>[13]Quantity_shares!BE436</f>
        <v>3.5835073068893532E-2</v>
      </c>
      <c r="H210" s="26">
        <f>[13]Quantity_shares!BF436</f>
        <v>0.352883611691023</v>
      </c>
      <c r="I210" s="26">
        <f>[13]Quantity_shares!BG436</f>
        <v>0.13818893528183718</v>
      </c>
      <c r="O210" t="s">
        <v>34</v>
      </c>
      <c r="Q210" s="72">
        <f>MECS_data_SIC!BP130</f>
        <v>1.0097052633914668E-2</v>
      </c>
      <c r="R210" s="72">
        <f>MECS_data_SIC!BQ130</f>
        <v>3.0870946285843553E-2</v>
      </c>
      <c r="S210" s="72">
        <f>MECS_data_SIC!BR130</f>
        <v>0.58391776524170547</v>
      </c>
      <c r="T210" s="72">
        <f>MECS_data_SIC!BS130</f>
        <v>5.1570477252007793E-3</v>
      </c>
      <c r="U210" s="72">
        <f>MECS_data_SIC!BT130</f>
        <v>0.36995718811333556</v>
      </c>
      <c r="V210" s="26">
        <v>0</v>
      </c>
      <c r="W210" s="26">
        <v>0</v>
      </c>
      <c r="X210" s="26">
        <f t="shared" si="69"/>
        <v>1</v>
      </c>
      <c r="Y210" s="74"/>
      <c r="AA210" s="4">
        <f>'[33]Predicted Residual Prices'!AP210</f>
        <v>2.81</v>
      </c>
      <c r="AB210" s="4">
        <f>'[34]Predicted Distillate Prices'!AP210</f>
        <v>5.49</v>
      </c>
      <c r="AC210" s="4">
        <f>'[35]Predicted Gas Prices'!AQ210</f>
        <v>3.57</v>
      </c>
      <c r="AD210" s="4">
        <f>'[36]Predicted LPG Prices'!AP210</f>
        <v>7.4</v>
      </c>
      <c r="AE210" s="4">
        <f>'[37]Predicted Coal Prices'!AP210</f>
        <v>1.66</v>
      </c>
      <c r="AF210" s="4">
        <v>0</v>
      </c>
      <c r="AG210" s="4">
        <v>0</v>
      </c>
      <c r="AH210" s="4"/>
      <c r="AI210" s="17" t="str">
        <f t="shared" si="110"/>
        <v>327</v>
      </c>
      <c r="AJ210" s="115">
        <f t="shared" si="109"/>
        <v>2.9347317203580925</v>
      </c>
    </row>
    <row r="211" spans="4:36" x14ac:dyDescent="0.2">
      <c r="D211">
        <f>[13]Quantity_shares!BB437</f>
        <v>2007</v>
      </c>
      <c r="E211" t="str">
        <f>[13]Quantity_shares!BC437</f>
        <v>331</v>
      </c>
      <c r="F211" s="26">
        <f>[13]Quantity_shares!BD437</f>
        <v>0.44806112618993377</v>
      </c>
      <c r="G211" s="26">
        <f>[13]Quantity_shares!BE437</f>
        <v>1.6570539172469811E-2</v>
      </c>
      <c r="H211" s="26">
        <f>[13]Quantity_shares!BF437</f>
        <v>0.29924480688650934</v>
      </c>
      <c r="I211" s="26">
        <f>[13]Quantity_shares!BG437</f>
        <v>0.23612352775108716</v>
      </c>
      <c r="O211" t="s">
        <v>36</v>
      </c>
      <c r="Q211" s="72">
        <f>MECS_data_SIC!BP131</f>
        <v>3.2636527883263662E-2</v>
      </c>
      <c r="R211" s="72">
        <f>MECS_data_SIC!BQ131</f>
        <v>9.3575669180794505E-3</v>
      </c>
      <c r="S211" s="72">
        <f>MECS_data_SIC!BR131</f>
        <v>0.60473066995652969</v>
      </c>
      <c r="T211" s="72">
        <f>MECS_data_SIC!BS131</f>
        <v>4.0108579769223152E-3</v>
      </c>
      <c r="U211" s="72">
        <f>MECS_data_SIC!BT131</f>
        <v>3.8704337590411766E-2</v>
      </c>
      <c r="V211" s="72">
        <f>MECS_data_SIC!BU131</f>
        <v>0.31056003967479312</v>
      </c>
      <c r="W211" s="26">
        <v>0</v>
      </c>
      <c r="X211" s="26">
        <f t="shared" si="69"/>
        <v>1</v>
      </c>
      <c r="Y211" s="74"/>
      <c r="AA211" s="4">
        <f>'[33]Predicted Residual Prices'!AP211</f>
        <v>2.62</v>
      </c>
      <c r="AB211" s="4">
        <f>'[34]Predicted Distillate Prices'!AP211</f>
        <v>4.57</v>
      </c>
      <c r="AC211" s="4">
        <f>'[35]Predicted Gas Prices'!AQ211</f>
        <v>2.72</v>
      </c>
      <c r="AD211" s="4">
        <f>'[36]Predicted LPG Prices'!AP211</f>
        <v>7</v>
      </c>
      <c r="AE211" s="4">
        <f>'[37]Predicted Coal Prices'!AP211</f>
        <v>1.81</v>
      </c>
      <c r="AF211" s="36">
        <f>3*AE211</f>
        <v>5.43</v>
      </c>
      <c r="AG211" s="4">
        <v>0</v>
      </c>
      <c r="AH211" s="4"/>
      <c r="AI211" s="17" t="str">
        <f t="shared" si="110"/>
        <v>331</v>
      </c>
      <c r="AJ211" s="115">
        <f t="shared" si="109"/>
        <v>3.557611078462763</v>
      </c>
    </row>
    <row r="212" spans="4:36" x14ac:dyDescent="0.2">
      <c r="D212">
        <f>[13]Quantity_shares!BB438</f>
        <v>2007</v>
      </c>
      <c r="E212" t="str">
        <f>[13]Quantity_shares!BC438</f>
        <v>332</v>
      </c>
      <c r="F212" s="26">
        <f>[13]Quantity_shares!BD438</f>
        <v>0.94537675354341799</v>
      </c>
      <c r="G212" s="26">
        <f>[13]Quantity_shares!BE438</f>
        <v>1.2005840224889531E-2</v>
      </c>
      <c r="H212" s="26">
        <f>[13]Quantity_shares!BF438</f>
        <v>7.2736004577719044E-4</v>
      </c>
      <c r="I212" s="26">
        <f>[13]Quantity_shares!BG438</f>
        <v>4.1890046185915339E-2</v>
      </c>
      <c r="O212" t="s">
        <v>38</v>
      </c>
      <c r="Q212" s="72">
        <f>MECS_data_SIC!BP132</f>
        <v>1.2938078292857374E-2</v>
      </c>
      <c r="R212" s="72">
        <f>MECS_data_SIC!BQ132</f>
        <v>1.9636604435458459E-2</v>
      </c>
      <c r="S212" s="72">
        <f>MECS_data_SIC!BR132</f>
        <v>0.91278285669835257</v>
      </c>
      <c r="T212" s="72">
        <f>MECS_data_SIC!BS132</f>
        <v>2.0701044198340211E-2</v>
      </c>
      <c r="U212" s="72">
        <f>MECS_data_SIC!BT132</f>
        <v>3.3941416374991429E-2</v>
      </c>
      <c r="V212" s="26">
        <v>0</v>
      </c>
      <c r="W212" s="26">
        <v>0</v>
      </c>
      <c r="X212" s="26">
        <f t="shared" si="69"/>
        <v>1</v>
      </c>
      <c r="Y212" s="74"/>
      <c r="AA212" s="4">
        <f>'[33]Predicted Residual Prices'!AP212</f>
        <v>3.75</v>
      </c>
      <c r="AB212" s="4">
        <f>'[34]Predicted Distillate Prices'!AP212</f>
        <v>5.44</v>
      </c>
      <c r="AC212" s="4">
        <f>'[35]Predicted Gas Prices'!AQ212</f>
        <v>3.49</v>
      </c>
      <c r="AD212" s="4">
        <f>'[36]Predicted LPG Prices'!AP212</f>
        <v>9.4499999999999993</v>
      </c>
      <c r="AE212" s="4">
        <f>'[37]Predicted Coal Prices'!AP212</f>
        <v>2.08</v>
      </c>
      <c r="AF212" s="4">
        <v>0</v>
      </c>
      <c r="AG212" s="4">
        <v>0</v>
      </c>
      <c r="AH212" s="4"/>
      <c r="AI212" s="17" t="str">
        <f t="shared" si="110"/>
        <v>332</v>
      </c>
      <c r="AJ212" s="115">
        <f t="shared" si="109"/>
        <v>3.6071761053386573</v>
      </c>
    </row>
    <row r="213" spans="4:36" x14ac:dyDescent="0.2">
      <c r="D213">
        <f>[13]Quantity_shares!BB439</f>
        <v>2007</v>
      </c>
      <c r="E213" t="str">
        <f>[13]Quantity_shares!BC439</f>
        <v>333</v>
      </c>
      <c r="F213" s="26">
        <f>[13]Quantity_shares!BD439</f>
        <v>0.90704419313107709</v>
      </c>
      <c r="G213" s="26">
        <f>[13]Quantity_shares!BE439</f>
        <v>3.4542836873513331E-2</v>
      </c>
      <c r="H213" s="26">
        <f>[13]Quantity_shares!BF439</f>
        <v>8.3879313942327761E-3</v>
      </c>
      <c r="I213" s="26">
        <f>[13]Quantity_shares!BG439</f>
        <v>5.0025038601176811E-2</v>
      </c>
      <c r="O213" t="s">
        <v>40</v>
      </c>
      <c r="Q213" s="72">
        <f>MECS_data_SIC!BP133</f>
        <v>2.3414579889570963E-2</v>
      </c>
      <c r="R213" s="72">
        <f>MECS_data_SIC!BQ133</f>
        <v>2.8147961723835966E-2</v>
      </c>
      <c r="S213" s="72">
        <f>MECS_data_SIC!BR133</f>
        <v>0.7944446721281424</v>
      </c>
      <c r="T213" s="72">
        <f>MECS_data_SIC!BS133</f>
        <v>2.0641299599920719E-2</v>
      </c>
      <c r="U213" s="72">
        <f>MECS_data_SIC!BT133</f>
        <v>0.13335148665852994</v>
      </c>
      <c r="V213" s="26">
        <v>0</v>
      </c>
      <c r="W213" s="26">
        <v>0</v>
      </c>
      <c r="X213" s="26">
        <f t="shared" si="69"/>
        <v>0.99999999999999989</v>
      </c>
      <c r="Y213" s="74"/>
      <c r="AA213" s="4">
        <f>'[33]Predicted Residual Prices'!AP213</f>
        <v>3.18</v>
      </c>
      <c r="AB213" s="4">
        <f>'[34]Predicted Distillate Prices'!AP213</f>
        <v>5.24</v>
      </c>
      <c r="AC213" s="4">
        <f>'[35]Predicted Gas Prices'!AQ213</f>
        <v>3.71</v>
      </c>
      <c r="AD213" s="4">
        <f>'[36]Predicted LPG Prices'!AP213</f>
        <v>10.02</v>
      </c>
      <c r="AE213" s="4">
        <f>'[37]Predicted Coal Prices'!AP213</f>
        <v>1.65</v>
      </c>
      <c r="AF213" s="4">
        <v>0</v>
      </c>
      <c r="AG213" s="4">
        <v>0</v>
      </c>
      <c r="AH213" s="4"/>
      <c r="AI213" s="17" t="str">
        <f t="shared" si="110"/>
        <v>333</v>
      </c>
      <c r="AJ213" s="115">
        <f t="shared" si="109"/>
        <v>3.5961991920549243</v>
      </c>
    </row>
    <row r="214" spans="4:36" x14ac:dyDescent="0.2">
      <c r="D214">
        <f>[13]Quantity_shares!BB440</f>
        <v>2007</v>
      </c>
      <c r="E214" t="str">
        <f>[13]Quantity_shares!BC440</f>
        <v>334</v>
      </c>
      <c r="F214" s="26">
        <f>[13]Quantity_shares!BD440</f>
        <v>0.94450431034482762</v>
      </c>
      <c r="G214" s="26">
        <f>[13]Quantity_shares!BE440</f>
        <v>2.8035201149425287E-2</v>
      </c>
      <c r="H214" s="26">
        <f>[13]Quantity_shares!BF440</f>
        <v>1.5625000000000001E-3</v>
      </c>
      <c r="I214" s="26">
        <f>[13]Quantity_shares!BG440</f>
        <v>2.5897988505747125E-2</v>
      </c>
      <c r="O214" t="s">
        <v>42</v>
      </c>
      <c r="Q214" s="72">
        <f>MECS_data_SIC!BP134</f>
        <v>4.0126291469879734E-2</v>
      </c>
      <c r="R214" s="72">
        <f>MECS_data_SIC!BQ134</f>
        <v>1.9408796633118619E-2</v>
      </c>
      <c r="S214" s="72">
        <f>MECS_data_SIC!BR134</f>
        <v>0.76665938761969021</v>
      </c>
      <c r="T214" s="72">
        <f>MECS_data_SIC!BS134</f>
        <v>1.5372763544744459E-2</v>
      </c>
      <c r="U214" s="72">
        <f>MECS_data_SIC!BT134</f>
        <v>0.15843276073256668</v>
      </c>
      <c r="V214" s="26">
        <v>0</v>
      </c>
      <c r="W214" s="26">
        <v>0</v>
      </c>
      <c r="X214" s="26">
        <f t="shared" si="69"/>
        <v>0.99999999999999978</v>
      </c>
      <c r="Y214" s="74"/>
      <c r="AA214" s="4">
        <f>'[33]Predicted Residual Prices'!AP214</f>
        <v>3.3330000000000002</v>
      </c>
      <c r="AB214" s="4">
        <f>'[34]Predicted Distillate Prices'!AP214</f>
        <v>5.2349999999999994</v>
      </c>
      <c r="AC214" s="4">
        <f>'[35]Predicted Gas Prices'!AQ214</f>
        <v>3.6230000000000002</v>
      </c>
      <c r="AD214" s="4">
        <f>'[36]Predicted LPG Prices'!AP214</f>
        <v>5.5270000000000001</v>
      </c>
      <c r="AE214" s="4">
        <f>'[37]Predicted Coal Prices'!AP214</f>
        <v>1.4909999999999999</v>
      </c>
      <c r="AF214" s="4">
        <v>0</v>
      </c>
      <c r="AG214" s="4">
        <v>0</v>
      </c>
      <c r="AH214" s="4"/>
      <c r="AI214" s="17" t="str">
        <f t="shared" si="110"/>
        <v>334</v>
      </c>
      <c r="AJ214" s="115">
        <f t="shared" si="109"/>
        <v>3.3341414515536827</v>
      </c>
    </row>
    <row r="215" spans="4:36" x14ac:dyDescent="0.2">
      <c r="D215">
        <f>[13]Quantity_shares!BB441</f>
        <v>2007</v>
      </c>
      <c r="E215" t="str">
        <f>[13]Quantity_shares!BC441</f>
        <v>335</v>
      </c>
      <c r="F215" s="26">
        <f>[13]Quantity_shares!BD441</f>
        <v>0.94392789658378562</v>
      </c>
      <c r="G215" s="26">
        <f>[13]Quantity_shares!BE441</f>
        <v>1.861821780990372E-2</v>
      </c>
      <c r="H215" s="26">
        <f>[13]Quantity_shares!BF441</f>
        <v>5.4122551813082986E-3</v>
      </c>
      <c r="I215" s="26">
        <f>[13]Quantity_shares!BG441</f>
        <v>3.204163042500225E-2</v>
      </c>
      <c r="O215" t="s">
        <v>44</v>
      </c>
      <c r="Q215" s="72">
        <f>MECS_data_SIC!BP135</f>
        <v>2.8039926689880586E-2</v>
      </c>
      <c r="R215" s="72">
        <f>MECS_data_SIC!BQ135</f>
        <v>1.8029086991494657E-2</v>
      </c>
      <c r="S215" s="72">
        <f>MECS_data_SIC!BR135</f>
        <v>0.9298263033524784</v>
      </c>
      <c r="T215" s="72">
        <f>MECS_data_SIC!BS135</f>
        <v>2.4104682966146335E-2</v>
      </c>
      <c r="U215" s="72">
        <f>MECS_data_SIC!BT135</f>
        <v>0</v>
      </c>
      <c r="V215" s="26">
        <v>0</v>
      </c>
      <c r="W215" s="26">
        <v>0</v>
      </c>
      <c r="X215" s="26">
        <f t="shared" si="69"/>
        <v>1</v>
      </c>
      <c r="Y215" s="74"/>
      <c r="AA215" s="4">
        <f>'[33]Predicted Residual Prices'!AP215</f>
        <v>3.48</v>
      </c>
      <c r="AB215" s="4">
        <f>'[34]Predicted Distillate Prices'!AP215</f>
        <v>5.25</v>
      </c>
      <c r="AC215" s="4">
        <f>'[35]Predicted Gas Prices'!AQ215</f>
        <v>3.56</v>
      </c>
      <c r="AD215" s="4">
        <f>'[36]Predicted LPG Prices'!AP215</f>
        <v>6.28</v>
      </c>
      <c r="AE215" s="4">
        <f>'[37]Predicted Coal Prices'!AP215</f>
        <v>2.13</v>
      </c>
      <c r="AF215" s="4">
        <v>0</v>
      </c>
      <c r="AG215" s="4">
        <v>0</v>
      </c>
      <c r="AH215" s="4"/>
      <c r="AI215" s="17" t="str">
        <f t="shared" si="110"/>
        <v>335</v>
      </c>
      <c r="AJ215" s="115">
        <f t="shared" si="109"/>
        <v>3.6537907005483534</v>
      </c>
    </row>
    <row r="216" spans="4:36" x14ac:dyDescent="0.2">
      <c r="D216">
        <f>[13]Quantity_shares!BB442</f>
        <v>2007</v>
      </c>
      <c r="E216" t="str">
        <f>[13]Quantity_shares!BC442</f>
        <v>336</v>
      </c>
      <c r="F216" s="26">
        <f>[13]Quantity_shares!BD442</f>
        <v>0.88006179866644985</v>
      </c>
      <c r="G216" s="26">
        <f>[13]Quantity_shares!BE442</f>
        <v>3.5168320052040986E-2</v>
      </c>
      <c r="H216" s="26">
        <f>[13]Quantity_shares!BF442</f>
        <v>1.8458285900146365E-2</v>
      </c>
      <c r="I216" s="26">
        <f>[13]Quantity_shares!BG442</f>
        <v>6.6311595381362817E-2</v>
      </c>
      <c r="O216" t="s">
        <v>46</v>
      </c>
      <c r="Q216" s="72">
        <f>MECS_data_SIC!BP136</f>
        <v>5.1418723174162372E-2</v>
      </c>
      <c r="R216" s="72">
        <f>MECS_data_SIC!BQ136</f>
        <v>3.0601222409537925E-2</v>
      </c>
      <c r="S216" s="72">
        <f>MECS_data_SIC!BR136</f>
        <v>0.78126998119204616</v>
      </c>
      <c r="T216" s="72">
        <f>MECS_data_SIC!BS136</f>
        <v>1.1726315598173056E-2</v>
      </c>
      <c r="U216" s="72">
        <f>MECS_data_SIC!BT136</f>
        <v>0.12498375762608058</v>
      </c>
      <c r="V216" s="26">
        <v>0</v>
      </c>
      <c r="W216" s="26">
        <v>0</v>
      </c>
      <c r="X216" s="26">
        <f t="shared" si="69"/>
        <v>1</v>
      </c>
      <c r="Y216" s="74"/>
      <c r="AA216" s="4">
        <f>'[33]Predicted Residual Prices'!AP216</f>
        <v>2.68</v>
      </c>
      <c r="AB216" s="4">
        <f>'[34]Predicted Distillate Prices'!AP216</f>
        <v>4.12</v>
      </c>
      <c r="AC216" s="4">
        <f>'[35]Predicted Gas Prices'!AQ216</f>
        <v>3.31</v>
      </c>
      <c r="AD216" s="4">
        <f>'[36]Predicted LPG Prices'!AP216</f>
        <v>8.67</v>
      </c>
      <c r="AE216" s="4">
        <f>'[37]Predicted Coal Prices'!AP216</f>
        <v>1.87</v>
      </c>
      <c r="AF216" s="4">
        <v>0</v>
      </c>
      <c r="AG216" s="4">
        <v>0</v>
      </c>
      <c r="AH216" s="4"/>
      <c r="AI216" s="17" t="str">
        <f t="shared" si="110"/>
        <v>336</v>
      </c>
      <c r="AJ216" s="115">
        <f t="shared" si="109"/>
        <v>3.1852696351766552</v>
      </c>
    </row>
    <row r="217" spans="4:36" x14ac:dyDescent="0.2">
      <c r="D217">
        <f>[13]Quantity_shares!BB443</f>
        <v>2007</v>
      </c>
      <c r="E217" t="str">
        <f>[13]Quantity_shares!BC443</f>
        <v>337</v>
      </c>
      <c r="F217" s="26">
        <f>[13]Quantity_shares!BD443</f>
        <v>0.62139849290780147</v>
      </c>
      <c r="G217" s="26">
        <f>[13]Quantity_shares!BE443</f>
        <v>2.1221187943262412E-2</v>
      </c>
      <c r="H217" s="26">
        <f>[13]Quantity_shares!BF443</f>
        <v>7.9510195035460987E-2</v>
      </c>
      <c r="I217" s="26">
        <f>[13]Quantity_shares!BG443</f>
        <v>0.27787012411347523</v>
      </c>
      <c r="O217" t="s">
        <v>48</v>
      </c>
      <c r="Q217" s="72">
        <f>MECS_data_SIC!BP137</f>
        <v>1.3352593747175954E-2</v>
      </c>
      <c r="R217" s="72">
        <f>MECS_data_SIC!BQ137</f>
        <v>3.1547015965025418E-2</v>
      </c>
      <c r="S217" s="72">
        <f>MECS_data_SIC!BR137</f>
        <v>0.83856355938337934</v>
      </c>
      <c r="T217" s="72">
        <f>MECS_data_SIC!BS137</f>
        <v>2.693265095710402E-2</v>
      </c>
      <c r="U217" s="72">
        <f>MECS_data_SIC!BT137</f>
        <v>8.9604179947315274E-2</v>
      </c>
      <c r="V217" s="26">
        <v>0</v>
      </c>
      <c r="W217" s="26">
        <v>0</v>
      </c>
      <c r="X217" s="26">
        <f t="shared" si="69"/>
        <v>1</v>
      </c>
      <c r="Y217" s="74"/>
      <c r="AA217" s="4">
        <f>'[33]Predicted Residual Prices'!AP217</f>
        <v>3.48</v>
      </c>
      <c r="AB217" s="4">
        <f>'[34]Predicted Distillate Prices'!AP217</f>
        <v>5.57</v>
      </c>
      <c r="AC217" s="4">
        <f>'[35]Predicted Gas Prices'!AQ217</f>
        <v>3.88</v>
      </c>
      <c r="AD217" s="4">
        <f>'[36]Predicted LPG Prices'!AP217</f>
        <v>9.42</v>
      </c>
      <c r="AE217" s="4">
        <f>'[37]Predicted Coal Prices'!AP217</f>
        <v>2.27</v>
      </c>
      <c r="AF217" s="4">
        <v>0</v>
      </c>
      <c r="AG217" s="4">
        <v>0</v>
      </c>
      <c r="AH217" s="4"/>
      <c r="AI217" s="17" t="str">
        <f t="shared" si="110"/>
        <v>337</v>
      </c>
      <c r="AJ217" s="115">
        <f t="shared" si="109"/>
        <v>3.9329175760692014</v>
      </c>
    </row>
    <row r="218" spans="4:36" x14ac:dyDescent="0.2">
      <c r="D218">
        <f>[13]Quantity_shares!BB444</f>
        <v>2007</v>
      </c>
      <c r="E218" t="str">
        <f>[13]Quantity_shares!BC444</f>
        <v>339</v>
      </c>
      <c r="F218" s="26">
        <f>[13]Quantity_shares!BD444</f>
        <v>0.80456513893901127</v>
      </c>
      <c r="G218" s="26">
        <f>[13]Quantity_shares!BE444</f>
        <v>9.6697942980873336E-2</v>
      </c>
      <c r="H218" s="26">
        <f>[13]Quantity_shares!BF444</f>
        <v>3.7712017322266336E-3</v>
      </c>
      <c r="I218" s="26">
        <f>[13]Quantity_shares!BG444</f>
        <v>9.4965716347888779E-2</v>
      </c>
      <c r="O218" t="s">
        <v>50</v>
      </c>
      <c r="Q218" s="72">
        <f>MECS_data_SIC!BP138</f>
        <v>5.162128668409461E-2</v>
      </c>
      <c r="R218" s="72">
        <f>MECS_data_SIC!BQ138</f>
        <v>3.2530429341331206E-2</v>
      </c>
      <c r="S218" s="72">
        <f>MECS_data_SIC!BR138</f>
        <v>0.71110146775057304</v>
      </c>
      <c r="T218" s="72">
        <f>MECS_data_SIC!BS138</f>
        <v>0</v>
      </c>
      <c r="U218" s="72">
        <f>MECS_data_SIC!BT138</f>
        <v>0.20474681622400132</v>
      </c>
      <c r="V218" s="26">
        <v>0</v>
      </c>
      <c r="W218" s="26">
        <v>0</v>
      </c>
      <c r="X218" s="26">
        <f t="shared" si="69"/>
        <v>1.0000000000000002</v>
      </c>
      <c r="Y218" s="74"/>
      <c r="AA218" s="4">
        <f>'[33]Predicted Residual Prices'!AP218</f>
        <v>3</v>
      </c>
      <c r="AB218" s="4">
        <f>'[34]Predicted Distillate Prices'!AP218</f>
        <v>3.88</v>
      </c>
      <c r="AC218" s="4">
        <f>'[35]Predicted Gas Prices'!AQ218</f>
        <v>4.42</v>
      </c>
      <c r="AD218" s="4">
        <f>'[36]Predicted LPG Prices'!AP218</f>
        <v>7.38</v>
      </c>
      <c r="AE218" s="4">
        <f>'[37]Predicted Coal Prices'!AP218</f>
        <v>2</v>
      </c>
      <c r="AF218" s="4">
        <v>0</v>
      </c>
      <c r="AG218" s="4">
        <v>0</v>
      </c>
      <c r="AH218" s="4"/>
      <c r="AI218" s="17" t="str">
        <f t="shared" si="110"/>
        <v>339</v>
      </c>
      <c r="AJ218" s="115">
        <f t="shared" si="109"/>
        <v>3.8336440458021848</v>
      </c>
    </row>
    <row r="219" spans="4:36" x14ac:dyDescent="0.2">
      <c r="D219">
        <f>[13]Quantity_shares!BB445</f>
        <v>2008</v>
      </c>
      <c r="E219" t="str">
        <f>[13]Quantity_shares!BC445</f>
        <v>311</v>
      </c>
      <c r="F219" s="26">
        <f>[13]Quantity_shares!BD445</f>
        <v>0.66052562932046444</v>
      </c>
      <c r="G219" s="26">
        <f>[13]Quantity_shares!BE445</f>
        <v>4.1306899700013042E-2</v>
      </c>
      <c r="H219" s="26">
        <f>[13]Quantity_shares!BF445</f>
        <v>0.18113995043693754</v>
      </c>
      <c r="I219" s="26">
        <f>[13]Quantity_shares!BG445</f>
        <v>0.11702752054258511</v>
      </c>
      <c r="P219">
        <v>1995</v>
      </c>
      <c r="Q219" s="26">
        <f t="shared" ref="Q219:V234" si="111">0.75*Q198+0.25*Q282</f>
        <v>3.0273871902540314E-2</v>
      </c>
      <c r="R219" s="26">
        <f t="shared" si="111"/>
        <v>2.2492448153779463E-2</v>
      </c>
      <c r="S219" s="26">
        <f t="shared" si="111"/>
        <v>0.75661293002082197</v>
      </c>
      <c r="T219" s="26">
        <f t="shared" si="111"/>
        <v>7.4520876536107415E-3</v>
      </c>
      <c r="U219" s="26">
        <f t="shared" si="111"/>
        <v>0.18316866226924744</v>
      </c>
      <c r="V219" s="26">
        <v>0</v>
      </c>
      <c r="W219" s="26">
        <v>0</v>
      </c>
      <c r="X219" s="26">
        <f t="shared" si="69"/>
        <v>0.99999999999999989</v>
      </c>
      <c r="Y219" s="74"/>
      <c r="Z219">
        <v>1995</v>
      </c>
      <c r="AA219" s="4">
        <f>'[33]Predicted Residual Prices'!AP219</f>
        <v>2.9613336501777194</v>
      </c>
      <c r="AB219" s="4">
        <f>'[34]Predicted Distillate Prices'!AP219</f>
        <v>5.2241691713780298</v>
      </c>
      <c r="AC219" s="4">
        <f>'[35]Predicted Gas Prices'!AQ219</f>
        <v>2.5282537826969551</v>
      </c>
      <c r="AD219" s="4">
        <f>'[36]Predicted LPG Prices'!AP219</f>
        <v>6.8398912962254421</v>
      </c>
      <c r="AE219" s="4">
        <f>'[37]Predicted Coal Prices'!AP219</f>
        <v>1.4757359454707455</v>
      </c>
      <c r="AF219" s="4">
        <v>0</v>
      </c>
      <c r="AG219" s="4">
        <v>0</v>
      </c>
      <c r="AH219" s="4"/>
      <c r="AI219" s="17" t="s">
        <v>10</v>
      </c>
      <c r="AJ219" s="115">
        <f t="shared" si="109"/>
        <v>2.4413449406576859</v>
      </c>
    </row>
    <row r="220" spans="4:36" x14ac:dyDescent="0.2">
      <c r="D220">
        <f>[13]Quantity_shares!BB446</f>
        <v>2008</v>
      </c>
      <c r="E220" t="str">
        <f>[13]Quantity_shares!BC446</f>
        <v>312</v>
      </c>
      <c r="F220" s="26">
        <f>[13]Quantity_shares!BD446</f>
        <v>0.5904067197170646</v>
      </c>
      <c r="G220" s="26">
        <f>[13]Quantity_shares!BE446</f>
        <v>4.2882404951370467E-2</v>
      </c>
      <c r="H220" s="26">
        <f>[13]Quantity_shares!BF446</f>
        <v>0.21441202475685234</v>
      </c>
      <c r="I220" s="26">
        <f>[13]Quantity_shares!BG446</f>
        <v>0.15229885057471265</v>
      </c>
      <c r="Q220" s="26">
        <f t="shared" si="111"/>
        <v>5.0050707234631238E-2</v>
      </c>
      <c r="R220" s="26">
        <f t="shared" si="111"/>
        <v>1.2699947041219954E-2</v>
      </c>
      <c r="S220" s="26">
        <f t="shared" si="111"/>
        <v>0.5037842926659587</v>
      </c>
      <c r="T220" s="26">
        <f t="shared" si="111"/>
        <v>4.3339612845449803E-3</v>
      </c>
      <c r="U220" s="26">
        <f t="shared" si="111"/>
        <v>0.42913109177364511</v>
      </c>
      <c r="V220" s="26">
        <v>0</v>
      </c>
      <c r="W220" s="26">
        <v>0</v>
      </c>
      <c r="X220" s="26">
        <f t="shared" si="69"/>
        <v>1</v>
      </c>
      <c r="Y220" s="74"/>
      <c r="AA220" s="4">
        <f>'[33]Predicted Residual Prices'!AP220</f>
        <v>3.0555537286352381</v>
      </c>
      <c r="AB220" s="4">
        <f>'[34]Predicted Distillate Prices'!AP220</f>
        <v>4.6449999999999996</v>
      </c>
      <c r="AC220" s="4">
        <f>'[35]Predicted Gas Prices'!AQ220</f>
        <v>2.9912500000000004</v>
      </c>
      <c r="AD220" s="4">
        <f>'[36]Predicted LPG Prices'!AP220</f>
        <v>6.6692055135118471</v>
      </c>
      <c r="AE220" s="4">
        <f>'[37]Predicted Coal Prices'!AP220</f>
        <v>1.9498361849794725</v>
      </c>
      <c r="AF220" s="4">
        <v>0</v>
      </c>
      <c r="AG220" s="4">
        <v>0</v>
      </c>
      <c r="AH220" s="4"/>
      <c r="AI220" s="17" t="s">
        <v>12</v>
      </c>
      <c r="AJ220" s="115">
        <f t="shared" si="109"/>
        <v>2.5845080538893583</v>
      </c>
    </row>
    <row r="221" spans="4:36" x14ac:dyDescent="0.2">
      <c r="D221">
        <f>[13]Quantity_shares!BB447</f>
        <v>2008</v>
      </c>
      <c r="E221" t="str">
        <f>[13]Quantity_shares!BC447</f>
        <v>313</v>
      </c>
      <c r="F221" s="26">
        <f>[13]Quantity_shares!BD447</f>
        <v>0.6014798206278027</v>
      </c>
      <c r="G221" s="26">
        <f>[13]Quantity_shares!BE447</f>
        <v>5.1210762331838564E-2</v>
      </c>
      <c r="H221" s="26">
        <f>[13]Quantity_shares!BF447</f>
        <v>0.22349775784753362</v>
      </c>
      <c r="I221" s="26">
        <f>[13]Quantity_shares!BG447</f>
        <v>0.12381165919282512</v>
      </c>
      <c r="Q221" s="26">
        <f t="shared" si="111"/>
        <v>9.0413849429433341E-2</v>
      </c>
      <c r="R221" s="26">
        <f t="shared" si="111"/>
        <v>3.6694168127918717E-2</v>
      </c>
      <c r="S221" s="26">
        <f t="shared" si="111"/>
        <v>0.65867679156571979</v>
      </c>
      <c r="T221" s="26">
        <f t="shared" si="111"/>
        <v>1.4386155610415154E-2</v>
      </c>
      <c r="U221" s="26">
        <f t="shared" si="111"/>
        <v>0.19982903526651297</v>
      </c>
      <c r="V221" s="26">
        <v>0</v>
      </c>
      <c r="W221" s="26">
        <v>0</v>
      </c>
      <c r="X221" s="26">
        <f t="shared" si="69"/>
        <v>1</v>
      </c>
      <c r="Y221" s="74"/>
      <c r="AA221" s="4">
        <f>'[33]Predicted Residual Prices'!AP221</f>
        <v>3.2764878205968331</v>
      </c>
      <c r="AB221" s="4">
        <f>'[34]Predicted Distillate Prices'!AP221</f>
        <v>4.3325101275422071</v>
      </c>
      <c r="AC221" s="4">
        <f>'[35]Predicted Gas Prices'!AQ221</f>
        <v>3.0085733955012128</v>
      </c>
      <c r="AD221" s="4">
        <f>'[36]Predicted LPG Prices'!AP221</f>
        <v>5.7341193489682123</v>
      </c>
      <c r="AE221" s="4">
        <f>'[37]Predicted Coal Prices'!AP221</f>
        <v>1.9657235768360046</v>
      </c>
      <c r="AF221" s="4">
        <v>0</v>
      </c>
      <c r="AG221" s="4">
        <v>0</v>
      </c>
      <c r="AH221" s="4"/>
      <c r="AI221" s="17" t="s">
        <v>14</v>
      </c>
      <c r="AJ221" s="115">
        <f t="shared" si="109"/>
        <v>2.9121957820462083</v>
      </c>
    </row>
    <row r="222" spans="4:36" x14ac:dyDescent="0.2">
      <c r="D222">
        <f>[13]Quantity_shares!BB448</f>
        <v>2008</v>
      </c>
      <c r="E222" t="str">
        <f>[13]Quantity_shares!BC448</f>
        <v>314</v>
      </c>
      <c r="F222" s="26">
        <f>[13]Quantity_shares!BD448</f>
        <v>0.81730769230769229</v>
      </c>
      <c r="G222" s="26">
        <f>[13]Quantity_shares!BE448</f>
        <v>5.2564102564102565E-2</v>
      </c>
      <c r="H222" s="26">
        <f>[13]Quantity_shares!BF448</f>
        <v>9.9679487179487186E-2</v>
      </c>
      <c r="I222" s="26">
        <f>[13]Quantity_shares!BG448</f>
        <v>3.0448717948717948E-2</v>
      </c>
      <c r="Q222" s="26">
        <f t="shared" si="111"/>
        <v>9.2570183661239286E-2</v>
      </c>
      <c r="R222" s="26">
        <f t="shared" si="111"/>
        <v>4.1343763815250255E-2</v>
      </c>
      <c r="S222" s="26">
        <f t="shared" si="111"/>
        <v>0.66521317970588156</v>
      </c>
      <c r="T222" s="26">
        <f t="shared" si="111"/>
        <v>1.3173217605024318E-2</v>
      </c>
      <c r="U222" s="26">
        <f t="shared" si="111"/>
        <v>0.18769965521260462</v>
      </c>
      <c r="V222" s="26">
        <v>0</v>
      </c>
      <c r="W222" s="26">
        <v>0</v>
      </c>
      <c r="X222" s="26">
        <f t="shared" si="69"/>
        <v>1</v>
      </c>
      <c r="Y222" s="74"/>
      <c r="AA222" s="4">
        <f>'[33]Predicted Residual Prices'!AP222</f>
        <v>3.3580803167240862</v>
      </c>
      <c r="AB222" s="4">
        <f>'[34]Predicted Distillate Prices'!AP222</f>
        <v>4.2868967159093563</v>
      </c>
      <c r="AC222" s="4">
        <f>'[35]Predicted Gas Prices'!AQ222</f>
        <v>3.0513311175684503</v>
      </c>
      <c r="AD222" s="4">
        <f>'[36]Predicted LPG Prices'!AP222</f>
        <v>6.3394809686205811</v>
      </c>
      <c r="AE222" s="4">
        <f>'[37]Predicted Coal Prices'!AP222</f>
        <v>1.929771689754691</v>
      </c>
      <c r="AF222" s="4">
        <v>0</v>
      </c>
      <c r="AG222" s="4">
        <v>0</v>
      </c>
      <c r="AH222" s="4"/>
      <c r="AI222" s="17" t="s">
        <v>16</v>
      </c>
      <c r="AJ222" s="115">
        <f t="shared" si="109"/>
        <v>2.9636090751530304</v>
      </c>
    </row>
    <row r="223" spans="4:36" x14ac:dyDescent="0.2">
      <c r="D223">
        <f>[13]Quantity_shares!BB449</f>
        <v>2008</v>
      </c>
      <c r="E223" t="str">
        <f>[13]Quantity_shares!BC449</f>
        <v>315</v>
      </c>
      <c r="F223" s="26">
        <f>[13]Quantity_shares!BD449</f>
        <v>0.86575342465753358</v>
      </c>
      <c r="G223" s="26">
        <f>[13]Quantity_shares!BE449</f>
        <v>6.0547945205479424E-2</v>
      </c>
      <c r="H223" s="26">
        <f>[13]Quantity_shares!BF449</f>
        <v>6.8493150684931419E-16</v>
      </c>
      <c r="I223" s="26">
        <f>[13]Quantity_shares!BG449</f>
        <v>7.3698630136986285E-2</v>
      </c>
      <c r="Q223" s="26">
        <f t="shared" si="111"/>
        <v>4.342550875074544E-2</v>
      </c>
      <c r="R223" s="26">
        <f t="shared" si="111"/>
        <v>2.4715758949576342E-2</v>
      </c>
      <c r="S223" s="26">
        <f t="shared" si="111"/>
        <v>0.83740714774699876</v>
      </c>
      <c r="T223" s="26">
        <f t="shared" si="111"/>
        <v>2.6337004623647176E-2</v>
      </c>
      <c r="U223" s="26">
        <f t="shared" si="111"/>
        <v>6.8114579929032415E-2</v>
      </c>
      <c r="V223" s="26">
        <v>0</v>
      </c>
      <c r="W223" s="26">
        <v>0</v>
      </c>
      <c r="X223" s="26">
        <f t="shared" ref="X223:X286" si="112">SUM(Q223:W223)</f>
        <v>1.0000000000000002</v>
      </c>
      <c r="Y223" s="74"/>
      <c r="AA223" s="4">
        <f>'[33]Predicted Residual Prices'!AP223</f>
        <v>3.5254250652800563</v>
      </c>
      <c r="AB223" s="4">
        <f>'[34]Predicted Distillate Prices'!AP223</f>
        <v>4.8950935170221328</v>
      </c>
      <c r="AC223" s="4">
        <f>'[35]Predicted Gas Prices'!AQ223</f>
        <v>3.4885805196391648</v>
      </c>
      <c r="AD223" s="4">
        <f>'[36]Predicted LPG Prices'!AP223</f>
        <v>7.2796928223891291</v>
      </c>
      <c r="AE223" s="4">
        <f>'[37]Predicted Coal Prices'!AP223</f>
        <v>2.3210657531839014</v>
      </c>
      <c r="AF223" s="4">
        <v>0</v>
      </c>
      <c r="AG223" s="4">
        <v>0</v>
      </c>
      <c r="AH223" s="4"/>
      <c r="AI223" s="17" t="s">
        <v>18</v>
      </c>
      <c r="AJ223" s="115">
        <f t="shared" si="109"/>
        <v>3.5452653133493235</v>
      </c>
    </row>
    <row r="224" spans="4:36" x14ac:dyDescent="0.2">
      <c r="D224">
        <f>[13]Quantity_shares!BB450</f>
        <v>2008</v>
      </c>
      <c r="E224" t="str">
        <f>[13]Quantity_shares!BC450</f>
        <v>316</v>
      </c>
      <c r="F224" s="26">
        <f>[13]Quantity_shares!BD450</f>
        <v>0.59243697478991342</v>
      </c>
      <c r="G224" s="26">
        <f>[13]Quantity_shares!BE450</f>
        <v>0.10084033613445328</v>
      </c>
      <c r="H224" s="26">
        <f>[13]Quantity_shares!BF450</f>
        <v>3.5714285714285458E-15</v>
      </c>
      <c r="I224" s="26">
        <f>[13]Quantity_shares!BG450</f>
        <v>0.30672268907562972</v>
      </c>
      <c r="Q224" s="26">
        <f t="shared" si="111"/>
        <v>0.18706257197566392</v>
      </c>
      <c r="R224" s="26">
        <f t="shared" si="111"/>
        <v>0.13185923559452761</v>
      </c>
      <c r="S224" s="26">
        <f t="shared" si="111"/>
        <v>0.65197318356643663</v>
      </c>
      <c r="T224" s="26">
        <f t="shared" si="111"/>
        <v>2.9105008863371785E-2</v>
      </c>
      <c r="U224" s="26">
        <f t="shared" si="111"/>
        <v>0</v>
      </c>
      <c r="V224" s="26">
        <v>0</v>
      </c>
      <c r="W224" s="26">
        <v>0</v>
      </c>
      <c r="X224" s="26">
        <f t="shared" si="112"/>
        <v>0.99999999999999989</v>
      </c>
      <c r="Y224" s="74"/>
      <c r="AA224" s="4">
        <f>'[33]Predicted Residual Prices'!AP224</f>
        <v>2.7550137935104901</v>
      </c>
      <c r="AB224" s="4">
        <f>'[34]Predicted Distillate Prices'!AP224</f>
        <v>4.0033775467311523</v>
      </c>
      <c r="AC224" s="4">
        <f>'[35]Predicted Gas Prices'!AQ224</f>
        <v>3.1365142759701774</v>
      </c>
      <c r="AD224" s="4">
        <f>'[36]Predicted LPG Prices'!AP224</f>
        <v>6.8488253547110789</v>
      </c>
      <c r="AE224" s="4">
        <f>'[37]Predicted Coal Prices'!AP224</f>
        <v>1.7251847291349138</v>
      </c>
      <c r="AF224" s="4">
        <v>0</v>
      </c>
      <c r="AG224" s="4">
        <v>0</v>
      </c>
      <c r="AH224" s="4"/>
      <c r="AI224" s="17" t="s">
        <v>20</v>
      </c>
      <c r="AJ224" s="115">
        <f t="shared" si="109"/>
        <v>3.2875005896091731</v>
      </c>
    </row>
    <row r="225" spans="4:36" x14ac:dyDescent="0.2">
      <c r="D225">
        <f>[13]Quantity_shares!BB451</f>
        <v>2008</v>
      </c>
      <c r="E225" t="str">
        <f>[13]Quantity_shares!BC451</f>
        <v>321</v>
      </c>
      <c r="F225" s="26">
        <f>[13]Quantity_shares!BD451</f>
        <v>0.16219724471371066</v>
      </c>
      <c r="G225" s="26">
        <f>[13]Quantity_shares!BE451</f>
        <v>5.3668932509292118E-2</v>
      </c>
      <c r="H225" s="26">
        <f>[13]Quantity_shares!BF451</f>
        <v>2.3796761767086536E-2</v>
      </c>
      <c r="I225" s="26">
        <f>[13]Quantity_shares!BG451</f>
        <v>0.76033706100991072</v>
      </c>
      <c r="Q225" s="26">
        <f t="shared" si="111"/>
        <v>2.1822738227404142E-2</v>
      </c>
      <c r="R225" s="26">
        <f t="shared" si="111"/>
        <v>0.24366761246270585</v>
      </c>
      <c r="S225" s="26">
        <f t="shared" si="111"/>
        <v>0.66081448748996952</v>
      </c>
      <c r="T225" s="26">
        <f t="shared" si="111"/>
        <v>4.7621021994208715E-2</v>
      </c>
      <c r="U225" s="26">
        <f t="shared" si="111"/>
        <v>2.6074139825711752E-2</v>
      </c>
      <c r="V225" s="26">
        <v>0</v>
      </c>
      <c r="W225" s="26">
        <v>0</v>
      </c>
      <c r="X225" s="26">
        <f t="shared" si="112"/>
        <v>1</v>
      </c>
      <c r="Y225" s="74"/>
      <c r="AA225" s="4">
        <f>'[33]Predicted Residual Prices'!AP225</f>
        <v>2.8301958692275533</v>
      </c>
      <c r="AB225" s="4">
        <f>'[34]Predicted Distillate Prices'!AP225</f>
        <v>5.5986904665239656</v>
      </c>
      <c r="AC225" s="4">
        <f>'[35]Predicted Gas Prices'!AQ225</f>
        <v>2.7694157078178914</v>
      </c>
      <c r="AD225" s="4">
        <f>'[36]Predicted LPG Prices'!AP225</f>
        <v>6.1396206250235172</v>
      </c>
      <c r="AE225" s="4">
        <f>'[37]Predicted Coal Prices'!AP225</f>
        <v>2.398129069411147</v>
      </c>
      <c r="AF225" s="4">
        <v>0</v>
      </c>
      <c r="AG225" s="4">
        <v>0</v>
      </c>
      <c r="AH225" s="4"/>
      <c r="AI225" s="17" t="s">
        <v>22</v>
      </c>
      <c r="AJ225" s="115">
        <f t="shared" si="109"/>
        <v>3.6109563455866649</v>
      </c>
    </row>
    <row r="226" spans="4:36" x14ac:dyDescent="0.2">
      <c r="D226">
        <f>[13]Quantity_shares!BB452</f>
        <v>2008</v>
      </c>
      <c r="E226" t="str">
        <f>[13]Quantity_shares!BC452</f>
        <v>322</v>
      </c>
      <c r="F226" s="26">
        <f>[13]Quantity_shares!BD452</f>
        <v>0.21729851754007612</v>
      </c>
      <c r="G226" s="26">
        <f>[13]Quantity_shares!BE452</f>
        <v>3.5456468563997139E-2</v>
      </c>
      <c r="H226" s="26">
        <f>[13]Quantity_shares!BF452</f>
        <v>0.10689858494388593</v>
      </c>
      <c r="I226" s="26">
        <f>[13]Quantity_shares!BG452</f>
        <v>0.64034642895204086</v>
      </c>
      <c r="Q226" s="26">
        <f t="shared" si="111"/>
        <v>0.1582145986703547</v>
      </c>
      <c r="R226" s="26">
        <f t="shared" si="111"/>
        <v>8.5790429914777318E-3</v>
      </c>
      <c r="S226" s="26">
        <f t="shared" si="111"/>
        <v>0.54720779017148735</v>
      </c>
      <c r="T226" s="26">
        <f t="shared" si="111"/>
        <v>4.5549130036063156E-3</v>
      </c>
      <c r="U226" s="26">
        <f t="shared" si="111"/>
        <v>0.2814436551630739</v>
      </c>
      <c r="V226" s="26">
        <v>0</v>
      </c>
      <c r="W226" s="26">
        <v>0</v>
      </c>
      <c r="X226" s="26">
        <f t="shared" si="112"/>
        <v>1</v>
      </c>
      <c r="Y226" s="74"/>
      <c r="AA226" s="4">
        <f>'[33]Predicted Residual Prices'!AP226</f>
        <v>2.7453089931922436</v>
      </c>
      <c r="AB226" s="4">
        <f>'[34]Predicted Distillate Prices'!AP226</f>
        <v>4.583597299606291</v>
      </c>
      <c r="AC226" s="4">
        <f>'[35]Predicted Gas Prices'!AQ226</f>
        <v>2.2570997792475045</v>
      </c>
      <c r="AD226" s="4">
        <f>'[36]Predicted LPG Prices'!AP226</f>
        <v>6.9647797048222957</v>
      </c>
      <c r="AE226" s="4">
        <f>'[37]Predicted Coal Prices'!AP226</f>
        <v>1.8282851890657261</v>
      </c>
      <c r="AF226" s="4">
        <v>0</v>
      </c>
      <c r="AG226" s="4">
        <v>0</v>
      </c>
      <c r="AH226" s="4"/>
      <c r="AI226" s="17" t="s">
        <v>24</v>
      </c>
      <c r="AJ226" s="115">
        <f t="shared" si="109"/>
        <v>2.2550566532074665</v>
      </c>
    </row>
    <row r="227" spans="4:36" x14ac:dyDescent="0.2">
      <c r="D227">
        <f>[13]Quantity_shares!BB453</f>
        <v>2008</v>
      </c>
      <c r="E227" t="str">
        <f>[13]Quantity_shares!BC453</f>
        <v>323</v>
      </c>
      <c r="F227" s="26">
        <f>[13]Quantity_shares!BD453</f>
        <v>0.9501633986928103</v>
      </c>
      <c r="G227" s="26">
        <f>[13]Quantity_shares!BE453</f>
        <v>1.8464052287581696E-2</v>
      </c>
      <c r="H227" s="26">
        <f>[13]Quantity_shares!BF453</f>
        <v>1.2254901960784311E-16</v>
      </c>
      <c r="I227" s="26">
        <f>[13]Quantity_shares!BG453</f>
        <v>3.1372549019607877E-2</v>
      </c>
      <c r="Q227" s="26">
        <f t="shared" si="111"/>
        <v>6.6749993302720936E-3</v>
      </c>
      <c r="R227" s="26">
        <f t="shared" si="111"/>
        <v>2.8427636166626521E-2</v>
      </c>
      <c r="S227" s="26">
        <f t="shared" si="111"/>
        <v>0.94991945971972758</v>
      </c>
      <c r="T227" s="26">
        <f t="shared" si="111"/>
        <v>1.4699818020303693E-2</v>
      </c>
      <c r="U227" s="26">
        <f t="shared" si="111"/>
        <v>2.7808676307007786E-4</v>
      </c>
      <c r="V227" s="26">
        <v>0</v>
      </c>
      <c r="W227" s="26">
        <v>0</v>
      </c>
      <c r="X227" s="26">
        <f t="shared" si="112"/>
        <v>1</v>
      </c>
      <c r="Y227" s="74"/>
      <c r="AA227" s="4">
        <f>'[33]Predicted Residual Prices'!AP227</f>
        <v>3.3704258079466292</v>
      </c>
      <c r="AB227" s="4">
        <f>'[34]Predicted Distillate Prices'!AP227</f>
        <v>5.4338417395994743</v>
      </c>
      <c r="AC227" s="4">
        <f>'[35]Predicted Gas Prices'!AQ227</f>
        <v>3.6156920667217856</v>
      </c>
      <c r="AD227" s="4">
        <f>'[36]Predicted LPG Prices'!AP227</f>
        <v>7.3200193074526103</v>
      </c>
      <c r="AE227" s="4">
        <f>'[37]Predicted Coal Prices'!AP227</f>
        <v>2.0673118627126095</v>
      </c>
      <c r="AF227" s="4">
        <v>0</v>
      </c>
      <c r="AG227" s="4">
        <v>0</v>
      </c>
      <c r="AH227" s="4"/>
      <c r="AI227" s="17" t="s">
        <v>26</v>
      </c>
      <c r="AJ227" s="115">
        <f t="shared" si="109"/>
        <v>3.7197629642932233</v>
      </c>
    </row>
    <row r="228" spans="4:36" x14ac:dyDescent="0.2">
      <c r="D228">
        <f>[13]Quantity_shares!BB454</f>
        <v>2008</v>
      </c>
      <c r="E228" t="str">
        <f>[13]Quantity_shares!BC454</f>
        <v>324</v>
      </c>
      <c r="F228" s="26">
        <f>[13]Quantity_shares!BD454</f>
        <v>0.27555987908787499</v>
      </c>
      <c r="G228" s="26">
        <f>[13]Quantity_shares!BE454</f>
        <v>1.922151163468375E-2</v>
      </c>
      <c r="H228" s="26">
        <f>[13]Quantity_shares!BF454</f>
        <v>9.870442968874453E-3</v>
      </c>
      <c r="I228" s="26">
        <f>[13]Quantity_shares!BG454</f>
        <v>0.69534816630856677</v>
      </c>
      <c r="Q228" s="26">
        <f t="shared" si="111"/>
        <v>3.2058845158555879E-2</v>
      </c>
      <c r="R228" s="26">
        <f t="shared" si="111"/>
        <v>1.9496235364400739E-2</v>
      </c>
      <c r="S228" s="26">
        <f t="shared" si="111"/>
        <v>0.92153004976921493</v>
      </c>
      <c r="T228" s="26">
        <f t="shared" si="111"/>
        <v>2.3370943753489037E-2</v>
      </c>
      <c r="U228" s="26">
        <f t="shared" si="111"/>
        <v>3.5439259543394242E-3</v>
      </c>
      <c r="V228" s="26">
        <v>0</v>
      </c>
      <c r="W228" s="26">
        <v>0</v>
      </c>
      <c r="X228" s="26">
        <f t="shared" si="112"/>
        <v>1</v>
      </c>
      <c r="Y228" s="74"/>
      <c r="AA228" s="4">
        <f>'[33]Predicted Residual Prices'!AP228</f>
        <v>2.9544009104268776</v>
      </c>
      <c r="AB228" s="4">
        <f>'[34]Predicted Distillate Prices'!AP228</f>
        <v>4.3678456193373236</v>
      </c>
      <c r="AC228" s="4">
        <f>'[35]Predicted Gas Prices'!AQ228</f>
        <v>1.9717468943117225</v>
      </c>
      <c r="AD228" s="4">
        <f>'[36]Predicted LPG Prices'!AP228</f>
        <v>5.0866802087223117</v>
      </c>
      <c r="AE228" s="4">
        <f>'[37]Predicted Coal Prices'!AP228</f>
        <v>1.4541650647441995</v>
      </c>
      <c r="AF228" s="4">
        <v>0</v>
      </c>
      <c r="AG228" s="4">
        <v>0</v>
      </c>
      <c r="AH228" s="4"/>
      <c r="AI228" s="17" t="s">
        <v>28</v>
      </c>
      <c r="AJ228" s="115">
        <f t="shared" si="109"/>
        <v>2.1209292115658913</v>
      </c>
    </row>
    <row r="229" spans="4:36" x14ac:dyDescent="0.2">
      <c r="D229">
        <f>[13]Quantity_shares!BB455</f>
        <v>2008</v>
      </c>
      <c r="E229" t="str">
        <f>[13]Quantity_shares!BC455</f>
        <v>325</v>
      </c>
      <c r="F229" s="26">
        <f>[13]Quantity_shares!BD455</f>
        <v>0.58227153073072446</v>
      </c>
      <c r="G229" s="26">
        <f>[13]Quantity_shares!BE455</f>
        <v>8.6834438600225643E-3</v>
      </c>
      <c r="H229" s="26">
        <f>[13]Quantity_shares!BF455</f>
        <v>6.7279687278198996E-2</v>
      </c>
      <c r="I229" s="26">
        <f>[13]Quantity_shares!BG455</f>
        <v>0.34176533813105392</v>
      </c>
      <c r="Q229" s="26">
        <f t="shared" si="111"/>
        <v>2.4488018543874904E-2</v>
      </c>
      <c r="R229" s="26">
        <f t="shared" si="111"/>
        <v>5.3206757054549327E-3</v>
      </c>
      <c r="S229" s="26">
        <f t="shared" si="111"/>
        <v>0.84760448280535383</v>
      </c>
      <c r="T229" s="26">
        <f t="shared" si="111"/>
        <v>6.5865770689258335E-3</v>
      </c>
      <c r="U229" s="26">
        <f t="shared" si="111"/>
        <v>0.11600024587639041</v>
      </c>
      <c r="V229" s="26">
        <v>0</v>
      </c>
      <c r="W229" s="26">
        <v>0</v>
      </c>
      <c r="X229" s="26">
        <f t="shared" si="112"/>
        <v>1</v>
      </c>
      <c r="Y229" s="74"/>
      <c r="AA229" s="4">
        <f>'[33]Predicted Residual Prices'!AP229</f>
        <v>3.3944694540960767</v>
      </c>
      <c r="AB229" s="4">
        <f>'[34]Predicted Distillate Prices'!AP229</f>
        <v>4.8470738808360334</v>
      </c>
      <c r="AC229" s="4">
        <f>'[35]Predicted Gas Prices'!AQ229</f>
        <v>1.9103092129527166</v>
      </c>
      <c r="AD229" s="4">
        <f>'[36]Predicted LPG Prices'!AP229</f>
        <v>4.5868143536034802</v>
      </c>
      <c r="AE229" s="4">
        <f>'[37]Predicted Coal Prices'!AP229</f>
        <v>1.6694576016738041</v>
      </c>
      <c r="AF229" s="4">
        <v>0</v>
      </c>
      <c r="AG229" s="4">
        <v>0</v>
      </c>
      <c r="AH229" s="4"/>
      <c r="AI229" s="17" t="s">
        <v>30</v>
      </c>
      <c r="AJ229" s="115">
        <f t="shared" si="109"/>
        <v>1.9519690901371558</v>
      </c>
    </row>
    <row r="230" spans="4:36" x14ac:dyDescent="0.2">
      <c r="D230">
        <f>[13]Quantity_shares!BB456</f>
        <v>2008</v>
      </c>
      <c r="E230" t="str">
        <f>[13]Quantity_shares!BC456</f>
        <v>326</v>
      </c>
      <c r="F230" s="26">
        <f>[13]Quantity_shares!BD456</f>
        <v>0.85818599995501277</v>
      </c>
      <c r="G230" s="26">
        <f>[13]Quantity_shares!BE456</f>
        <v>4.9052736351980562E-2</v>
      </c>
      <c r="H230" s="26">
        <f>[13]Quantity_shares!BF456</f>
        <v>4.0992138470881977E-2</v>
      </c>
      <c r="I230" s="26">
        <f>[13]Quantity_shares!BG456</f>
        <v>5.1769125222124748E-2</v>
      </c>
      <c r="Q230" s="26">
        <f t="shared" si="111"/>
        <v>6.6492930444176743E-2</v>
      </c>
      <c r="R230" s="26">
        <f t="shared" si="111"/>
        <v>1.977878246177589E-2</v>
      </c>
      <c r="S230" s="26">
        <f t="shared" si="111"/>
        <v>0.85659810120570257</v>
      </c>
      <c r="T230" s="26">
        <f t="shared" si="111"/>
        <v>2.4178960137685151E-2</v>
      </c>
      <c r="U230" s="26">
        <f t="shared" si="111"/>
        <v>3.2951225750659598E-2</v>
      </c>
      <c r="V230" s="26">
        <v>0</v>
      </c>
      <c r="W230" s="26">
        <v>0</v>
      </c>
      <c r="X230" s="26">
        <f t="shared" si="112"/>
        <v>0.99999999999999989</v>
      </c>
      <c r="Y230" s="74"/>
      <c r="AA230" s="4">
        <f>'[33]Predicted Residual Prices'!AP230</f>
        <v>3.0080829766388923</v>
      </c>
      <c r="AB230" s="4">
        <f>'[34]Predicted Distillate Prices'!AP230</f>
        <v>5.0148678556398458</v>
      </c>
      <c r="AC230" s="4">
        <f>'[35]Predicted Gas Prices'!AQ230</f>
        <v>3.1435173330727944</v>
      </c>
      <c r="AD230" s="4">
        <f>'[36]Predicted LPG Prices'!AP230</f>
        <v>7.4447663792067633</v>
      </c>
      <c r="AE230" s="4">
        <f>'[37]Predicted Coal Prices'!AP230</f>
        <v>2.380264494648213</v>
      </c>
      <c r="AF230" s="4">
        <v>0</v>
      </c>
      <c r="AG230" s="4">
        <v>0</v>
      </c>
      <c r="AH230" s="4"/>
      <c r="AI230" s="17" t="s">
        <v>32</v>
      </c>
      <c r="AJ230" s="115">
        <f t="shared" si="109"/>
        <v>3.2503745533712372</v>
      </c>
    </row>
    <row r="231" spans="4:36" x14ac:dyDescent="0.2">
      <c r="D231">
        <f>[13]Quantity_shares!BB457</f>
        <v>2008</v>
      </c>
      <c r="E231" t="str">
        <f>[13]Quantity_shares!BC457</f>
        <v>327</v>
      </c>
      <c r="F231" s="26">
        <f>[13]Quantity_shares!BD457</f>
        <v>0.46706158663883091</v>
      </c>
      <c r="G231" s="26">
        <f>[13]Quantity_shares!BE457</f>
        <v>3.7223382045929024E-2</v>
      </c>
      <c r="H231" s="26">
        <f>[13]Quantity_shares!BF457</f>
        <v>0.36025574112734865</v>
      </c>
      <c r="I231" s="26">
        <f>[13]Quantity_shares!BG457</f>
        <v>0.13545929018789143</v>
      </c>
      <c r="Q231" s="26">
        <f t="shared" si="111"/>
        <v>8.9168754969413781E-3</v>
      </c>
      <c r="R231" s="26">
        <f t="shared" si="111"/>
        <v>2.8529553800404169E-2</v>
      </c>
      <c r="S231" s="26">
        <f t="shared" si="111"/>
        <v>0.58511574328611782</v>
      </c>
      <c r="T231" s="26">
        <f t="shared" si="111"/>
        <v>4.8758503100296167E-3</v>
      </c>
      <c r="U231" s="26">
        <f t="shared" si="111"/>
        <v>0.37256197710650707</v>
      </c>
      <c r="V231" s="26">
        <v>0</v>
      </c>
      <c r="W231" s="26">
        <v>0</v>
      </c>
      <c r="X231" s="26">
        <f t="shared" si="112"/>
        <v>1</v>
      </c>
      <c r="Y231" s="74"/>
      <c r="AA231" s="4">
        <f>'[33]Predicted Residual Prices'!AP231</f>
        <v>3.039937875242789</v>
      </c>
      <c r="AB231" s="4">
        <f>'[34]Predicted Distillate Prices'!AP231</f>
        <v>5.2230106066443547</v>
      </c>
      <c r="AC231" s="4">
        <f>'[35]Predicted Gas Prices'!AQ231</f>
        <v>3.0367328148062862</v>
      </c>
      <c r="AD231" s="4">
        <f>'[36]Predicted LPG Prices'!AP231</f>
        <v>6.7208104097520724</v>
      </c>
      <c r="AE231" s="4">
        <f>'[37]Predicted Coal Prices'!AP231</f>
        <v>1.6610834929792944</v>
      </c>
      <c r="AF231" s="4">
        <v>0</v>
      </c>
      <c r="AG231" s="4">
        <v>0</v>
      </c>
      <c r="AH231" s="4"/>
      <c r="AI231" s="17" t="s">
        <v>34</v>
      </c>
      <c r="AJ231" s="115">
        <f t="shared" si="109"/>
        <v>2.6045833035544317</v>
      </c>
    </row>
    <row r="232" spans="4:36" x14ac:dyDescent="0.2">
      <c r="D232">
        <f>[13]Quantity_shares!BB458</f>
        <v>2008</v>
      </c>
      <c r="E232" t="str">
        <f>[13]Quantity_shares!BC458</f>
        <v>331</v>
      </c>
      <c r="F232" s="26">
        <f>[13]Quantity_shares!BD458</f>
        <v>0.4412233410268348</v>
      </c>
      <c r="G232" s="26">
        <f>[13]Quantity_shares!BE458</f>
        <v>1.3700953928143356E-2</v>
      </c>
      <c r="H232" s="26">
        <f>[13]Quantity_shares!BF458</f>
        <v>0.30299972263771535</v>
      </c>
      <c r="I232" s="26">
        <f>[13]Quantity_shares!BG458</f>
        <v>0.24207598240730654</v>
      </c>
      <c r="Q232" s="26">
        <f t="shared" si="111"/>
        <v>2.9751657515823274E-2</v>
      </c>
      <c r="R232" s="26">
        <f t="shared" si="111"/>
        <v>8.4246449494597281E-3</v>
      </c>
      <c r="S232" s="26">
        <f t="shared" si="111"/>
        <v>0.60966614592731283</v>
      </c>
      <c r="T232" s="26">
        <f t="shared" si="111"/>
        <v>3.5355696430292892E-3</v>
      </c>
      <c r="U232" s="26">
        <f t="shared" si="111"/>
        <v>4.1686481040910092E-2</v>
      </c>
      <c r="V232" s="26">
        <f t="shared" si="111"/>
        <v>0.30693550092346472</v>
      </c>
      <c r="W232" s="26">
        <v>0</v>
      </c>
      <c r="X232" s="26">
        <f t="shared" si="112"/>
        <v>1</v>
      </c>
      <c r="Y232" s="74"/>
      <c r="AA232" s="4">
        <f>'[33]Predicted Residual Prices'!AP232</f>
        <v>2.7201453099040789</v>
      </c>
      <c r="AB232" s="4">
        <f>'[34]Predicted Distillate Prices'!AP232</f>
        <v>4.651216363946741</v>
      </c>
      <c r="AC232" s="4">
        <f>'[35]Predicted Gas Prices'!AQ232</f>
        <v>2.4350598234636704</v>
      </c>
      <c r="AD232" s="4">
        <f>'[36]Predicted LPG Prices'!AP232</f>
        <v>6.4106261958181427</v>
      </c>
      <c r="AE232" s="4">
        <f>'[37]Predicted Coal Prices'!AP232</f>
        <v>1.7520444626783127</v>
      </c>
      <c r="AF232" s="36">
        <f>3*AE232</f>
        <v>5.2561333880349377</v>
      </c>
      <c r="AG232" s="4">
        <v>0</v>
      </c>
      <c r="AH232" s="4"/>
      <c r="AI232" s="17" t="s">
        <v>36</v>
      </c>
      <c r="AJ232" s="115">
        <f t="shared" si="109"/>
        <v>3.3136829338005116</v>
      </c>
    </row>
    <row r="233" spans="4:36" x14ac:dyDescent="0.2">
      <c r="D233">
        <f>[13]Quantity_shares!BB459</f>
        <v>2008</v>
      </c>
      <c r="E233" t="str">
        <f>[13]Quantity_shares!BC459</f>
        <v>332</v>
      </c>
      <c r="F233" s="26">
        <f>[13]Quantity_shares!BD459</f>
        <v>0.9425117054274128</v>
      </c>
      <c r="G233" s="26">
        <f>[13]Quantity_shares!BE459</f>
        <v>1.4134161682493405E-2</v>
      </c>
      <c r="H233" s="26">
        <f>[13]Quantity_shares!BF459</f>
        <v>1.0596193408629545E-3</v>
      </c>
      <c r="I233" s="26">
        <f>[13]Quantity_shares!BG459</f>
        <v>4.2294513549230917E-2</v>
      </c>
      <c r="Q233" s="26">
        <f t="shared" si="111"/>
        <v>1.1649084011471824E-2</v>
      </c>
      <c r="R233" s="26">
        <f t="shared" si="111"/>
        <v>2.0564029202080225E-2</v>
      </c>
      <c r="S233" s="26">
        <f t="shared" si="111"/>
        <v>0.91902294018913411</v>
      </c>
      <c r="T233" s="26">
        <f t="shared" si="111"/>
        <v>2.0389596378327143E-2</v>
      </c>
      <c r="U233" s="26">
        <f t="shared" si="111"/>
        <v>2.8374350218986762E-2</v>
      </c>
      <c r="V233" s="26">
        <v>0</v>
      </c>
      <c r="W233" s="26">
        <v>0</v>
      </c>
      <c r="X233" s="26">
        <f t="shared" si="112"/>
        <v>1</v>
      </c>
      <c r="Y233" s="74"/>
      <c r="AA233" s="4">
        <f>'[33]Predicted Residual Prices'!AP233</f>
        <v>3.7073447751184503</v>
      </c>
      <c r="AB233" s="4">
        <f>'[34]Predicted Distillate Prices'!AP233</f>
        <v>5.5603955752465541</v>
      </c>
      <c r="AC233" s="4">
        <f>'[35]Predicted Gas Prices'!AQ233</f>
        <v>3.0649753266102033</v>
      </c>
      <c r="AD233" s="4">
        <f>'[36]Predicted LPG Prices'!AP233</f>
        <v>8.0393929126038159</v>
      </c>
      <c r="AE233" s="4">
        <f>'[37]Predicted Coal Prices'!AP233</f>
        <v>2.2582985999416789</v>
      </c>
      <c r="AF233" s="4">
        <v>0</v>
      </c>
      <c r="AG233" s="4">
        <v>0</v>
      </c>
      <c r="AH233" s="4"/>
      <c r="AI233" s="17" t="s">
        <v>38</v>
      </c>
      <c r="AJ233" s="115">
        <f t="shared" si="109"/>
        <v>3.2023116759863623</v>
      </c>
    </row>
    <row r="234" spans="4:36" x14ac:dyDescent="0.2">
      <c r="D234">
        <f>[13]Quantity_shares!BB460</f>
        <v>2008</v>
      </c>
      <c r="E234" t="str">
        <f>[13]Quantity_shares!BC460</f>
        <v>333</v>
      </c>
      <c r="F234" s="26">
        <f>[13]Quantity_shares!BD460</f>
        <v>0.9108625798105412</v>
      </c>
      <c r="G234" s="26">
        <f>[13]Quantity_shares!BE460</f>
        <v>3.6827609230897632E-2</v>
      </c>
      <c r="H234" s="26">
        <f>[13]Quantity_shares!BF460</f>
        <v>6.0231746164225407E-3</v>
      </c>
      <c r="I234" s="26">
        <f>[13]Quantity_shares!BG460</f>
        <v>4.6286636342138573E-2</v>
      </c>
      <c r="Q234" s="26">
        <f t="shared" si="111"/>
        <v>1.9793077774321079E-2</v>
      </c>
      <c r="R234" s="26">
        <f t="shared" si="111"/>
        <v>2.7807399864305547E-2</v>
      </c>
      <c r="S234" s="26">
        <f t="shared" si="111"/>
        <v>0.81681564695324971</v>
      </c>
      <c r="T234" s="26">
        <f t="shared" si="111"/>
        <v>2.2177403271369113E-2</v>
      </c>
      <c r="U234" s="26">
        <f t="shared" si="111"/>
        <v>0.11340647213675462</v>
      </c>
      <c r="V234" s="26">
        <v>0</v>
      </c>
      <c r="W234" s="26">
        <v>0</v>
      </c>
      <c r="X234" s="26">
        <f t="shared" si="112"/>
        <v>1</v>
      </c>
      <c r="Y234" s="74"/>
      <c r="AA234" s="4">
        <f>'[33]Predicted Residual Prices'!AP234</f>
        <v>3.1672189465824436</v>
      </c>
      <c r="AB234" s="4">
        <f>'[34]Predicted Distillate Prices'!AP234</f>
        <v>5.3134354307922784</v>
      </c>
      <c r="AC234" s="4">
        <f>'[35]Predicted Gas Prices'!AQ234</f>
        <v>3.2524378465742725</v>
      </c>
      <c r="AD234" s="4">
        <f>'[36]Predicted LPG Prices'!AP234</f>
        <v>8.3385563461465182</v>
      </c>
      <c r="AE234" s="4">
        <f>'[37]Predicted Coal Prices'!AP234</f>
        <v>1.6488882106466858</v>
      </c>
      <c r="AF234" s="4">
        <v>0</v>
      </c>
      <c r="AG234" s="4">
        <v>0</v>
      </c>
      <c r="AH234" s="4"/>
      <c r="AI234" s="17" t="s">
        <v>40</v>
      </c>
      <c r="AJ234" s="115">
        <f t="shared" si="109"/>
        <v>3.2390060801468694</v>
      </c>
    </row>
    <row r="235" spans="4:36" x14ac:dyDescent="0.2">
      <c r="D235">
        <f>[13]Quantity_shares!BB461</f>
        <v>2008</v>
      </c>
      <c r="E235" t="str">
        <f>[13]Quantity_shares!BC461</f>
        <v>334</v>
      </c>
      <c r="F235" s="26">
        <f>[13]Quantity_shares!BD461</f>
        <v>0.95150862068965525</v>
      </c>
      <c r="G235" s="26">
        <f>[13]Quantity_shares!BE461</f>
        <v>2.4820402298850575E-2</v>
      </c>
      <c r="H235" s="26">
        <f>[13]Quantity_shares!BF461</f>
        <v>1.0416666666666667E-3</v>
      </c>
      <c r="I235" s="26">
        <f>[13]Quantity_shares!BG461</f>
        <v>2.2629310344827583E-2</v>
      </c>
      <c r="Q235" s="26">
        <f t="shared" ref="Q235:U239" si="113">0.75*Q214+0.25*Q298</f>
        <v>3.3848472356163554E-2</v>
      </c>
      <c r="R235" s="26">
        <f t="shared" si="113"/>
        <v>1.8310351228592717E-2</v>
      </c>
      <c r="S235" s="26">
        <f t="shared" si="113"/>
        <v>0.81523478095500779</v>
      </c>
      <c r="T235" s="26">
        <f t="shared" si="113"/>
        <v>1.3031074160059847E-2</v>
      </c>
      <c r="U235" s="26">
        <f t="shared" si="113"/>
        <v>0.11957532130017576</v>
      </c>
      <c r="V235" s="26">
        <v>0</v>
      </c>
      <c r="W235" s="26">
        <v>0</v>
      </c>
      <c r="X235" s="26">
        <f t="shared" si="112"/>
        <v>0.99999999999999978</v>
      </c>
      <c r="Y235" s="74"/>
      <c r="AA235" s="4">
        <f>'[33]Predicted Residual Prices'!AP235</f>
        <v>3.5341344273841955</v>
      </c>
      <c r="AB235" s="4">
        <f>'[34]Predicted Distillate Prices'!AP235</f>
        <v>5.2816059232465795</v>
      </c>
      <c r="AC235" s="4">
        <f>'[35]Predicted Gas Prices'!AQ235</f>
        <v>3.3130333526751401</v>
      </c>
      <c r="AD235" s="4">
        <f>'[36]Predicted LPG Prices'!AP235</f>
        <v>6.035333260167012</v>
      </c>
      <c r="AE235" s="4">
        <f>'[37]Predicted Coal Prices'!AP235</f>
        <v>1.658921365617249</v>
      </c>
      <c r="AF235" s="4">
        <v>0</v>
      </c>
      <c r="AG235" s="4">
        <v>0</v>
      </c>
      <c r="AH235" s="4"/>
      <c r="AI235" s="17" t="s">
        <v>42</v>
      </c>
      <c r="AJ235" s="115">
        <f t="shared" si="109"/>
        <v>3.1942460611380139</v>
      </c>
    </row>
    <row r="236" spans="4:36" x14ac:dyDescent="0.2">
      <c r="D236">
        <f>[13]Quantity_shares!BB462</f>
        <v>2008</v>
      </c>
      <c r="E236" t="str">
        <f>[13]Quantity_shares!BC462</f>
        <v>335</v>
      </c>
      <c r="F236" s="26">
        <f>[13]Quantity_shares!BD462</f>
        <v>0.94097357607750209</v>
      </c>
      <c r="G236" s="26">
        <f>[13]Quantity_shares!BE462</f>
        <v>2.1070153864611141E-2</v>
      </c>
      <c r="H236" s="26">
        <f>[13]Quantity_shares!BF462</f>
        <v>6.2055727182747968E-3</v>
      </c>
      <c r="I236" s="26">
        <f>[13]Quantity_shares!BG462</f>
        <v>3.1750697339611889E-2</v>
      </c>
      <c r="Q236" s="26">
        <f t="shared" si="113"/>
        <v>2.5478343593922894E-2</v>
      </c>
      <c r="R236" s="26">
        <f t="shared" si="113"/>
        <v>1.7970213820133446E-2</v>
      </c>
      <c r="S236" s="26">
        <f t="shared" si="113"/>
        <v>0.92868645349300649</v>
      </c>
      <c r="T236" s="26">
        <f t="shared" si="113"/>
        <v>2.6975309377634663E-2</v>
      </c>
      <c r="U236" s="26">
        <f t="shared" si="113"/>
        <v>8.8967971530249127E-4</v>
      </c>
      <c r="V236" s="26">
        <v>0</v>
      </c>
      <c r="W236" s="26">
        <v>0</v>
      </c>
      <c r="X236" s="26">
        <f t="shared" si="112"/>
        <v>1</v>
      </c>
      <c r="Y236" s="74"/>
      <c r="AA236" s="4">
        <f>'[33]Predicted Residual Prices'!AP236</f>
        <v>3.5769945983002964</v>
      </c>
      <c r="AB236" s="4">
        <f>'[34]Predicted Distillate Prices'!AP236</f>
        <v>5.3339364156821505</v>
      </c>
      <c r="AC236" s="4">
        <f>'[35]Predicted Gas Prices'!AQ236</f>
        <v>3.0852988210305483</v>
      </c>
      <c r="AD236" s="4">
        <f>'[36]Predicted LPG Prices'!AP236</f>
        <v>6.4340608981993324</v>
      </c>
      <c r="AE236" s="4">
        <f>'[37]Predicted Coal Prices'!AP236</f>
        <v>2.1388986949993987</v>
      </c>
      <c r="AF236" s="4">
        <v>0</v>
      </c>
      <c r="AG236" s="4">
        <v>0</v>
      </c>
      <c r="AH236" s="4"/>
      <c r="AI236" s="17" t="s">
        <v>44</v>
      </c>
      <c r="AJ236" s="115">
        <f t="shared" si="109"/>
        <v>3.2277268134364165</v>
      </c>
    </row>
    <row r="237" spans="4:36" x14ac:dyDescent="0.2">
      <c r="D237">
        <f>[13]Quantity_shares!BB463</f>
        <v>2008</v>
      </c>
      <c r="E237" t="str">
        <f>[13]Quantity_shares!BC463</f>
        <v>336</v>
      </c>
      <c r="F237" s="26">
        <f>[13]Quantity_shares!BD463</f>
        <v>0.88274516181492924</v>
      </c>
      <c r="G237" s="26">
        <f>[13]Quantity_shares!BE463</f>
        <v>3.5100558356372311E-2</v>
      </c>
      <c r="H237" s="26">
        <f>[13]Quantity_shares!BF463</f>
        <v>1.9298530926437903E-2</v>
      </c>
      <c r="I237" s="26">
        <f>[13]Quantity_shares!BG463</f>
        <v>6.2855748902260533E-2</v>
      </c>
      <c r="Q237" s="26">
        <f t="shared" si="113"/>
        <v>4.3298890865470258E-2</v>
      </c>
      <c r="R237" s="26">
        <f t="shared" si="113"/>
        <v>3.7155462261698899E-2</v>
      </c>
      <c r="S237" s="26">
        <f t="shared" si="113"/>
        <v>0.78576309195464067</v>
      </c>
      <c r="T237" s="26">
        <f t="shared" si="113"/>
        <v>1.258261548650858E-2</v>
      </c>
      <c r="U237" s="26">
        <f t="shared" si="113"/>
        <v>0.12119993943168164</v>
      </c>
      <c r="V237" s="26">
        <v>0</v>
      </c>
      <c r="W237" s="26">
        <v>0</v>
      </c>
      <c r="X237" s="26">
        <f t="shared" si="112"/>
        <v>1.0000000000000002</v>
      </c>
      <c r="Y237" s="74"/>
      <c r="AA237" s="4">
        <f>'[33]Predicted Residual Prices'!AP237</f>
        <v>2.8713537832818594</v>
      </c>
      <c r="AB237" s="4">
        <f>'[34]Predicted Distillate Prices'!AP237</f>
        <v>4.4998595070462581</v>
      </c>
      <c r="AC237" s="4">
        <f>'[35]Predicted Gas Prices'!AQ237</f>
        <v>2.9136317978225841</v>
      </c>
      <c r="AD237" s="4">
        <f>'[36]Predicted LPG Prices'!AP237</f>
        <v>7.5489334144222315</v>
      </c>
      <c r="AE237" s="4">
        <f>'[37]Predicted Coal Prices'!AP237</f>
        <v>1.8906334217971397</v>
      </c>
      <c r="AF237" s="4">
        <v>0</v>
      </c>
      <c r="AG237" s="4">
        <v>0</v>
      </c>
      <c r="AH237" s="4"/>
      <c r="AI237" s="17" t="s">
        <v>46</v>
      </c>
      <c r="AJ237" s="115">
        <f t="shared" si="109"/>
        <v>2.9050751071661702</v>
      </c>
    </row>
    <row r="238" spans="4:36" x14ac:dyDescent="0.2">
      <c r="D238">
        <f>[13]Quantity_shares!BB464</f>
        <v>2008</v>
      </c>
      <c r="E238" t="str">
        <f>[13]Quantity_shares!BC464</f>
        <v>337</v>
      </c>
      <c r="F238" s="26">
        <f>[13]Quantity_shares!BD464</f>
        <v>0.63996010638297873</v>
      </c>
      <c r="G238" s="26">
        <f>[13]Quantity_shares!BE464</f>
        <v>1.7619680851063829E-2</v>
      </c>
      <c r="H238" s="26">
        <f>[13]Quantity_shares!BF464</f>
        <v>7.0367907801418439E-2</v>
      </c>
      <c r="I238" s="26">
        <f>[13]Quantity_shares!BG464</f>
        <v>0.27205230496453903</v>
      </c>
      <c r="Q238" s="26">
        <f t="shared" si="113"/>
        <v>1.3199158686178145E-2</v>
      </c>
      <c r="R238" s="26">
        <f t="shared" si="113"/>
        <v>3.1622045413259511E-2</v>
      </c>
      <c r="S238" s="26">
        <f t="shared" si="113"/>
        <v>0.84389082240377655</v>
      </c>
      <c r="T238" s="26">
        <f t="shared" si="113"/>
        <v>2.8161271657318458E-2</v>
      </c>
      <c r="U238" s="26">
        <f t="shared" si="113"/>
        <v>8.312670183946734E-2</v>
      </c>
      <c r="V238" s="26">
        <v>0</v>
      </c>
      <c r="W238" s="26">
        <v>0</v>
      </c>
      <c r="X238" s="26">
        <f t="shared" si="112"/>
        <v>1</v>
      </c>
      <c r="Y238" s="74"/>
      <c r="AA238" s="4">
        <f>'[33]Predicted Residual Prices'!AP238</f>
        <v>3.7281734580371935</v>
      </c>
      <c r="AB238" s="4">
        <f>'[34]Predicted Distillate Prices'!AP238</f>
        <v>5.5834124609133919</v>
      </c>
      <c r="AC238" s="4">
        <f>'[35]Predicted Gas Prices'!AQ238</f>
        <v>3.4661077436559156</v>
      </c>
      <c r="AD238" s="4">
        <f>'[36]Predicted LPG Prices'!AP238</f>
        <v>8.2432934707489185</v>
      </c>
      <c r="AE238" s="4">
        <f>'[37]Predicted Coal Prices'!AP238</f>
        <v>2.2185527463339927</v>
      </c>
      <c r="AF238" s="4">
        <v>0</v>
      </c>
      <c r="AG238" s="4">
        <v>0</v>
      </c>
      <c r="AH238" s="4"/>
      <c r="AI238" s="17" t="s">
        <v>48</v>
      </c>
      <c r="AJ238" s="115">
        <f t="shared" si="109"/>
        <v>3.5673467892564785</v>
      </c>
    </row>
    <row r="239" spans="4:36" x14ac:dyDescent="0.2">
      <c r="D239">
        <f>[13]Quantity_shares!BB465</f>
        <v>2008</v>
      </c>
      <c r="E239" t="str">
        <f>[13]Quantity_shares!BC465</f>
        <v>339</v>
      </c>
      <c r="F239" s="26">
        <f>[13]Quantity_shares!BD465</f>
        <v>0.84225911223385075</v>
      </c>
      <c r="G239" s="26">
        <f>[13]Quantity_shares!BE465</f>
        <v>8.6033922771562618E-2</v>
      </c>
      <c r="H239" s="26">
        <f>[13]Quantity_shares!BF465</f>
        <v>4.4749188018765795E-3</v>
      </c>
      <c r="I239" s="26">
        <f>[13]Quantity_shares!BG465</f>
        <v>6.7232046192710088E-2</v>
      </c>
      <c r="Q239" s="26">
        <f t="shared" si="113"/>
        <v>4.4384899253433772E-2</v>
      </c>
      <c r="R239" s="26">
        <f t="shared" si="113"/>
        <v>3.5735690486724023E-2</v>
      </c>
      <c r="S239" s="26">
        <f t="shared" si="113"/>
        <v>0.76008347042744218</v>
      </c>
      <c r="T239" s="26">
        <f t="shared" si="113"/>
        <v>5.6689342403628117E-3</v>
      </c>
      <c r="U239" s="26">
        <f t="shared" si="113"/>
        <v>0.15412700559203726</v>
      </c>
      <c r="V239" s="26">
        <v>0</v>
      </c>
      <c r="W239" s="26">
        <v>0</v>
      </c>
      <c r="X239" s="26">
        <f t="shared" si="112"/>
        <v>1</v>
      </c>
      <c r="Y239" s="74"/>
      <c r="AA239" s="4">
        <f>'[33]Predicted Residual Prices'!AP239</f>
        <v>3.3787526295356467</v>
      </c>
      <c r="AB239" s="4">
        <f>'[34]Predicted Distillate Prices'!AP239</f>
        <v>4.083097753533</v>
      </c>
      <c r="AC239" s="4">
        <f>'[35]Predicted Gas Prices'!AQ239</f>
        <v>3.8202220220286289</v>
      </c>
      <c r="AD239" s="4">
        <f>'[36]Predicted LPG Prices'!AP239</f>
        <v>7.4149554813714644</v>
      </c>
      <c r="AE239" s="4">
        <f>'[37]Predicted Coal Prices'!AP239</f>
        <v>2.0191814778170736</v>
      </c>
      <c r="AF239" s="4">
        <v>0</v>
      </c>
      <c r="AG239" s="4">
        <v>0</v>
      </c>
      <c r="AH239" s="4"/>
      <c r="AI239" s="17" t="s">
        <v>50</v>
      </c>
      <c r="AJ239" s="115">
        <f t="shared" si="109"/>
        <v>3.5528108148603312</v>
      </c>
    </row>
    <row r="240" spans="4:36" x14ac:dyDescent="0.2">
      <c r="D240">
        <f>[13]Quantity_shares!BB466</f>
        <v>2009</v>
      </c>
      <c r="E240" t="str">
        <f>[13]Quantity_shares!BC466</f>
        <v>311</v>
      </c>
      <c r="F240" s="26">
        <f>[13]Quantity_shares!BD466</f>
        <v>0.65121625146732753</v>
      </c>
      <c r="G240" s="26">
        <f>[13]Quantity_shares!BE466</f>
        <v>3.9500456501891226E-2</v>
      </c>
      <c r="H240" s="26">
        <f>[13]Quantity_shares!BF466</f>
        <v>0.19256554062866832</v>
      </c>
      <c r="I240" s="26">
        <f>[13]Quantity_shares!BG466</f>
        <v>0.11671775140211296</v>
      </c>
      <c r="P240">
        <v>1996</v>
      </c>
      <c r="Q240" s="26">
        <f t="shared" ref="Q240:V255" si="114">0.5*Q198+0.5*Q282</f>
        <v>2.6557808955063305E-2</v>
      </c>
      <c r="R240" s="26">
        <f t="shared" si="114"/>
        <v>2.2280939934942227E-2</v>
      </c>
      <c r="S240" s="26">
        <f t="shared" si="114"/>
        <v>0.76306071473154979</v>
      </c>
      <c r="T240" s="26">
        <f t="shared" si="114"/>
        <v>7.2449254667058859E-3</v>
      </c>
      <c r="U240" s="26">
        <f t="shared" si="114"/>
        <v>0.18085561091173874</v>
      </c>
      <c r="V240" s="26">
        <v>0</v>
      </c>
      <c r="W240" s="26">
        <v>0</v>
      </c>
      <c r="X240" s="26">
        <f t="shared" si="112"/>
        <v>0.99999999999999989</v>
      </c>
      <c r="Y240" s="74"/>
      <c r="Z240">
        <v>1996</v>
      </c>
      <c r="AA240" s="4">
        <f>'[33]Predicted Residual Prices'!AP240</f>
        <v>3.3174656999997332</v>
      </c>
      <c r="AB240" s="4">
        <f>'[34]Predicted Distillate Prices'!AP240</f>
        <v>5.8437875741095198</v>
      </c>
      <c r="AC240" s="4">
        <f>'[35]Predicted Gas Prices'!AQ240</f>
        <v>3.1577052709253088</v>
      </c>
      <c r="AD240" s="4">
        <f>'[36]Predicted LPG Prices'!AP240</f>
        <v>8.2953227267034571</v>
      </c>
      <c r="AE240" s="4">
        <f>'[37]Predicted Coal Prices'!AP240</f>
        <v>1.4664630623600532</v>
      </c>
      <c r="AF240" s="4">
        <v>0</v>
      </c>
      <c r="AG240" s="4">
        <v>0</v>
      </c>
      <c r="AH240" s="4"/>
      <c r="AI240" s="17" t="s">
        <v>10</v>
      </c>
      <c r="AJ240" s="115">
        <f t="shared" si="109"/>
        <v>2.953147609050577</v>
      </c>
    </row>
    <row r="241" spans="4:36" x14ac:dyDescent="0.2">
      <c r="D241">
        <f>[13]Quantity_shares!BB467</f>
        <v>2009</v>
      </c>
      <c r="E241" t="str">
        <f>[13]Quantity_shares!BC467</f>
        <v>312</v>
      </c>
      <c r="F241" s="26">
        <f>[13]Quantity_shares!BD467</f>
        <v>0.62278956675508401</v>
      </c>
      <c r="G241" s="26">
        <f>[13]Quantity_shares!BE467</f>
        <v>3.8682581786030061E-2</v>
      </c>
      <c r="H241" s="26">
        <f>[13]Quantity_shares!BF467</f>
        <v>0.19341290893015031</v>
      </c>
      <c r="I241" s="26">
        <f>[13]Quantity_shares!BG467</f>
        <v>0.14511494252873564</v>
      </c>
      <c r="Q241" s="26">
        <f t="shared" si="114"/>
        <v>4.180595672182167E-2</v>
      </c>
      <c r="R241" s="26">
        <f t="shared" si="114"/>
        <v>1.6905449926214147E-2</v>
      </c>
      <c r="S241" s="26">
        <f t="shared" si="114"/>
        <v>0.52572961283215813</v>
      </c>
      <c r="T241" s="26">
        <f t="shared" si="114"/>
        <v>7.1087168057304088E-3</v>
      </c>
      <c r="U241" s="26">
        <f t="shared" si="114"/>
        <v>0.40845026371407567</v>
      </c>
      <c r="V241" s="26">
        <v>0</v>
      </c>
      <c r="W241" s="26">
        <v>0</v>
      </c>
      <c r="X241" s="26">
        <f t="shared" si="112"/>
        <v>1</v>
      </c>
      <c r="Y241" s="74"/>
      <c r="AA241" s="4">
        <f>'[33]Predicted Residual Prices'!AP241</f>
        <v>3.3782650476594083</v>
      </c>
      <c r="AB241" s="4">
        <f>'[34]Predicted Distillate Prices'!AP241</f>
        <v>6.02</v>
      </c>
      <c r="AC241" s="4">
        <f>'[35]Predicted Gas Prices'!AQ241</f>
        <v>3.5255000000000001</v>
      </c>
      <c r="AD241" s="4">
        <f>'[36]Predicted LPG Prices'!AP241</f>
        <v>8.4101283037048997</v>
      </c>
      <c r="AE241" s="4">
        <f>'[37]Predicted Coal Prices'!AP241</f>
        <v>1.8868483775923983</v>
      </c>
      <c r="AF241" s="4">
        <v>0</v>
      </c>
      <c r="AG241" s="4">
        <v>0</v>
      </c>
      <c r="AH241" s="4"/>
      <c r="AI241" s="17" t="s">
        <v>12</v>
      </c>
      <c r="AJ241" s="115">
        <f t="shared" si="109"/>
        <v>2.9269310987998618</v>
      </c>
    </row>
    <row r="242" spans="4:36" x14ac:dyDescent="0.2">
      <c r="D242">
        <f>[13]Quantity_shares!BB468</f>
        <v>2009</v>
      </c>
      <c r="E242" t="str">
        <f>[13]Quantity_shares!BC468</f>
        <v>313</v>
      </c>
      <c r="F242" s="26">
        <f>[13]Quantity_shares!BD468</f>
        <v>0.61073991031390129</v>
      </c>
      <c r="G242" s="26">
        <f>[13]Quantity_shares!BE468</f>
        <v>6.5605381165919283E-2</v>
      </c>
      <c r="H242" s="26">
        <f>[13]Quantity_shares!BF468</f>
        <v>0.1917488789237668</v>
      </c>
      <c r="I242" s="26">
        <f>[13]Quantity_shares!BG468</f>
        <v>0.13190582959641256</v>
      </c>
      <c r="Q242" s="26">
        <f t="shared" si="114"/>
        <v>8.8847328191050803E-2</v>
      </c>
      <c r="R242" s="26">
        <f t="shared" si="114"/>
        <v>3.3986588275755333E-2</v>
      </c>
      <c r="S242" s="26">
        <f t="shared" si="114"/>
        <v>0.681975003900956</v>
      </c>
      <c r="T242" s="26">
        <f t="shared" si="114"/>
        <v>1.4352675168848198E-2</v>
      </c>
      <c r="U242" s="26">
        <f t="shared" si="114"/>
        <v>0.18083840446338961</v>
      </c>
      <c r="V242" s="26">
        <v>0</v>
      </c>
      <c r="W242" s="26">
        <v>0</v>
      </c>
      <c r="X242" s="26">
        <f t="shared" si="112"/>
        <v>1</v>
      </c>
      <c r="Y242" s="74"/>
      <c r="AA242" s="4">
        <f>'[33]Predicted Residual Prices'!AP242</f>
        <v>3.8332777082391076</v>
      </c>
      <c r="AB242" s="4">
        <f>'[34]Predicted Distillate Prices'!AP242</f>
        <v>5.2972470074785392</v>
      </c>
      <c r="AC242" s="4">
        <f>'[35]Predicted Gas Prices'!AQ242</f>
        <v>3.7705893695506369</v>
      </c>
      <c r="AD242" s="4">
        <f>'[36]Predicted LPG Prices'!AP242</f>
        <v>7.5418574785606012</v>
      </c>
      <c r="AE242" s="4">
        <f>'[37]Predicted Coal Prices'!AP242</f>
        <v>2.0043837949327425</v>
      </c>
      <c r="AF242" s="4">
        <v>0</v>
      </c>
      <c r="AG242" s="4">
        <v>0</v>
      </c>
      <c r="AH242" s="4"/>
      <c r="AI242" s="17" t="s">
        <v>14</v>
      </c>
      <c r="AJ242" s="115">
        <f t="shared" si="109"/>
        <v>3.5627749336051484</v>
      </c>
    </row>
    <row r="243" spans="4:36" x14ac:dyDescent="0.2">
      <c r="D243">
        <f>[13]Quantity_shares!BB469</f>
        <v>2009</v>
      </c>
      <c r="E243" t="str">
        <f>[13]Quantity_shares!BC469</f>
        <v>314</v>
      </c>
      <c r="F243" s="26">
        <f>[13]Quantity_shares!BD469</f>
        <v>0.78365384615384615</v>
      </c>
      <c r="G243" s="26">
        <f>[13]Quantity_shares!BE469</f>
        <v>5.9615384615384619E-2</v>
      </c>
      <c r="H243" s="26">
        <f>[13]Quantity_shares!BF469</f>
        <v>0.12067307692307692</v>
      </c>
      <c r="I243" s="26">
        <f>[13]Quantity_shares!BG469</f>
        <v>3.6057692307692304E-2</v>
      </c>
      <c r="Q243" s="26">
        <f t="shared" si="114"/>
        <v>9.3159996654662666E-2</v>
      </c>
      <c r="R243" s="26">
        <f t="shared" si="114"/>
        <v>4.328577965041841E-2</v>
      </c>
      <c r="S243" s="26">
        <f t="shared" si="114"/>
        <v>0.69504778018127955</v>
      </c>
      <c r="T243" s="26">
        <f t="shared" si="114"/>
        <v>1.1926799158066527E-2</v>
      </c>
      <c r="U243" s="26">
        <f t="shared" si="114"/>
        <v>0.15657964435557289</v>
      </c>
      <c r="V243" s="26">
        <v>0</v>
      </c>
      <c r="W243" s="26">
        <v>0</v>
      </c>
      <c r="X243" s="26">
        <f t="shared" si="112"/>
        <v>1</v>
      </c>
      <c r="Y243" s="74"/>
      <c r="AA243" s="4">
        <f>'[33]Predicted Residual Prices'!AP243</f>
        <v>4.0312280710113635</v>
      </c>
      <c r="AB243" s="4">
        <f>'[34]Predicted Distillate Prices'!AP243</f>
        <v>4.760058717453874</v>
      </c>
      <c r="AC243" s="4">
        <f>'[35]Predicted Gas Prices'!AQ243</f>
        <v>3.8553583083869061</v>
      </c>
      <c r="AD243" s="4">
        <f>'[36]Predicted LPG Prices'!AP243</f>
        <v>8.7437946996447984</v>
      </c>
      <c r="AE243" s="4">
        <f>'[37]Predicted Coal Prices'!AP243</f>
        <v>1.9701651764926544</v>
      </c>
      <c r="AF243" s="4">
        <v>0</v>
      </c>
      <c r="AG243" s="4">
        <v>0</v>
      </c>
      <c r="AH243" s="4"/>
      <c r="AI243" s="17" t="s">
        <v>16</v>
      </c>
      <c r="AJ243" s="115">
        <f t="shared" si="109"/>
        <v>3.6740235263431194</v>
      </c>
    </row>
    <row r="244" spans="4:36" x14ac:dyDescent="0.2">
      <c r="D244">
        <f>[13]Quantity_shares!BB470</f>
        <v>2009</v>
      </c>
      <c r="E244" t="str">
        <f>[13]Quantity_shares!BC470</f>
        <v>315</v>
      </c>
      <c r="F244" s="26">
        <f>[13]Quantity_shares!BD470</f>
        <v>0.83287671232876692</v>
      </c>
      <c r="G244" s="26">
        <f>[13]Quantity_shares!BE470</f>
        <v>7.0273972602739709E-2</v>
      </c>
      <c r="H244" s="26">
        <f>[13]Quantity_shares!BF470</f>
        <v>3.4246575342465709E-16</v>
      </c>
      <c r="I244" s="26">
        <f>[13]Quantity_shares!BG470</f>
        <v>9.6849315068493133E-2</v>
      </c>
      <c r="Q244" s="26">
        <f t="shared" si="114"/>
        <v>5.275986297668743E-2</v>
      </c>
      <c r="R244" s="26">
        <f t="shared" si="114"/>
        <v>2.8381934537812799E-2</v>
      </c>
      <c r="S244" s="26">
        <f t="shared" si="114"/>
        <v>0.83208095564085638</v>
      </c>
      <c r="T244" s="26">
        <f t="shared" si="114"/>
        <v>2.9462764987193357E-2</v>
      </c>
      <c r="U244" s="26">
        <f t="shared" si="114"/>
        <v>5.7314481857450181E-2</v>
      </c>
      <c r="V244" s="26">
        <v>0</v>
      </c>
      <c r="W244" s="26">
        <v>0</v>
      </c>
      <c r="X244" s="26">
        <f t="shared" si="112"/>
        <v>1.0000000000000002</v>
      </c>
      <c r="Y244" s="74"/>
      <c r="AA244" s="4">
        <f>'[33]Predicted Residual Prices'!AP244</f>
        <v>4.1799042413844418</v>
      </c>
      <c r="AB244" s="4">
        <f>'[34]Predicted Distillate Prices'!AP244</f>
        <v>4.9282016474261621</v>
      </c>
      <c r="AC244" s="4">
        <f>'[35]Predicted Gas Prices'!AQ244</f>
        <v>4.3326519479097145</v>
      </c>
      <c r="AD244" s="4">
        <f>'[36]Predicted LPG Prices'!AP244</f>
        <v>8.5474676708443642</v>
      </c>
      <c r="AE244" s="4">
        <f>'[37]Predicted Coal Prices'!AP244</f>
        <v>2.2321395006950295</v>
      </c>
      <c r="AF244" s="4">
        <v>0</v>
      </c>
      <c r="AG244" s="4">
        <v>0</v>
      </c>
      <c r="AH244" s="4"/>
      <c r="AI244" s="17" t="s">
        <v>18</v>
      </c>
      <c r="AJ244" s="115">
        <f t="shared" si="109"/>
        <v>4.3452861949910453</v>
      </c>
    </row>
    <row r="245" spans="4:36" x14ac:dyDescent="0.2">
      <c r="D245">
        <f>[13]Quantity_shares!BB471</f>
        <v>2009</v>
      </c>
      <c r="E245" t="str">
        <f>[13]Quantity_shares!BC471</f>
        <v>316</v>
      </c>
      <c r="F245" s="26">
        <f>[13]Quantity_shares!BD471</f>
        <v>0.53151260504201547</v>
      </c>
      <c r="G245" s="26">
        <f>[13]Quantity_shares!BE471</f>
        <v>7.9831932773108988E-2</v>
      </c>
      <c r="H245" s="26">
        <f>[13]Quantity_shares!BF471</f>
        <v>1.7857142857142729E-15</v>
      </c>
      <c r="I245" s="26">
        <f>[13]Quantity_shares!BG471</f>
        <v>0.38865546218487368</v>
      </c>
      <c r="Q245" s="26">
        <f t="shared" si="114"/>
        <v>0.13831382349398003</v>
      </c>
      <c r="R245" s="26">
        <f t="shared" si="114"/>
        <v>0.11511704141675991</v>
      </c>
      <c r="S245" s="26">
        <f t="shared" si="114"/>
        <v>0.7067576325817061</v>
      </c>
      <c r="T245" s="26">
        <f t="shared" si="114"/>
        <v>3.9811502507553984E-2</v>
      </c>
      <c r="U245" s="26">
        <f t="shared" si="114"/>
        <v>0</v>
      </c>
      <c r="V245" s="26">
        <v>0</v>
      </c>
      <c r="W245" s="26">
        <v>0</v>
      </c>
      <c r="X245" s="26">
        <f t="shared" si="112"/>
        <v>1</v>
      </c>
      <c r="Y245" s="74"/>
      <c r="AA245" s="4">
        <f>'[33]Predicted Residual Prices'!AP245</f>
        <v>3.5235168337379967</v>
      </c>
      <c r="AB245" s="4">
        <f>'[34]Predicted Distillate Prices'!AP245</f>
        <v>5.3152466416248423</v>
      </c>
      <c r="AC245" s="4">
        <f>'[35]Predicted Gas Prices'!AQ245</f>
        <v>4.0093320284405305</v>
      </c>
      <c r="AD245" s="4">
        <f>'[36]Predicted LPG Prices'!AP245</f>
        <v>6.7464884108069256</v>
      </c>
      <c r="AE245" s="4">
        <f>'[37]Predicted Coal Prices'!AP245</f>
        <v>1.683447743336842</v>
      </c>
      <c r="AF245" s="4">
        <v>0</v>
      </c>
      <c r="AG245" s="4">
        <v>0</v>
      </c>
      <c r="AH245" s="4"/>
      <c r="AI245" s="17" t="s">
        <v>20</v>
      </c>
      <c r="AJ245" s="115">
        <f t="shared" si="109"/>
        <v>4.2014404061425878</v>
      </c>
    </row>
    <row r="246" spans="4:36" x14ac:dyDescent="0.2">
      <c r="D246">
        <f>[13]Quantity_shares!BB472</f>
        <v>2009</v>
      </c>
      <c r="E246" t="str">
        <f>[13]Quantity_shares!BC472</f>
        <v>321</v>
      </c>
      <c r="F246" s="26">
        <f>[13]Quantity_shares!BD472</f>
        <v>0.12182694051689366</v>
      </c>
      <c r="G246" s="26">
        <f>[13]Quantity_shares!BE472</f>
        <v>5.3667240571847782E-2</v>
      </c>
      <c r="H246" s="26">
        <f>[13]Quantity_shares!BF472</f>
        <v>1.3096272594132631E-2</v>
      </c>
      <c r="I246" s="26">
        <f>[13]Quantity_shares!BG472</f>
        <v>0.81140954631712592</v>
      </c>
      <c r="Q246" s="26">
        <f t="shared" si="114"/>
        <v>1.8171680557399861E-2</v>
      </c>
      <c r="R246" s="26">
        <f t="shared" si="114"/>
        <v>0.20592333584470246</v>
      </c>
      <c r="S246" s="26">
        <f t="shared" si="114"/>
        <v>0.70503574528316804</v>
      </c>
      <c r="T246" s="26">
        <f t="shared" si="114"/>
        <v>4.6240101619327553E-2</v>
      </c>
      <c r="U246" s="26">
        <f t="shared" si="114"/>
        <v>2.4629136695402037E-2</v>
      </c>
      <c r="V246" s="26">
        <v>0</v>
      </c>
      <c r="W246" s="26">
        <v>0</v>
      </c>
      <c r="X246" s="26">
        <f t="shared" si="112"/>
        <v>1</v>
      </c>
      <c r="Y246" s="74"/>
      <c r="AA246" s="4">
        <f>'[33]Predicted Residual Prices'!AP246</f>
        <v>3.2401439518514343</v>
      </c>
      <c r="AB246" s="4">
        <f>'[34]Predicted Distillate Prices'!AP246</f>
        <v>5.5270232133183193</v>
      </c>
      <c r="AC246" s="4">
        <f>'[35]Predicted Gas Prices'!AQ246</f>
        <v>3.466385917128787</v>
      </c>
      <c r="AD246" s="4">
        <f>'[36]Predicted LPG Prices'!AP246</f>
        <v>7.2706560446276587</v>
      </c>
      <c r="AE246" s="4">
        <f>'[37]Predicted Coal Prices'!AP246</f>
        <v>2.2866530557124269</v>
      </c>
      <c r="AF246" s="4">
        <v>0</v>
      </c>
      <c r="AG246" s="4">
        <v>0</v>
      </c>
      <c r="AH246" s="4"/>
      <c r="AI246" s="17" t="s">
        <v>22</v>
      </c>
      <c r="AJ246" s="115">
        <f t="shared" si="109"/>
        <v>4.0334620617794839</v>
      </c>
    </row>
    <row r="247" spans="4:36" x14ac:dyDescent="0.2">
      <c r="D247">
        <f>[13]Quantity_shares!BB473</f>
        <v>2009</v>
      </c>
      <c r="E247" t="str">
        <f>[13]Quantity_shares!BC473</f>
        <v>322</v>
      </c>
      <c r="F247" s="26">
        <f>[13]Quantity_shares!BD473</f>
        <v>0.21341216377450162</v>
      </c>
      <c r="G247" s="26">
        <f>[13]Quantity_shares!BE473</f>
        <v>2.8493344821304351E-2</v>
      </c>
      <c r="H247" s="26">
        <f>[13]Quantity_shares!BF473</f>
        <v>0.10787874161335978</v>
      </c>
      <c r="I247" s="26">
        <f>[13]Quantity_shares!BG473</f>
        <v>0.6502157497908343</v>
      </c>
      <c r="Q247" s="26">
        <f t="shared" si="114"/>
        <v>0.15443878562459443</v>
      </c>
      <c r="R247" s="26">
        <f t="shared" si="114"/>
        <v>8.6376499320616786E-3</v>
      </c>
      <c r="S247" s="26">
        <f t="shared" si="114"/>
        <v>0.55481816361627034</v>
      </c>
      <c r="T247" s="26">
        <f t="shared" si="114"/>
        <v>4.6578797455948725E-3</v>
      </c>
      <c r="U247" s="26">
        <f t="shared" si="114"/>
        <v>0.27744752108147858</v>
      </c>
      <c r="V247" s="26">
        <v>0</v>
      </c>
      <c r="W247" s="26">
        <v>0</v>
      </c>
      <c r="X247" s="26">
        <f t="shared" si="112"/>
        <v>0.99999999999999978</v>
      </c>
      <c r="Y247" s="74"/>
      <c r="AA247" s="4">
        <f>'[33]Predicted Residual Prices'!AP247</f>
        <v>3.1872099927807369</v>
      </c>
      <c r="AB247" s="4">
        <f>'[34]Predicted Distillate Prices'!AP247</f>
        <v>5.2407927117830937</v>
      </c>
      <c r="AC247" s="4">
        <f>'[35]Predicted Gas Prices'!AQ247</f>
        <v>2.7541979679236959</v>
      </c>
      <c r="AD247" s="4">
        <f>'[36]Predicted LPG Prices'!AP247</f>
        <v>8.6187909560065492</v>
      </c>
      <c r="AE247" s="4">
        <f>'[37]Predicted Coal Prices'!AP247</f>
        <v>1.8178972609764608</v>
      </c>
      <c r="AF247" s="4">
        <v>0</v>
      </c>
      <c r="AG247" s="4">
        <v>0</v>
      </c>
      <c r="AH247" s="4"/>
      <c r="AI247" s="17" t="s">
        <v>24</v>
      </c>
      <c r="AJ247" s="115">
        <f t="shared" si="109"/>
        <v>2.6100924128898284</v>
      </c>
    </row>
    <row r="248" spans="4:36" x14ac:dyDescent="0.2">
      <c r="D248">
        <f>[13]Quantity_shares!BB474</f>
        <v>2009</v>
      </c>
      <c r="E248" t="str">
        <f>[13]Quantity_shares!BC474</f>
        <v>323</v>
      </c>
      <c r="F248" s="26">
        <f>[13]Quantity_shares!BD474</f>
        <v>0.94730392156862731</v>
      </c>
      <c r="G248" s="26">
        <f>[13]Quantity_shares!BE474</f>
        <v>2.0343137254901958E-2</v>
      </c>
      <c r="H248" s="26">
        <f>[13]Quantity_shares!BF474</f>
        <v>6.1274509803921556E-17</v>
      </c>
      <c r="I248" s="26">
        <f>[13]Quantity_shares!BG474</f>
        <v>3.235294117647064E-2</v>
      </c>
      <c r="Q248" s="26">
        <f t="shared" si="114"/>
        <v>7.4162583595955593E-3</v>
      </c>
      <c r="R248" s="26">
        <f t="shared" si="114"/>
        <v>2.2659580952018719E-2</v>
      </c>
      <c r="S248" s="26">
        <f t="shared" si="114"/>
        <v>0.95215246146684107</v>
      </c>
      <c r="T248" s="26">
        <f t="shared" si="114"/>
        <v>1.7215525695404538E-2</v>
      </c>
      <c r="U248" s="26">
        <f t="shared" si="114"/>
        <v>5.5617352614015572E-4</v>
      </c>
      <c r="V248" s="26">
        <v>0</v>
      </c>
      <c r="W248" s="26">
        <v>0</v>
      </c>
      <c r="X248" s="26">
        <f t="shared" si="112"/>
        <v>1</v>
      </c>
      <c r="Y248" s="74"/>
      <c r="AA248" s="4">
        <f>'[33]Predicted Residual Prices'!AP248</f>
        <v>3.533861068710384</v>
      </c>
      <c r="AB248" s="4">
        <f>'[34]Predicted Distillate Prices'!AP248</f>
        <v>6.2829447292831651</v>
      </c>
      <c r="AC248" s="4">
        <f>'[35]Predicted Gas Prices'!AQ248</f>
        <v>4.3442071125942618</v>
      </c>
      <c r="AD248" s="4">
        <f>'[36]Predicted LPG Prices'!AP248</f>
        <v>7.9447977344812841</v>
      </c>
      <c r="AE248" s="4">
        <f>'[37]Predicted Coal Prices'!AP248</f>
        <v>2.059526956979215</v>
      </c>
      <c r="AF248" s="4">
        <v>0</v>
      </c>
      <c r="AG248" s="4">
        <v>0</v>
      </c>
      <c r="AH248" s="4"/>
      <c r="AI248" s="17" t="s">
        <v>26</v>
      </c>
      <c r="AJ248" s="115">
        <f t="shared" si="109"/>
        <v>4.4428437406937071</v>
      </c>
    </row>
    <row r="249" spans="4:36" x14ac:dyDescent="0.2">
      <c r="D249">
        <f>[13]Quantity_shares!BB475</f>
        <v>2009</v>
      </c>
      <c r="E249" t="str">
        <f>[13]Quantity_shares!BC475</f>
        <v>324</v>
      </c>
      <c r="F249" s="26">
        <f>[13]Quantity_shares!BD475</f>
        <v>0.28312509470543212</v>
      </c>
      <c r="G249" s="26">
        <f>[13]Quantity_shares!BE475</f>
        <v>1.6102206102332376E-2</v>
      </c>
      <c r="H249" s="26">
        <f>[13]Quantity_shares!BF475</f>
        <v>6.6768300974834579E-3</v>
      </c>
      <c r="I249" s="26">
        <f>[13]Quantity_shares!BG475</f>
        <v>0.69409586909475207</v>
      </c>
      <c r="Q249" s="26">
        <f t="shared" si="114"/>
        <v>3.0491200045646691E-2</v>
      </c>
      <c r="R249" s="26">
        <f t="shared" si="114"/>
        <v>1.9286205144043785E-2</v>
      </c>
      <c r="S249" s="26">
        <f t="shared" si="114"/>
        <v>0.9269024970979749</v>
      </c>
      <c r="T249" s="26">
        <f t="shared" si="114"/>
        <v>2.0926036834936157E-2</v>
      </c>
      <c r="U249" s="26">
        <f t="shared" si="114"/>
        <v>2.3940608773984993E-3</v>
      </c>
      <c r="V249" s="26">
        <v>0</v>
      </c>
      <c r="W249" s="26">
        <v>0</v>
      </c>
      <c r="X249" s="26">
        <f t="shared" si="112"/>
        <v>1</v>
      </c>
      <c r="Y249" s="74"/>
      <c r="AA249" s="4">
        <f>'[33]Predicted Residual Prices'!AP249</f>
        <v>3.0596142172970362</v>
      </c>
      <c r="AB249" s="4">
        <f>'[34]Predicted Distillate Prices'!AP249</f>
        <v>5.0086753363968519</v>
      </c>
      <c r="AC249" s="4">
        <f>'[35]Predicted Gas Prices'!AQ249</f>
        <v>2.5846083261147492</v>
      </c>
      <c r="AD249" s="4">
        <f>'[36]Predicted LPG Prices'!AP249</f>
        <v>6.5047597907099508</v>
      </c>
      <c r="AE249" s="4">
        <f>'[37]Predicted Coal Prices'!AP249</f>
        <v>1.6432523547390614</v>
      </c>
      <c r="AF249" s="4">
        <v>0</v>
      </c>
      <c r="AG249" s="4">
        <v>0</v>
      </c>
      <c r="AH249" s="4"/>
      <c r="AI249" s="17" t="s">
        <v>28</v>
      </c>
      <c r="AJ249" s="115">
        <f t="shared" si="109"/>
        <v>2.7256224498527311</v>
      </c>
    </row>
    <row r="250" spans="4:36" x14ac:dyDescent="0.2">
      <c r="D250">
        <f>[13]Quantity_shares!BB476</f>
        <v>2009</v>
      </c>
      <c r="E250" t="str">
        <f>[13]Quantity_shares!BC476</f>
        <v>325</v>
      </c>
      <c r="F250" s="26">
        <f>[13]Quantity_shares!BD476</f>
        <v>0.61304121466164518</v>
      </c>
      <c r="G250" s="26">
        <f>[13]Quantity_shares!BE476</f>
        <v>7.0483260440495354E-3</v>
      </c>
      <c r="H250" s="26">
        <f>[13]Quantity_shares!BF476</f>
        <v>6.9727898492942877E-2</v>
      </c>
      <c r="I250" s="26">
        <f>[13]Quantity_shares!BG476</f>
        <v>0.31018256080136242</v>
      </c>
      <c r="Q250" s="26">
        <f t="shared" si="114"/>
        <v>2.1960735946691467E-2</v>
      </c>
      <c r="R250" s="26">
        <f t="shared" si="114"/>
        <v>4.8150799433943001E-3</v>
      </c>
      <c r="S250" s="26">
        <f t="shared" si="114"/>
        <v>0.84444412688573323</v>
      </c>
      <c r="T250" s="26">
        <f t="shared" si="114"/>
        <v>1.1435289192752471E-2</v>
      </c>
      <c r="U250" s="26">
        <f t="shared" si="114"/>
        <v>0.11734476803142849</v>
      </c>
      <c r="V250" s="26">
        <v>0</v>
      </c>
      <c r="W250" s="26">
        <v>0</v>
      </c>
      <c r="X250" s="26">
        <f t="shared" si="112"/>
        <v>1</v>
      </c>
      <c r="Y250" s="74"/>
      <c r="AA250" s="4">
        <f>'[33]Predicted Residual Prices'!AP250</f>
        <v>3.5747763434274447</v>
      </c>
      <c r="AB250" s="4">
        <f>'[34]Predicted Distillate Prices'!AP250</f>
        <v>5.5512573181295926</v>
      </c>
      <c r="AC250" s="4">
        <f>'[35]Predicted Gas Prices'!AQ250</f>
        <v>2.4932533490511455</v>
      </c>
      <c r="AD250" s="4">
        <f>'[36]Predicted LPG Prices'!AP250</f>
        <v>5.8165836715075923</v>
      </c>
      <c r="AE250" s="4">
        <f>'[37]Predicted Coal Prices'!AP250</f>
        <v>1.6808717908020561</v>
      </c>
      <c r="AF250" s="4">
        <v>0</v>
      </c>
      <c r="AG250" s="4">
        <v>0</v>
      </c>
      <c r="AH250" s="4"/>
      <c r="AI250" s="17" t="s">
        <v>30</v>
      </c>
      <c r="AJ250" s="115">
        <f t="shared" si="109"/>
        <v>2.4744034413438314</v>
      </c>
    </row>
    <row r="251" spans="4:36" x14ac:dyDescent="0.2">
      <c r="D251">
        <f>[13]Quantity_shares!BB477</f>
        <v>2009</v>
      </c>
      <c r="E251" t="str">
        <f>[13]Quantity_shares!BC477</f>
        <v>326</v>
      </c>
      <c r="F251" s="26">
        <f>[13]Quantity_shares!BD477</f>
        <v>0.87305851721888561</v>
      </c>
      <c r="G251" s="26">
        <f>[13]Quantity_shares!BE477</f>
        <v>3.4440161279438553E-2</v>
      </c>
      <c r="H251" s="26">
        <f>[13]Quantity_shares!BF477</f>
        <v>3.2134000269923746E-2</v>
      </c>
      <c r="I251" s="26">
        <f>[13]Quantity_shares!BG477</f>
        <v>6.0367321231752029E-2</v>
      </c>
      <c r="Q251" s="26">
        <f t="shared" si="114"/>
        <v>5.6319027969978737E-2</v>
      </c>
      <c r="R251" s="26">
        <f t="shared" si="114"/>
        <v>1.5583936509289444E-2</v>
      </c>
      <c r="S251" s="26">
        <f t="shared" si="114"/>
        <v>0.87322367418509672</v>
      </c>
      <c r="T251" s="26">
        <f t="shared" si="114"/>
        <v>2.5711632897545494E-2</v>
      </c>
      <c r="U251" s="26">
        <f t="shared" si="114"/>
        <v>2.9161728438089611E-2</v>
      </c>
      <c r="V251" s="26">
        <v>0</v>
      </c>
      <c r="W251" s="26">
        <v>0</v>
      </c>
      <c r="X251" s="26">
        <f t="shared" si="112"/>
        <v>1</v>
      </c>
      <c r="Y251" s="74"/>
      <c r="AA251" s="4">
        <f>'[33]Predicted Residual Prices'!AP251</f>
        <v>3.5439159622114991</v>
      </c>
      <c r="AB251" s="4">
        <f>'[34]Predicted Distillate Prices'!AP251</f>
        <v>6.4994810450528036</v>
      </c>
      <c r="AC251" s="4">
        <f>'[35]Predicted Gas Prices'!AQ251</f>
        <v>3.6697899796426312</v>
      </c>
      <c r="AD251" s="4">
        <f>'[36]Predicted LPG Prices'!AP251</f>
        <v>7.8802471965213936</v>
      </c>
      <c r="AE251" s="4">
        <f>'[37]Predicted Coal Prices'!AP251</f>
        <v>2.428217789856375</v>
      </c>
      <c r="AF251" s="4">
        <v>0</v>
      </c>
      <c r="AG251" s="4">
        <v>0</v>
      </c>
      <c r="AH251" s="4"/>
      <c r="AI251" s="17" t="s">
        <v>32</v>
      </c>
      <c r="AJ251" s="115">
        <f t="shared" si="109"/>
        <v>3.7788499424948658</v>
      </c>
    </row>
    <row r="252" spans="4:36" x14ac:dyDescent="0.2">
      <c r="D252">
        <f>[13]Quantity_shares!BB478</f>
        <v>2009</v>
      </c>
      <c r="E252" t="str">
        <f>[13]Quantity_shares!BC478</f>
        <v>327</v>
      </c>
      <c r="F252" s="26">
        <f>[13]Quantity_shares!BD478</f>
        <v>0.46103079331941543</v>
      </c>
      <c r="G252" s="26">
        <f>[13]Quantity_shares!BE478</f>
        <v>3.8611691022964509E-2</v>
      </c>
      <c r="H252" s="26">
        <f>[13]Quantity_shares!BF478</f>
        <v>0.3676278705636743</v>
      </c>
      <c r="I252" s="26">
        <f>[13]Quantity_shares!BG478</f>
        <v>0.13272964509394572</v>
      </c>
      <c r="Q252" s="26">
        <f t="shared" si="114"/>
        <v>7.7366983599680868E-3</v>
      </c>
      <c r="R252" s="26">
        <f t="shared" si="114"/>
        <v>2.6188161314964785E-2</v>
      </c>
      <c r="S252" s="26">
        <f t="shared" si="114"/>
        <v>0.58631372133053017</v>
      </c>
      <c r="T252" s="26">
        <f t="shared" si="114"/>
        <v>4.5946528948584541E-3</v>
      </c>
      <c r="U252" s="26">
        <f t="shared" si="114"/>
        <v>0.37516676609967853</v>
      </c>
      <c r="V252" s="26">
        <v>0</v>
      </c>
      <c r="W252" s="26">
        <v>0</v>
      </c>
      <c r="X252" s="26">
        <f t="shared" si="112"/>
        <v>1</v>
      </c>
      <c r="Y252" s="74"/>
      <c r="AA252" s="4">
        <f>'[33]Predicted Residual Prices'!AP252</f>
        <v>3.4611181623612008</v>
      </c>
      <c r="AB252" s="4">
        <f>'[34]Predicted Distillate Prices'!AP252</f>
        <v>5.5553385029147009</v>
      </c>
      <c r="AC252" s="4">
        <f>'[35]Predicted Gas Prices'!AQ252</f>
        <v>3.5991360970702262</v>
      </c>
      <c r="AD252" s="4">
        <f>'[36]Predicted LPG Prices'!AP252</f>
        <v>7.5879278701353012</v>
      </c>
      <c r="AE252" s="4">
        <f>'[37]Predicted Coal Prices'!AP252</f>
        <v>1.654538186089253</v>
      </c>
      <c r="AF252" s="4">
        <v>0</v>
      </c>
      <c r="AG252" s="4">
        <v>0</v>
      </c>
      <c r="AH252" s="4"/>
      <c r="AI252" s="17" t="s">
        <v>34</v>
      </c>
      <c r="AJ252" s="115">
        <f t="shared" si="109"/>
        <v>2.9380762421502729</v>
      </c>
    </row>
    <row r="253" spans="4:36" x14ac:dyDescent="0.2">
      <c r="D253">
        <f>[13]Quantity_shares!BB479</f>
        <v>2009</v>
      </c>
      <c r="E253" t="str">
        <f>[13]Quantity_shares!BC479</f>
        <v>331</v>
      </c>
      <c r="F253" s="26">
        <f>[13]Quantity_shares!BD479</f>
        <v>0.43438555586373584</v>
      </c>
      <c r="G253" s="26">
        <f>[13]Quantity_shares!BE479</f>
        <v>1.0831368683816902E-2</v>
      </c>
      <c r="H253" s="26">
        <f>[13]Quantity_shares!BF479</f>
        <v>0.30675463838892136</v>
      </c>
      <c r="I253" s="26">
        <f>[13]Quantity_shares!BG479</f>
        <v>0.2480284370635259</v>
      </c>
      <c r="Q253" s="26">
        <f t="shared" si="114"/>
        <v>2.6866787148382885E-2</v>
      </c>
      <c r="R253" s="26">
        <f t="shared" si="114"/>
        <v>7.4917229808400057E-3</v>
      </c>
      <c r="S253" s="26">
        <f t="shared" si="114"/>
        <v>0.61460162189809608</v>
      </c>
      <c r="T253" s="26">
        <f t="shared" si="114"/>
        <v>3.0602813091362628E-3</v>
      </c>
      <c r="U253" s="26">
        <f t="shared" si="114"/>
        <v>4.4668624491408411E-2</v>
      </c>
      <c r="V253" s="26">
        <f t="shared" si="114"/>
        <v>0.30331096217213638</v>
      </c>
      <c r="W253" s="26">
        <v>0</v>
      </c>
      <c r="X253" s="26">
        <f t="shared" si="112"/>
        <v>1</v>
      </c>
      <c r="Y253" s="74"/>
      <c r="AA253" s="4">
        <f>'[33]Predicted Residual Prices'!AP253</f>
        <v>2.9848405683937402</v>
      </c>
      <c r="AB253" s="4">
        <f>'[34]Predicted Distillate Prices'!AP253</f>
        <v>5.28562026372642</v>
      </c>
      <c r="AC253" s="4">
        <f>'[35]Predicted Gas Prices'!AQ253</f>
        <v>2.9773162973756091</v>
      </c>
      <c r="AD253" s="4">
        <f>'[36]Predicted LPG Prices'!AP253</f>
        <v>7.2474775432288823</v>
      </c>
      <c r="AE253" s="4">
        <f>'[37]Predicted Coal Prices'!AP253</f>
        <v>1.6483882433984645</v>
      </c>
      <c r="AF253" s="36">
        <f>3*AE253</f>
        <v>4.9451647301953932</v>
      </c>
      <c r="AG253" s="4">
        <v>0</v>
      </c>
      <c r="AH253" s="4"/>
      <c r="AI253" s="17" t="s">
        <v>36</v>
      </c>
      <c r="AJ253" s="115">
        <f t="shared" si="109"/>
        <v>3.5453881322309537</v>
      </c>
    </row>
    <row r="254" spans="4:36" x14ac:dyDescent="0.2">
      <c r="D254">
        <f>[13]Quantity_shares!BB480</f>
        <v>2009</v>
      </c>
      <c r="E254" t="str">
        <f>[13]Quantity_shares!BC480</f>
        <v>332</v>
      </c>
      <c r="F254" s="26">
        <f>[13]Quantity_shares!BD480</f>
        <v>0.93964665731140751</v>
      </c>
      <c r="G254" s="26">
        <f>[13]Quantity_shares!BE480</f>
        <v>1.6262483140097275E-2</v>
      </c>
      <c r="H254" s="26">
        <f>[13]Quantity_shares!BF480</f>
        <v>1.3918786359487186E-3</v>
      </c>
      <c r="I254" s="26">
        <f>[13]Quantity_shares!BG480</f>
        <v>4.2698980912546494E-2</v>
      </c>
      <c r="Q254" s="26">
        <f t="shared" si="114"/>
        <v>1.0360089730086276E-2</v>
      </c>
      <c r="R254" s="26">
        <f t="shared" si="114"/>
        <v>2.1491453968701991E-2</v>
      </c>
      <c r="S254" s="26">
        <f t="shared" si="114"/>
        <v>0.92526302367991553</v>
      </c>
      <c r="T254" s="26">
        <f t="shared" si="114"/>
        <v>2.0078148558314073E-2</v>
      </c>
      <c r="U254" s="26">
        <f t="shared" si="114"/>
        <v>2.2807284062982096E-2</v>
      </c>
      <c r="V254" s="26">
        <v>0</v>
      </c>
      <c r="W254" s="26">
        <v>0</v>
      </c>
      <c r="X254" s="26">
        <f t="shared" si="112"/>
        <v>0.99999999999999989</v>
      </c>
      <c r="Y254" s="74"/>
      <c r="AA254" s="4">
        <f>'[33]Predicted Residual Prices'!AP254</f>
        <v>3.8162859969349663</v>
      </c>
      <c r="AB254" s="4">
        <f>'[34]Predicted Distillate Prices'!AP254</f>
        <v>6.8045941517794759</v>
      </c>
      <c r="AC254" s="4">
        <f>'[35]Predicted Gas Prices'!AQ254</f>
        <v>3.8710566037287841</v>
      </c>
      <c r="AD254" s="4">
        <f>'[36]Predicted LPG Prices'!AP254</f>
        <v>8.3772909977566368</v>
      </c>
      <c r="AE254" s="4">
        <f>'[37]Predicted Coal Prices'!AP254</f>
        <v>2.3845804016889991</v>
      </c>
      <c r="AF254" s="4">
        <v>0</v>
      </c>
      <c r="AG254" s="4">
        <v>0</v>
      </c>
      <c r="AH254" s="4"/>
      <c r="AI254" s="17" t="s">
        <v>38</v>
      </c>
      <c r="AJ254" s="115">
        <f t="shared" si="109"/>
        <v>3.9901095211163105</v>
      </c>
    </row>
    <row r="255" spans="4:36" x14ac:dyDescent="0.2">
      <c r="D255">
        <f>[13]Quantity_shares!BB481</f>
        <v>2009</v>
      </c>
      <c r="E255" t="str">
        <f>[13]Quantity_shares!BC481</f>
        <v>333</v>
      </c>
      <c r="F255" s="26">
        <f>[13]Quantity_shares!BD481</f>
        <v>0.91468096649000552</v>
      </c>
      <c r="G255" s="26">
        <f>[13]Quantity_shares!BE481</f>
        <v>3.9112381588281939E-2</v>
      </c>
      <c r="H255" s="26">
        <f>[13]Quantity_shares!BF481</f>
        <v>3.6584178386123052E-3</v>
      </c>
      <c r="I255" s="26">
        <f>[13]Quantity_shares!BG481</f>
        <v>4.2548234083100336E-2</v>
      </c>
      <c r="Q255" s="26">
        <f t="shared" si="114"/>
        <v>1.6171575659071197E-2</v>
      </c>
      <c r="R255" s="26">
        <f t="shared" si="114"/>
        <v>2.7466838004775125E-2</v>
      </c>
      <c r="S255" s="26">
        <f t="shared" si="114"/>
        <v>0.83918662177835701</v>
      </c>
      <c r="T255" s="26">
        <f t="shared" si="114"/>
        <v>2.3713506942817503E-2</v>
      </c>
      <c r="U255" s="26">
        <f t="shared" si="114"/>
        <v>9.346145761497926E-2</v>
      </c>
      <c r="V255" s="26">
        <v>0</v>
      </c>
      <c r="W255" s="26">
        <v>0</v>
      </c>
      <c r="X255" s="26">
        <f t="shared" si="112"/>
        <v>1</v>
      </c>
      <c r="Y255" s="74"/>
      <c r="AA255" s="4">
        <f>'[33]Predicted Residual Prices'!AP255</f>
        <v>3.3142434594104886</v>
      </c>
      <c r="AB255" s="4">
        <f>'[34]Predicted Distillate Prices'!AP255</f>
        <v>6.3065491320652978</v>
      </c>
      <c r="AC255" s="4">
        <f>'[35]Predicted Gas Prices'!AQ255</f>
        <v>3.9331920619209044</v>
      </c>
      <c r="AD255" s="4">
        <f>'[36]Predicted LPG Prices'!AP255</f>
        <v>8.3788432202532483</v>
      </c>
      <c r="AE255" s="4">
        <f>'[37]Predicted Coal Prices'!AP255</f>
        <v>1.6355705194276045</v>
      </c>
      <c r="AF255" s="4">
        <v>0</v>
      </c>
      <c r="AG255" s="4">
        <v>0</v>
      </c>
      <c r="AH255" s="4"/>
      <c r="AI255" s="17" t="s">
        <v>40</v>
      </c>
      <c r="AJ255" s="115">
        <f t="shared" si="109"/>
        <v>3.8790542231389331</v>
      </c>
    </row>
    <row r="256" spans="4:36" x14ac:dyDescent="0.2">
      <c r="D256">
        <f>[13]Quantity_shares!BB482</f>
        <v>2009</v>
      </c>
      <c r="E256" t="str">
        <f>[13]Quantity_shares!BC482</f>
        <v>334</v>
      </c>
      <c r="F256" s="26">
        <f>[13]Quantity_shares!BD482</f>
        <v>0.95851293103448276</v>
      </c>
      <c r="G256" s="26">
        <f>[13]Quantity_shares!BE482</f>
        <v>2.1605603448275862E-2</v>
      </c>
      <c r="H256" s="26">
        <f>[13]Quantity_shares!BF482</f>
        <v>5.2083333333333333E-4</v>
      </c>
      <c r="I256" s="26">
        <f>[13]Quantity_shares!BG482</f>
        <v>1.9360632183908044E-2</v>
      </c>
      <c r="Q256" s="26">
        <f t="shared" ref="Q256:U260" si="115">0.5*Q214+0.5*Q298</f>
        <v>2.7570653242447375E-2</v>
      </c>
      <c r="R256" s="26">
        <f t="shared" si="115"/>
        <v>1.7211905824066814E-2</v>
      </c>
      <c r="S256" s="26">
        <f t="shared" si="115"/>
        <v>0.86381017429032547</v>
      </c>
      <c r="T256" s="26">
        <f t="shared" si="115"/>
        <v>1.0689384775375232E-2</v>
      </c>
      <c r="U256" s="26">
        <f t="shared" si="115"/>
        <v>8.0717881867784835E-2</v>
      </c>
      <c r="V256" s="26">
        <v>0</v>
      </c>
      <c r="W256" s="26">
        <v>0</v>
      </c>
      <c r="X256" s="26">
        <f t="shared" si="112"/>
        <v>0.99999999999999967</v>
      </c>
      <c r="Y256" s="74"/>
      <c r="AA256" s="4">
        <f>'[33]Predicted Residual Prices'!AP256</f>
        <v>3.9660965039645242</v>
      </c>
      <c r="AB256" s="4">
        <f>'[34]Predicted Distillate Prices'!AP256</f>
        <v>6.2822427503883613</v>
      </c>
      <c r="AC256" s="4">
        <f>'[35]Predicted Gas Prices'!AQ256</f>
        <v>3.6056794876216616</v>
      </c>
      <c r="AD256" s="4">
        <f>'[36]Predicted LPG Prices'!AP256</f>
        <v>8.6068287918318092</v>
      </c>
      <c r="AE256" s="4">
        <f>'[37]Predicted Coal Prices'!AP256</f>
        <v>1.7798397118737785</v>
      </c>
      <c r="AF256" s="4">
        <v>0</v>
      </c>
      <c r="AG256" s="4">
        <v>0</v>
      </c>
      <c r="AH256" s="4"/>
      <c r="AI256" s="17" t="s">
        <v>42</v>
      </c>
      <c r="AJ256" s="115">
        <f t="shared" si="109"/>
        <v>3.567766464916307</v>
      </c>
    </row>
    <row r="257" spans="4:36" x14ac:dyDescent="0.2">
      <c r="D257">
        <f>[13]Quantity_shares!BB483</f>
        <v>2009</v>
      </c>
      <c r="E257" t="str">
        <f>[13]Quantity_shares!BC483</f>
        <v>335</v>
      </c>
      <c r="F257" s="26">
        <f>[13]Quantity_shares!BD483</f>
        <v>0.93801925557121857</v>
      </c>
      <c r="G257" s="26">
        <f>[13]Quantity_shares!BE483</f>
        <v>2.3522089919318555E-2</v>
      </c>
      <c r="H257" s="26">
        <f>[13]Quantity_shares!BF483</f>
        <v>6.9988902552412949E-3</v>
      </c>
      <c r="I257" s="26">
        <f>[13]Quantity_shares!BG483</f>
        <v>3.1459764254221527E-2</v>
      </c>
      <c r="Q257" s="26">
        <f t="shared" si="115"/>
        <v>2.2916760497965205E-2</v>
      </c>
      <c r="R257" s="26">
        <f t="shared" si="115"/>
        <v>1.7911340648772239E-2</v>
      </c>
      <c r="S257" s="26">
        <f t="shared" si="115"/>
        <v>0.92754660363353458</v>
      </c>
      <c r="T257" s="26">
        <f t="shared" si="115"/>
        <v>2.9845935789122986E-2</v>
      </c>
      <c r="U257" s="26">
        <f t="shared" si="115"/>
        <v>1.7793594306049825E-3</v>
      </c>
      <c r="V257" s="26">
        <v>0</v>
      </c>
      <c r="W257" s="26">
        <v>0</v>
      </c>
      <c r="X257" s="26">
        <f t="shared" si="112"/>
        <v>1</v>
      </c>
      <c r="Y257" s="74"/>
      <c r="AA257" s="4">
        <f>'[33]Predicted Residual Prices'!AP257</f>
        <v>3.8828881945001661</v>
      </c>
      <c r="AB257" s="4">
        <f>'[34]Predicted Distillate Prices'!AP257</f>
        <v>6.1029676221949991</v>
      </c>
      <c r="AC257" s="4">
        <f>'[35]Predicted Gas Prices'!AQ257</f>
        <v>3.8697320914898539</v>
      </c>
      <c r="AD257" s="4">
        <f>'[36]Predicted LPG Prices'!AP257</f>
        <v>8.4832316621591417</v>
      </c>
      <c r="AE257" s="4">
        <f>'[37]Predicted Coal Prices'!AP257</f>
        <v>2.0999538117703835</v>
      </c>
      <c r="AF257" s="4">
        <v>0</v>
      </c>
      <c r="AG257" s="4">
        <v>0</v>
      </c>
      <c r="AH257" s="4"/>
      <c r="AI257" s="17" t="s">
        <v>44</v>
      </c>
      <c r="AJ257" s="115">
        <f t="shared" si="109"/>
        <v>4.0445789693682723</v>
      </c>
    </row>
    <row r="258" spans="4:36" x14ac:dyDescent="0.2">
      <c r="D258">
        <f>[13]Quantity_shares!BB484</f>
        <v>2009</v>
      </c>
      <c r="E258" t="str">
        <f>[13]Quantity_shares!BC484</f>
        <v>336</v>
      </c>
      <c r="F258" s="26">
        <f>[13]Quantity_shares!BD484</f>
        <v>0.88542852496340863</v>
      </c>
      <c r="G258" s="26">
        <f>[13]Quantity_shares!BE484</f>
        <v>3.5032796660703636E-2</v>
      </c>
      <c r="H258" s="26">
        <f>[13]Quantity_shares!BF484</f>
        <v>2.0138775952729442E-2</v>
      </c>
      <c r="I258" s="26">
        <f>[13]Quantity_shares!BG484</f>
        <v>5.9399902423158235E-2</v>
      </c>
      <c r="Q258" s="26">
        <f t="shared" si="115"/>
        <v>3.5179058556778151E-2</v>
      </c>
      <c r="R258" s="26">
        <f t="shared" si="115"/>
        <v>4.3709702113859869E-2</v>
      </c>
      <c r="S258" s="26">
        <f t="shared" si="115"/>
        <v>0.79025620271723518</v>
      </c>
      <c r="T258" s="26">
        <f t="shared" si="115"/>
        <v>1.3438915374844103E-2</v>
      </c>
      <c r="U258" s="26">
        <f t="shared" si="115"/>
        <v>0.11741612123728271</v>
      </c>
      <c r="V258" s="26">
        <v>0</v>
      </c>
      <c r="W258" s="26">
        <v>0</v>
      </c>
      <c r="X258" s="26">
        <f t="shared" si="112"/>
        <v>1</v>
      </c>
      <c r="Y258" s="74"/>
      <c r="AA258" s="4">
        <f>'[33]Predicted Residual Prices'!AP258</f>
        <v>3.2312429134229199</v>
      </c>
      <c r="AB258" s="4">
        <f>'[34]Predicted Distillate Prices'!AP258</f>
        <v>5.9224642682469097</v>
      </c>
      <c r="AC258" s="4">
        <f>'[35]Predicted Gas Prices'!AQ258</f>
        <v>3.614674939883201</v>
      </c>
      <c r="AD258" s="4">
        <f>'[36]Predicted LPG Prices'!AP258</f>
        <v>7.9919384273165353</v>
      </c>
      <c r="AE258" s="4">
        <f>'[37]Predicted Coal Prices'!AP258</f>
        <v>1.8644921202930465</v>
      </c>
      <c r="AF258" s="4">
        <v>0</v>
      </c>
      <c r="AG258" s="4">
        <v>0</v>
      </c>
      <c r="AH258" s="4"/>
      <c r="AI258" s="17" t="s">
        <v>46</v>
      </c>
      <c r="AJ258" s="115">
        <f t="shared" si="109"/>
        <v>3.5553849417047383</v>
      </c>
    </row>
    <row r="259" spans="4:36" x14ac:dyDescent="0.2">
      <c r="D259">
        <f>[13]Quantity_shares!BB485</f>
        <v>2009</v>
      </c>
      <c r="E259" t="str">
        <f>[13]Quantity_shares!BC485</f>
        <v>337</v>
      </c>
      <c r="F259" s="26">
        <f>[13]Quantity_shares!BD485</f>
        <v>0.658521719858156</v>
      </c>
      <c r="G259" s="26">
        <f>[13]Quantity_shares!BE485</f>
        <v>1.4018173758865247E-2</v>
      </c>
      <c r="H259" s="26">
        <f>[13]Quantity_shares!BF485</f>
        <v>6.1225620567375891E-2</v>
      </c>
      <c r="I259" s="26">
        <f>[13]Quantity_shares!BG485</f>
        <v>0.26623448581560283</v>
      </c>
      <c r="Q259" s="26">
        <f t="shared" si="115"/>
        <v>1.3045723625180333E-2</v>
      </c>
      <c r="R259" s="26">
        <f t="shared" si="115"/>
        <v>3.1697074861493604E-2</v>
      </c>
      <c r="S259" s="26">
        <f t="shared" si="115"/>
        <v>0.84921808542417376</v>
      </c>
      <c r="T259" s="26">
        <f t="shared" si="115"/>
        <v>2.93898923575329E-2</v>
      </c>
      <c r="U259" s="26">
        <f t="shared" si="115"/>
        <v>7.664922373161942E-2</v>
      </c>
      <c r="V259" s="26">
        <v>0</v>
      </c>
      <c r="W259" s="26">
        <v>0</v>
      </c>
      <c r="X259" s="26">
        <f t="shared" si="112"/>
        <v>1</v>
      </c>
      <c r="Y259" s="74"/>
      <c r="AA259" s="4">
        <f>'[33]Predicted Residual Prices'!AP259</f>
        <v>4.2399112331916227</v>
      </c>
      <c r="AB259" s="4">
        <f>'[34]Predicted Distillate Prices'!AP259</f>
        <v>6.4349588569529557</v>
      </c>
      <c r="AC259" s="4">
        <f>'[35]Predicted Gas Prices'!AQ259</f>
        <v>4.4755585746533173</v>
      </c>
      <c r="AD259" s="4">
        <f>'[36]Predicted LPG Prices'!AP259</f>
        <v>8.8861567183073777</v>
      </c>
      <c r="AE259" s="4">
        <f>'[37]Predicted Coal Prices'!AP259</f>
        <v>2.1540870363929172</v>
      </c>
      <c r="AF259" s="4">
        <v>0</v>
      </c>
      <c r="AG259" s="4">
        <v>0</v>
      </c>
      <c r="AH259" s="4"/>
      <c r="AI259" s="17" t="s">
        <v>48</v>
      </c>
      <c r="AJ259" s="115">
        <f t="shared" si="109"/>
        <v>4.4862796553469027</v>
      </c>
    </row>
    <row r="260" spans="4:36" x14ac:dyDescent="0.2">
      <c r="D260">
        <f>[13]Quantity_shares!BB486</f>
        <v>2009</v>
      </c>
      <c r="E260" t="str">
        <f>[13]Quantity_shares!BC486</f>
        <v>339</v>
      </c>
      <c r="F260" s="26">
        <f>[13]Quantity_shares!BD486</f>
        <v>0.87995308552869012</v>
      </c>
      <c r="G260" s="26">
        <f>[13]Quantity_shares!BE486</f>
        <v>7.53699025622519E-2</v>
      </c>
      <c r="H260" s="26">
        <f>[13]Quantity_shares!BF486</f>
        <v>5.1786358715265263E-3</v>
      </c>
      <c r="I260" s="26">
        <f>[13]Quantity_shares!BG486</f>
        <v>3.9498376037531389E-2</v>
      </c>
      <c r="Q260" s="26">
        <f t="shared" si="115"/>
        <v>3.7148511822772928E-2</v>
      </c>
      <c r="R260" s="26">
        <f t="shared" si="115"/>
        <v>3.8940951632116846E-2</v>
      </c>
      <c r="S260" s="26">
        <f t="shared" si="115"/>
        <v>0.80906547310431143</v>
      </c>
      <c r="T260" s="26">
        <f t="shared" si="115"/>
        <v>1.1337868480725623E-2</v>
      </c>
      <c r="U260" s="26">
        <f t="shared" si="115"/>
        <v>0.10350719496007323</v>
      </c>
      <c r="V260" s="26">
        <v>0</v>
      </c>
      <c r="W260" s="26">
        <v>0</v>
      </c>
      <c r="X260" s="26">
        <f t="shared" si="112"/>
        <v>1</v>
      </c>
      <c r="Y260" s="74"/>
      <c r="AA260" s="4">
        <f>'[33]Predicted Residual Prices'!AP260</f>
        <v>4.0270252579209922</v>
      </c>
      <c r="AB260" s="4">
        <f>'[34]Predicted Distillate Prices'!AP260</f>
        <v>5.1436095815694696</v>
      </c>
      <c r="AC260" s="4">
        <f>'[35]Predicted Gas Prices'!AQ260</f>
        <v>4.5739388768019191</v>
      </c>
      <c r="AD260" s="4">
        <f>'[36]Predicted LPG Prices'!AP260</f>
        <v>9.3773265828326906</v>
      </c>
      <c r="AE260" s="4">
        <f>'[37]Predicted Coal Prices'!AP260</f>
        <v>2.0292647123857908</v>
      </c>
      <c r="AF260" s="4">
        <v>0</v>
      </c>
      <c r="AG260" s="4">
        <v>0</v>
      </c>
      <c r="AH260" s="4"/>
      <c r="AI260" s="17" t="s">
        <v>50</v>
      </c>
      <c r="AJ260" s="115">
        <f t="shared" si="109"/>
        <v>4.3668734623523022</v>
      </c>
    </row>
    <row r="261" spans="4:36" x14ac:dyDescent="0.2">
      <c r="D261">
        <f>[13]Quantity_shares!BB487</f>
        <v>2010</v>
      </c>
      <c r="E261" t="str">
        <f>[13]Quantity_shares!BC487</f>
        <v>311</v>
      </c>
      <c r="F261" s="28">
        <f>[13]Quantity_shares!BD487</f>
        <v>0.64190687361419074</v>
      </c>
      <c r="G261" s="28">
        <f>[13]Quantity_shares!BE487</f>
        <v>3.7694013303769404E-2</v>
      </c>
      <c r="H261" s="28">
        <f>[13]Quantity_shares!BF487</f>
        <v>0.2039911308203991</v>
      </c>
      <c r="I261" s="28">
        <f>[13]Quantity_shares!BG487</f>
        <v>0.1164079822616408</v>
      </c>
      <c r="P261">
        <v>1997</v>
      </c>
      <c r="Q261" s="26">
        <f t="shared" ref="Q261:V276" si="116">0.25*Q198+0.75*Q282</f>
        <v>2.2841746007586296E-2</v>
      </c>
      <c r="R261" s="26">
        <f t="shared" si="116"/>
        <v>2.2069431716104992E-2</v>
      </c>
      <c r="S261" s="26">
        <f t="shared" si="116"/>
        <v>0.76950849944227762</v>
      </c>
      <c r="T261" s="26">
        <f t="shared" si="116"/>
        <v>7.0377632798010303E-3</v>
      </c>
      <c r="U261" s="26">
        <f t="shared" si="116"/>
        <v>0.17854255955422998</v>
      </c>
      <c r="V261" s="26">
        <v>0</v>
      </c>
      <c r="W261" s="26">
        <v>0</v>
      </c>
      <c r="X261" s="26">
        <f t="shared" si="112"/>
        <v>0.99999999999999978</v>
      </c>
      <c r="Y261" s="73"/>
      <c r="Z261">
        <v>1997</v>
      </c>
      <c r="AA261" s="4">
        <f>'[33]Predicted Residual Prices'!AP261</f>
        <v>3.3336741324488934</v>
      </c>
      <c r="AB261" s="4">
        <f>'[34]Predicted Distillate Prices'!AP261</f>
        <v>5.4362666069329153</v>
      </c>
      <c r="AC261" s="4">
        <f>'[35]Predicted Gas Prices'!AQ261</f>
        <v>3.3603681573646638</v>
      </c>
      <c r="AD261" s="4">
        <f>'[36]Predicted LPG Prices'!AP261</f>
        <v>8.5813579410305749</v>
      </c>
      <c r="AE261" s="4">
        <f>'[37]Predicted Coal Prices'!AP261</f>
        <v>1.4535728591861332</v>
      </c>
      <c r="AF261" s="4">
        <v>0</v>
      </c>
      <c r="AG261" s="4">
        <v>0</v>
      </c>
      <c r="AH261" s="4"/>
      <c r="AI261" s="17" t="s">
        <v>10</v>
      </c>
      <c r="AJ261" s="115">
        <f t="shared" si="109"/>
        <v>3.1018722954108662</v>
      </c>
    </row>
    <row r="262" spans="4:36" x14ac:dyDescent="0.2">
      <c r="D262">
        <f>[13]Quantity_shares!BB488</f>
        <v>2010</v>
      </c>
      <c r="E262" t="str">
        <f>[13]Quantity_shares!BC488</f>
        <v>312</v>
      </c>
      <c r="F262" s="28">
        <f>[13]Quantity_shares!BD488</f>
        <v>0.65517241379310343</v>
      </c>
      <c r="G262" s="28">
        <f>[13]Quantity_shares!BE488</f>
        <v>3.4482758620689655E-2</v>
      </c>
      <c r="H262" s="28">
        <f>[13]Quantity_shares!BF488</f>
        <v>0.17241379310344829</v>
      </c>
      <c r="I262" s="28">
        <f>[13]Quantity_shares!BG488</f>
        <v>0.13793103448275862</v>
      </c>
      <c r="Q262" s="26">
        <f t="shared" si="116"/>
        <v>3.3561206209012102E-2</v>
      </c>
      <c r="R262" s="26">
        <f t="shared" si="116"/>
        <v>2.1110952811208339E-2</v>
      </c>
      <c r="S262" s="26">
        <f t="shared" si="116"/>
        <v>0.54767493299835757</v>
      </c>
      <c r="T262" s="26">
        <f t="shared" si="116"/>
        <v>9.8834723269158372E-3</v>
      </c>
      <c r="U262" s="26">
        <f t="shared" si="116"/>
        <v>0.38776943565450617</v>
      </c>
      <c r="V262" s="26">
        <v>0</v>
      </c>
      <c r="W262" s="26">
        <v>0</v>
      </c>
      <c r="X262" s="26">
        <f t="shared" si="112"/>
        <v>1</v>
      </c>
      <c r="Y262" s="73"/>
      <c r="AA262" s="4">
        <f>'[33]Predicted Residual Prices'!AP262</f>
        <v>3.3585173537700923</v>
      </c>
      <c r="AB262" s="4">
        <f>'[34]Predicted Distillate Prices'!AP262</f>
        <v>6.0449999999999999</v>
      </c>
      <c r="AC262" s="4">
        <f>'[35]Predicted Gas Prices'!AQ262</f>
        <v>3.67875</v>
      </c>
      <c r="AD262" s="4">
        <f>'[36]Predicted LPG Prices'!AP262</f>
        <v>8.2433854866071243</v>
      </c>
      <c r="AE262" s="4">
        <f>'[37]Predicted Coal Prices'!AP262</f>
        <v>1.8039663027500987</v>
      </c>
      <c r="AF262" s="4">
        <v>0</v>
      </c>
      <c r="AG262" s="4">
        <v>0</v>
      </c>
      <c r="AH262" s="4"/>
      <c r="AI262" s="17" t="s">
        <v>12</v>
      </c>
      <c r="AJ262" s="115">
        <f t="shared" si="109"/>
        <v>3.0360870304720189</v>
      </c>
    </row>
    <row r="263" spans="4:36" x14ac:dyDescent="0.2">
      <c r="D263">
        <f>[13]Quantity_shares!BB489</f>
        <v>2010</v>
      </c>
      <c r="E263" t="str">
        <f>[13]Quantity_shares!BC489</f>
        <v>313</v>
      </c>
      <c r="F263" s="28">
        <f>[13]Quantity_shares!BD489</f>
        <v>0.62</v>
      </c>
      <c r="G263" s="28">
        <f>[13]Quantity_shares!BE489</f>
        <v>0.08</v>
      </c>
      <c r="H263" s="28">
        <f>[13]Quantity_shares!BF489</f>
        <v>0.16</v>
      </c>
      <c r="I263" s="28">
        <f>[13]Quantity_shares!BG489</f>
        <v>0.14000000000000001</v>
      </c>
      <c r="Q263" s="26">
        <f t="shared" si="116"/>
        <v>8.7280806952668252E-2</v>
      </c>
      <c r="R263" s="26">
        <f t="shared" si="116"/>
        <v>3.127900842359195E-2</v>
      </c>
      <c r="S263" s="26">
        <f t="shared" si="116"/>
        <v>0.70527321623619221</v>
      </c>
      <c r="T263" s="26">
        <f t="shared" si="116"/>
        <v>1.4319194727281241E-2</v>
      </c>
      <c r="U263" s="26">
        <f t="shared" si="116"/>
        <v>0.16184777366026623</v>
      </c>
      <c r="V263" s="26">
        <v>0</v>
      </c>
      <c r="W263" s="26">
        <v>0</v>
      </c>
      <c r="X263" s="26">
        <f t="shared" si="112"/>
        <v>1</v>
      </c>
      <c r="Y263" s="73"/>
      <c r="AA263" s="4">
        <f>'[33]Predicted Residual Prices'!AP263</f>
        <v>3.6610147701706888</v>
      </c>
      <c r="AB263" s="4">
        <f>'[34]Predicted Distillate Prices'!AP263</f>
        <v>4.8336437588236842</v>
      </c>
      <c r="AC263" s="4">
        <f>'[35]Predicted Gas Prices'!AQ263</f>
        <v>3.9085491603466953</v>
      </c>
      <c r="AD263" s="4">
        <f>'[36]Predicted LPG Prices'!AP263</f>
        <v>7.3148700027080151</v>
      </c>
      <c r="AE263" s="4">
        <f>'[37]Predicted Coal Prices'!AP263</f>
        <v>2.041435691970821</v>
      </c>
      <c r="AF263" s="4">
        <v>0</v>
      </c>
      <c r="AG263" s="4">
        <v>0</v>
      </c>
      <c r="AH263" s="4"/>
      <c r="AI263" s="17" t="s">
        <v>14</v>
      </c>
      <c r="AJ263" s="115">
        <f t="shared" si="109"/>
        <v>3.662467814179613</v>
      </c>
    </row>
    <row r="264" spans="4:36" x14ac:dyDescent="0.2">
      <c r="D264">
        <f>[13]Quantity_shares!BB490</f>
        <v>2010</v>
      </c>
      <c r="E264" t="str">
        <f>[13]Quantity_shares!BC490</f>
        <v>314</v>
      </c>
      <c r="F264" s="28">
        <f>[13]Quantity_shares!BD490</f>
        <v>0.75</v>
      </c>
      <c r="G264" s="28">
        <f>[13]Quantity_shares!BE490</f>
        <v>6.6666666666666666E-2</v>
      </c>
      <c r="H264" s="28">
        <f>[13]Quantity_shares!BF490</f>
        <v>0.14166666666666666</v>
      </c>
      <c r="I264" s="28">
        <f>[13]Quantity_shares!BG490</f>
        <v>4.1666666666666664E-2</v>
      </c>
      <c r="Q264" s="26">
        <f t="shared" si="116"/>
        <v>9.374980964808606E-2</v>
      </c>
      <c r="R264" s="26">
        <f t="shared" si="116"/>
        <v>4.5227795485586572E-2</v>
      </c>
      <c r="S264" s="26">
        <f t="shared" si="116"/>
        <v>0.72488238065667754</v>
      </c>
      <c r="T264" s="26">
        <f t="shared" si="116"/>
        <v>1.0680380711108736E-2</v>
      </c>
      <c r="U264" s="26">
        <f t="shared" si="116"/>
        <v>0.12545963349854117</v>
      </c>
      <c r="V264" s="26">
        <v>0</v>
      </c>
      <c r="W264" s="26">
        <v>0</v>
      </c>
      <c r="X264" s="26">
        <f t="shared" si="112"/>
        <v>1</v>
      </c>
      <c r="Y264" s="73"/>
      <c r="AA264" s="4">
        <f>'[33]Predicted Residual Prices'!AP264</f>
        <v>3.7915028908619606</v>
      </c>
      <c r="AB264" s="4">
        <f>'[34]Predicted Distillate Prices'!AP264</f>
        <v>5.1596955336960777</v>
      </c>
      <c r="AC264" s="4">
        <f>'[35]Predicted Gas Prices'!AQ264</f>
        <v>4.0357132329625029</v>
      </c>
      <c r="AD264" s="4">
        <f>'[36]Predicted LPG Prices'!AP264</f>
        <v>9.1230795892357364</v>
      </c>
      <c r="AE264" s="4">
        <f>'[37]Predicted Coal Prices'!AP264</f>
        <v>1.9900601090853698</v>
      </c>
      <c r="AF264" s="4">
        <v>0</v>
      </c>
      <c r="AG264" s="4">
        <v>0</v>
      </c>
      <c r="AH264" s="4"/>
      <c r="AI264" s="17" t="s">
        <v>16</v>
      </c>
      <c r="AJ264" s="115">
        <f t="shared" si="109"/>
        <v>3.8613419198185941</v>
      </c>
    </row>
    <row r="265" spans="4:36" x14ac:dyDescent="0.2">
      <c r="D265">
        <f>[13]Quantity_shares!BB491</f>
        <v>2010</v>
      </c>
      <c r="E265" t="str">
        <f>[13]Quantity_shares!BC491</f>
        <v>315</v>
      </c>
      <c r="F265" s="28">
        <f>[13]Quantity_shares!BD491</f>
        <v>0.8</v>
      </c>
      <c r="G265" s="28">
        <f>[13]Quantity_shares!BE491</f>
        <v>0.08</v>
      </c>
      <c r="H265" s="28">
        <f>[13]Quantity_shares!BF491</f>
        <v>0</v>
      </c>
      <c r="I265" s="28">
        <f>[13]Quantity_shares!BG491</f>
        <v>0.12</v>
      </c>
      <c r="Q265" s="26">
        <f t="shared" si="116"/>
        <v>6.2094217202629427E-2</v>
      </c>
      <c r="R265" s="26">
        <f t="shared" si="116"/>
        <v>3.2048110126049259E-2</v>
      </c>
      <c r="S265" s="26">
        <f t="shared" si="116"/>
        <v>0.82675476353471389</v>
      </c>
      <c r="T265" s="26">
        <f t="shared" si="116"/>
        <v>3.2588525350739535E-2</v>
      </c>
      <c r="U265" s="26">
        <f t="shared" si="116"/>
        <v>4.6514383785867947E-2</v>
      </c>
      <c r="V265" s="26">
        <v>0</v>
      </c>
      <c r="W265" s="26">
        <v>0</v>
      </c>
      <c r="X265" s="26">
        <f t="shared" si="112"/>
        <v>1</v>
      </c>
      <c r="Y265" s="73"/>
      <c r="AA265" s="4">
        <f>'[33]Predicted Residual Prices'!AP265</f>
        <v>3.8714529155912309</v>
      </c>
      <c r="AB265" s="4">
        <f>'[34]Predicted Distillate Prices'!AP265</f>
        <v>5.7339462942099448</v>
      </c>
      <c r="AC265" s="4">
        <f>'[35]Predicted Gas Prices'!AQ265</f>
        <v>4.4744709088841237</v>
      </c>
      <c r="AD265" s="4">
        <f>'[36]Predicted LPG Prices'!AP265</f>
        <v>8.3477858139867891</v>
      </c>
      <c r="AE265" s="4">
        <f>'[37]Predicted Coal Prices'!AP265</f>
        <v>2.1213730516560245</v>
      </c>
      <c r="AF265" s="4">
        <v>0</v>
      </c>
      <c r="AG265" s="4">
        <v>0</v>
      </c>
      <c r="AH265" s="4"/>
      <c r="AI265" s="17" t="s">
        <v>18</v>
      </c>
      <c r="AJ265" s="115">
        <f t="shared" ref="AJ265:AJ295" si="117">SUMPRODUCT(Q265:W265,AA265:AG265)</f>
        <v>4.4941635086409955</v>
      </c>
    </row>
    <row r="266" spans="4:36" x14ac:dyDescent="0.2">
      <c r="D266">
        <f>[13]Quantity_shares!BB492</f>
        <v>2010</v>
      </c>
      <c r="E266" t="str">
        <f>[13]Quantity_shares!BC492</f>
        <v>316</v>
      </c>
      <c r="F266" s="28">
        <f>[13]Quantity_shares!BD492</f>
        <v>0.47058823529411764</v>
      </c>
      <c r="G266" s="28">
        <f>[13]Quantity_shares!BE492</f>
        <v>5.8823529411764705E-2</v>
      </c>
      <c r="H266" s="28">
        <f>[13]Quantity_shares!BF492</f>
        <v>0</v>
      </c>
      <c r="I266" s="28">
        <f>[13]Quantity_shares!BG492</f>
        <v>0.47058823529411764</v>
      </c>
      <c r="Q266" s="26">
        <f t="shared" si="116"/>
        <v>8.956507501229613E-2</v>
      </c>
      <c r="R266" s="26">
        <f t="shared" si="116"/>
        <v>9.8374847238992202E-2</v>
      </c>
      <c r="S266" s="26">
        <f t="shared" si="116"/>
        <v>0.76154208159697556</v>
      </c>
      <c r="T266" s="26">
        <f t="shared" si="116"/>
        <v>5.0517996151736168E-2</v>
      </c>
      <c r="U266" s="26">
        <f t="shared" si="116"/>
        <v>0</v>
      </c>
      <c r="V266" s="26">
        <v>0</v>
      </c>
      <c r="W266" s="26">
        <v>0</v>
      </c>
      <c r="X266" s="26">
        <f t="shared" si="112"/>
        <v>1</v>
      </c>
      <c r="Y266" s="73"/>
      <c r="AA266" s="4">
        <f>'[33]Predicted Residual Prices'!AP266</f>
        <v>3.4205846751888123</v>
      </c>
      <c r="AB266" s="4">
        <f>'[34]Predicted Distillate Prices'!AP266</f>
        <v>5.3093784142747271</v>
      </c>
      <c r="AC266" s="4">
        <f>'[35]Predicted Gas Prices'!AQ266</f>
        <v>4.210336564425079</v>
      </c>
      <c r="AD266" s="4">
        <f>'[36]Predicted LPG Prices'!AP266</f>
        <v>8.5886143263150316</v>
      </c>
      <c r="AE266" s="4">
        <f>'[37]Predicted Coal Prices'!AP266</f>
        <v>1.6272108239183543</v>
      </c>
      <c r="AF266" s="4">
        <v>0</v>
      </c>
      <c r="AG266" s="4">
        <v>0</v>
      </c>
      <c r="AH266" s="4"/>
      <c r="AI266" s="17" t="s">
        <v>20</v>
      </c>
      <c r="AJ266" s="115">
        <f t="shared" si="117"/>
        <v>4.4689022704391377</v>
      </c>
    </row>
    <row r="267" spans="4:36" x14ac:dyDescent="0.2">
      <c r="D267">
        <f>[13]Quantity_shares!BB493</f>
        <v>2010</v>
      </c>
      <c r="E267" t="str">
        <f>[13]Quantity_shares!BC493</f>
        <v>321</v>
      </c>
      <c r="F267" s="28">
        <f>[13]Quantity_shares!BD493</f>
        <v>8.1456636320076672E-2</v>
      </c>
      <c r="G267" s="28">
        <f>[13]Quantity_shares!BE493</f>
        <v>5.3665548634403447E-2</v>
      </c>
      <c r="H267" s="28">
        <f>[13]Quantity_shares!BF493</f>
        <v>2.3957834211787254E-3</v>
      </c>
      <c r="I267" s="28">
        <f>[13]Quantity_shares!BG493</f>
        <v>0.86248203162434123</v>
      </c>
      <c r="Q267" s="26">
        <f t="shared" si="116"/>
        <v>1.4520622887395584E-2</v>
      </c>
      <c r="R267" s="26">
        <f t="shared" si="116"/>
        <v>0.16817905922669904</v>
      </c>
      <c r="S267" s="26">
        <f t="shared" si="116"/>
        <v>0.74925700307636656</v>
      </c>
      <c r="T267" s="26">
        <f t="shared" si="116"/>
        <v>4.4859181244446392E-2</v>
      </c>
      <c r="U267" s="26">
        <f t="shared" si="116"/>
        <v>2.3184133565092326E-2</v>
      </c>
      <c r="V267" s="26">
        <v>0</v>
      </c>
      <c r="W267" s="26">
        <v>0</v>
      </c>
      <c r="X267" s="26">
        <f t="shared" si="112"/>
        <v>0.99999999999999989</v>
      </c>
      <c r="Y267" s="73"/>
      <c r="AA267" s="4">
        <f>'[33]Predicted Residual Prices'!AP267</f>
        <v>3.2444622457672301</v>
      </c>
      <c r="AB267" s="4">
        <f>'[34]Predicted Distillate Prices'!AP267</f>
        <v>5.7155469448363334</v>
      </c>
      <c r="AC267" s="4">
        <f>'[35]Predicted Gas Prices'!AQ267</f>
        <v>3.5628995256718516</v>
      </c>
      <c r="AD267" s="4">
        <f>'[36]Predicted LPG Prices'!AP267</f>
        <v>7.9449930590790832</v>
      </c>
      <c r="AE267" s="4">
        <f>'[37]Predicted Coal Prices'!AP267</f>
        <v>2.1491988963637083</v>
      </c>
      <c r="AF267" s="4">
        <v>0</v>
      </c>
      <c r="AG267" s="4">
        <v>0</v>
      </c>
      <c r="AH267" s="4"/>
      <c r="AI267" s="17" t="s">
        <v>22</v>
      </c>
      <c r="AJ267" s="115">
        <f t="shared" si="117"/>
        <v>4.0841075396532283</v>
      </c>
    </row>
    <row r="268" spans="4:36" x14ac:dyDescent="0.2">
      <c r="D268">
        <f>[13]Quantity_shares!BB494</f>
        <v>2010</v>
      </c>
      <c r="E268" t="str">
        <f>[13]Quantity_shares!BC494</f>
        <v>322</v>
      </c>
      <c r="F268" s="28">
        <f>[13]Quantity_shares!BD494</f>
        <v>0.20952581000892717</v>
      </c>
      <c r="G268" s="28">
        <f>[13]Quantity_shares!BE494</f>
        <v>2.1530221078611564E-2</v>
      </c>
      <c r="H268" s="28">
        <f>[13]Quantity_shares!BF494</f>
        <v>0.1088588982828336</v>
      </c>
      <c r="I268" s="28">
        <f>[13]Quantity_shares!BG494</f>
        <v>0.66008507062962773</v>
      </c>
      <c r="Q268" s="26">
        <f t="shared" si="116"/>
        <v>0.15066297257883415</v>
      </c>
      <c r="R268" s="26">
        <f t="shared" si="116"/>
        <v>8.6962568726456253E-3</v>
      </c>
      <c r="S268" s="26">
        <f t="shared" si="116"/>
        <v>0.56242853706105345</v>
      </c>
      <c r="T268" s="26">
        <f t="shared" si="116"/>
        <v>4.7608464875834285E-3</v>
      </c>
      <c r="U268" s="26">
        <f t="shared" si="116"/>
        <v>0.27345138699988325</v>
      </c>
      <c r="V268" s="26">
        <v>0</v>
      </c>
      <c r="W268" s="26">
        <v>0</v>
      </c>
      <c r="X268" s="26">
        <f t="shared" si="112"/>
        <v>0.99999999999999989</v>
      </c>
      <c r="Y268" s="73"/>
      <c r="AA268" s="4">
        <f>'[33]Predicted Residual Prices'!AP268</f>
        <v>3.0716381661736714</v>
      </c>
      <c r="AB268" s="4">
        <f>'[34]Predicted Distillate Prices'!AP268</f>
        <v>5.1320500733739616</v>
      </c>
      <c r="AC268" s="4">
        <f>'[35]Predicted Gas Prices'!AQ268</f>
        <v>3.0237900121065691</v>
      </c>
      <c r="AD268" s="4">
        <f>'[36]Predicted LPG Prices'!AP268</f>
        <v>8.6105913090641639</v>
      </c>
      <c r="AE268" s="4">
        <f>'[37]Predicted Coal Prices'!AP268</f>
        <v>1.7885519249953297</v>
      </c>
      <c r="AF268" s="4">
        <v>0</v>
      </c>
      <c r="AG268" s="4">
        <v>0</v>
      </c>
      <c r="AH268" s="4"/>
      <c r="AI268" s="17" t="s">
        <v>24</v>
      </c>
      <c r="AJ268" s="115">
        <f t="shared" si="117"/>
        <v>2.7381532634136456</v>
      </c>
    </row>
    <row r="269" spans="4:36" x14ac:dyDescent="0.2">
      <c r="D269">
        <f>[13]Quantity_shares!BB495</f>
        <v>2010</v>
      </c>
      <c r="E269" t="str">
        <f>[13]Quantity_shares!BC495</f>
        <v>323</v>
      </c>
      <c r="F269" s="28">
        <f>[13]Quantity_shares!BD495</f>
        <v>0.94444444444444442</v>
      </c>
      <c r="G269" s="28">
        <f>[13]Quantity_shares!BE495</f>
        <v>2.2222222222222223E-2</v>
      </c>
      <c r="H269" s="28">
        <f>[13]Quantity_shares!BF495</f>
        <v>0</v>
      </c>
      <c r="I269" s="28">
        <f>[13]Quantity_shares!BG495</f>
        <v>3.3333333333333409E-2</v>
      </c>
      <c r="Q269" s="26">
        <f t="shared" si="116"/>
        <v>8.157517388919025E-3</v>
      </c>
      <c r="R269" s="26">
        <f t="shared" si="116"/>
        <v>1.6891525737410915E-2</v>
      </c>
      <c r="S269" s="26">
        <f t="shared" si="116"/>
        <v>0.95438546321395445</v>
      </c>
      <c r="T269" s="26">
        <f t="shared" si="116"/>
        <v>1.9731233370505384E-2</v>
      </c>
      <c r="U269" s="26">
        <f t="shared" si="116"/>
        <v>8.3426028921023353E-4</v>
      </c>
      <c r="V269" s="26">
        <v>0</v>
      </c>
      <c r="W269" s="26">
        <v>0</v>
      </c>
      <c r="X269" s="26">
        <f t="shared" si="112"/>
        <v>1</v>
      </c>
      <c r="Y269" s="73"/>
      <c r="AA269" s="4">
        <f>'[33]Predicted Residual Prices'!AP269</f>
        <v>3.3942172998227451</v>
      </c>
      <c r="AB269" s="4">
        <f>'[34]Predicted Distillate Prices'!AP269</f>
        <v>5.6541558438405319</v>
      </c>
      <c r="AC269" s="4">
        <f>'[35]Predicted Gas Prices'!AQ269</f>
        <v>4.4592703406178114</v>
      </c>
      <c r="AD269" s="4">
        <f>'[36]Predicted LPG Prices'!AP269</f>
        <v>9.3275809099983</v>
      </c>
      <c r="AE269" s="4">
        <f>'[37]Predicted Coal Prices'!AP269</f>
        <v>2.0357126532523782</v>
      </c>
      <c r="AF269" s="4">
        <v>0</v>
      </c>
      <c r="AG269" s="4">
        <v>0</v>
      </c>
      <c r="AH269" s="4"/>
      <c r="AI269" s="17" t="s">
        <v>26</v>
      </c>
      <c r="AJ269" s="115">
        <f t="shared" si="117"/>
        <v>4.5648014851757157</v>
      </c>
    </row>
    <row r="270" spans="4:36" x14ac:dyDescent="0.2">
      <c r="D270">
        <f>[13]Quantity_shares!BB496</f>
        <v>2010</v>
      </c>
      <c r="E270" t="str">
        <f>[13]Quantity_shares!BC496</f>
        <v>324</v>
      </c>
      <c r="F270" s="28">
        <f>[13]Quantity_shares!BD496</f>
        <v>0.29069031032298925</v>
      </c>
      <c r="G270" s="28">
        <f>[13]Quantity_shares!BE496</f>
        <v>1.2982900569981E-2</v>
      </c>
      <c r="H270" s="28">
        <f>[13]Quantity_shares!BF496</f>
        <v>3.4832172260924636E-3</v>
      </c>
      <c r="I270" s="28">
        <f>[13]Quantity_shares!BG496</f>
        <v>0.69284357188093726</v>
      </c>
      <c r="Q270" s="26">
        <f t="shared" si="116"/>
        <v>2.8923554932737502E-2</v>
      </c>
      <c r="R270" s="26">
        <f t="shared" si="116"/>
        <v>1.907617492368683E-2</v>
      </c>
      <c r="S270" s="26">
        <f t="shared" si="116"/>
        <v>0.93227494442673486</v>
      </c>
      <c r="T270" s="26">
        <f t="shared" si="116"/>
        <v>1.8481129916383277E-2</v>
      </c>
      <c r="U270" s="26">
        <f t="shared" si="116"/>
        <v>1.2441958004575744E-3</v>
      </c>
      <c r="V270" s="26">
        <v>0</v>
      </c>
      <c r="W270" s="26">
        <v>0</v>
      </c>
      <c r="X270" s="26">
        <f t="shared" si="112"/>
        <v>1</v>
      </c>
      <c r="Y270" s="73"/>
      <c r="AA270" s="4">
        <f>'[33]Predicted Residual Prices'!AP270</f>
        <v>2.9316303481095329</v>
      </c>
      <c r="AB270" s="4">
        <f>'[34]Predicted Distillate Prices'!AP270</f>
        <v>4.8201296136005842</v>
      </c>
      <c r="AC270" s="4">
        <f>'[35]Predicted Gas Prices'!AQ270</f>
        <v>2.7831449461772575</v>
      </c>
      <c r="AD270" s="4">
        <f>'[36]Predicted LPG Prices'!AP270</f>
        <v>5.95678274732549</v>
      </c>
      <c r="AE270" s="4">
        <f>'[37]Predicted Coal Prices'!AP270</f>
        <v>1.8305229100742575</v>
      </c>
      <c r="AF270" s="4">
        <v>0</v>
      </c>
      <c r="AG270" s="4">
        <v>0</v>
      </c>
      <c r="AH270" s="4"/>
      <c r="AI270" s="17" t="s">
        <v>28</v>
      </c>
      <c r="AJ270" s="115">
        <f t="shared" si="117"/>
        <v>2.883764711863213</v>
      </c>
    </row>
    <row r="271" spans="4:36" x14ac:dyDescent="0.2">
      <c r="D271">
        <f>[13]Quantity_shares!BB497</f>
        <v>2010</v>
      </c>
      <c r="E271" t="str">
        <f>[13]Quantity_shares!BC497</f>
        <v>325</v>
      </c>
      <c r="F271" s="28">
        <f>[13]Quantity_shares!BD497</f>
        <v>0.64381089859256591</v>
      </c>
      <c r="G271" s="28">
        <f>[13]Quantity_shares!BE497</f>
        <v>5.4132082280765065E-3</v>
      </c>
      <c r="H271" s="28">
        <f>[13]Quantity_shares!BF497</f>
        <v>7.2176109707686759E-2</v>
      </c>
      <c r="I271" s="28">
        <f>[13]Quantity_shares!BG497</f>
        <v>0.27859978347167086</v>
      </c>
      <c r="Q271" s="26">
        <f t="shared" si="116"/>
        <v>1.943345334950803E-2</v>
      </c>
      <c r="R271" s="26">
        <f t="shared" si="116"/>
        <v>4.3094841813336674E-3</v>
      </c>
      <c r="S271" s="26">
        <f t="shared" si="116"/>
        <v>0.84128377096611262</v>
      </c>
      <c r="T271" s="26">
        <f t="shared" si="116"/>
        <v>1.6284001316579109E-2</v>
      </c>
      <c r="U271" s="26">
        <f t="shared" si="116"/>
        <v>0.11868929018646657</v>
      </c>
      <c r="V271" s="26">
        <v>0</v>
      </c>
      <c r="W271" s="26">
        <v>0</v>
      </c>
      <c r="X271" s="26">
        <f t="shared" si="112"/>
        <v>1</v>
      </c>
      <c r="Y271" s="73"/>
      <c r="AA271" s="4">
        <f>'[33]Predicted Residual Prices'!AP271</f>
        <v>3.4315592383916247</v>
      </c>
      <c r="AB271" s="4">
        <f>'[34]Predicted Distillate Prices'!AP271</f>
        <v>5.5486793143525457</v>
      </c>
      <c r="AC271" s="4">
        <f>'[35]Predicted Gas Prices'!AQ271</f>
        <v>2.6979504223368505</v>
      </c>
      <c r="AD271" s="4">
        <f>'[36]Predicted LPG Prices'!AP271</f>
        <v>5.5531526934457629</v>
      </c>
      <c r="AE271" s="4">
        <f>'[37]Predicted Coal Prices'!AP271</f>
        <v>1.6747049698101948</v>
      </c>
      <c r="AF271" s="4">
        <v>0</v>
      </c>
      <c r="AG271" s="4">
        <v>0</v>
      </c>
      <c r="AH271" s="4"/>
      <c r="AI271" s="17" t="s">
        <v>30</v>
      </c>
      <c r="AJ271" s="115">
        <f t="shared" si="117"/>
        <v>2.6495379872007701</v>
      </c>
    </row>
    <row r="272" spans="4:36" x14ac:dyDescent="0.2">
      <c r="D272">
        <f>[13]Quantity_shares!BB498</f>
        <v>2010</v>
      </c>
      <c r="E272" t="str">
        <f>[13]Quantity_shares!BC498</f>
        <v>326</v>
      </c>
      <c r="F272" s="28">
        <f>[13]Quantity_shares!BD498</f>
        <v>0.88793103448275867</v>
      </c>
      <c r="G272" s="28">
        <f>[13]Quantity_shares!BE498</f>
        <v>1.982758620689655E-2</v>
      </c>
      <c r="H272" s="28">
        <f>[13]Quantity_shares!BF498</f>
        <v>2.3275862068965519E-2</v>
      </c>
      <c r="I272" s="28">
        <f>[13]Quantity_shares!BG498</f>
        <v>6.8965517241379309E-2</v>
      </c>
      <c r="Q272" s="26">
        <f t="shared" si="116"/>
        <v>4.6145125495780731E-2</v>
      </c>
      <c r="R272" s="26">
        <f t="shared" si="116"/>
        <v>1.1389090556802994E-2</v>
      </c>
      <c r="S272" s="26">
        <f t="shared" si="116"/>
        <v>0.88984924716449076</v>
      </c>
      <c r="T272" s="26">
        <f t="shared" si="116"/>
        <v>2.7244305657405838E-2</v>
      </c>
      <c r="U272" s="26">
        <f t="shared" si="116"/>
        <v>2.5372231125519625E-2</v>
      </c>
      <c r="V272" s="26">
        <v>0</v>
      </c>
      <c r="W272" s="26">
        <v>0</v>
      </c>
      <c r="X272" s="26">
        <f t="shared" si="112"/>
        <v>1</v>
      </c>
      <c r="Y272" s="73"/>
      <c r="AA272" s="4">
        <f>'[33]Predicted Residual Prices'!AP272</f>
        <v>3.3564214156842569</v>
      </c>
      <c r="AB272" s="4">
        <f>'[34]Predicted Distillate Prices'!AP272</f>
        <v>6.4394762338060954</v>
      </c>
      <c r="AC272" s="4">
        <f>'[35]Predicted Gas Prices'!AQ272</f>
        <v>3.9181266622239885</v>
      </c>
      <c r="AD272" s="4">
        <f>'[36]Predicted LPG Prices'!AP272</f>
        <v>9.5235603817878332</v>
      </c>
      <c r="AE272" s="4">
        <f>'[37]Predicted Coal Prices'!AP272</f>
        <v>2.4743834267690623</v>
      </c>
      <c r="AF272" s="4">
        <v>0</v>
      </c>
      <c r="AG272" s="4">
        <v>0</v>
      </c>
      <c r="AH272" s="4"/>
      <c r="AI272" s="17" t="s">
        <v>32</v>
      </c>
      <c r="AJ272" s="115">
        <f t="shared" si="117"/>
        <v>4.0370077442691379</v>
      </c>
    </row>
    <row r="273" spans="4:36" x14ac:dyDescent="0.2">
      <c r="D273">
        <f>[13]Quantity_shares!BB499</f>
        <v>2010</v>
      </c>
      <c r="E273" t="str">
        <f>[13]Quantity_shares!BC499</f>
        <v>327</v>
      </c>
      <c r="F273" s="28">
        <f>[13]Quantity_shares!BD499</f>
        <v>0.45500000000000002</v>
      </c>
      <c r="G273" s="28">
        <f>[13]Quantity_shares!BE499</f>
        <v>0.04</v>
      </c>
      <c r="H273" s="28">
        <f>[13]Quantity_shares!BF499</f>
        <v>0.375</v>
      </c>
      <c r="I273" s="28">
        <f>[13]Quantity_shares!BG499</f>
        <v>0.13</v>
      </c>
      <c r="Q273" s="26">
        <f t="shared" si="116"/>
        <v>6.5565212229947954E-3</v>
      </c>
      <c r="R273" s="26">
        <f t="shared" si="116"/>
        <v>2.3846768829525404E-2</v>
      </c>
      <c r="S273" s="26">
        <f t="shared" si="116"/>
        <v>0.58751169937494252</v>
      </c>
      <c r="T273" s="26">
        <f t="shared" si="116"/>
        <v>4.3134554796872915E-3</v>
      </c>
      <c r="U273" s="26">
        <f t="shared" si="116"/>
        <v>0.37777155509284999</v>
      </c>
      <c r="V273" s="26">
        <v>0</v>
      </c>
      <c r="W273" s="26">
        <v>0</v>
      </c>
      <c r="X273" s="26">
        <f t="shared" si="112"/>
        <v>1</v>
      </c>
      <c r="Y273" s="73"/>
      <c r="AA273" s="4">
        <f>'[33]Predicted Residual Prices'!AP273</f>
        <v>3.5261091436383425</v>
      </c>
      <c r="AB273" s="4">
        <f>'[34]Predicted Distillate Prices'!AP273</f>
        <v>5.779208198021685</v>
      </c>
      <c r="AC273" s="4">
        <f>'[35]Predicted Gas Prices'!AQ273</f>
        <v>3.5980517103559442</v>
      </c>
      <c r="AD273" s="4">
        <f>'[36]Predicted LPG Prices'!AP273</f>
        <v>8.9772394111243337</v>
      </c>
      <c r="AE273" s="4">
        <f>'[37]Predicted Coal Prices'!AP273</f>
        <v>1.6313181107257382</v>
      </c>
      <c r="AF273" s="4">
        <v>0</v>
      </c>
      <c r="AG273" s="4">
        <v>0</v>
      </c>
      <c r="AH273" s="4"/>
      <c r="AI273" s="17" t="s">
        <v>34</v>
      </c>
      <c r="AJ273" s="115">
        <f t="shared" si="117"/>
        <v>2.9298204282112925</v>
      </c>
    </row>
    <row r="274" spans="4:36" x14ac:dyDescent="0.2">
      <c r="D274">
        <f>[13]Quantity_shares!BB500</f>
        <v>2010</v>
      </c>
      <c r="E274" t="str">
        <f>[13]Quantity_shares!BC500</f>
        <v>331</v>
      </c>
      <c r="F274" s="28">
        <f>[13]Quantity_shares!BD500</f>
        <v>0.42754777070063693</v>
      </c>
      <c r="G274" s="28">
        <f>[13]Quantity_shares!BE500</f>
        <v>7.9617834394904458E-3</v>
      </c>
      <c r="H274" s="28">
        <f>[13]Quantity_shares!BF500</f>
        <v>0.31050955414012738</v>
      </c>
      <c r="I274" s="28">
        <f>[13]Quantity_shares!BG500</f>
        <v>0.25398089171974525</v>
      </c>
      <c r="Q274" s="26">
        <f t="shared" si="116"/>
        <v>2.3981916780942497E-2</v>
      </c>
      <c r="R274" s="26">
        <f t="shared" si="116"/>
        <v>6.5588010122202842E-3</v>
      </c>
      <c r="S274" s="26">
        <f t="shared" si="116"/>
        <v>0.61953709786887923</v>
      </c>
      <c r="T274" s="26">
        <f t="shared" si="116"/>
        <v>2.5849929752432364E-3</v>
      </c>
      <c r="U274" s="26">
        <f t="shared" si="116"/>
        <v>4.765076794190673E-2</v>
      </c>
      <c r="V274" s="26">
        <f t="shared" si="116"/>
        <v>0.29968642342080798</v>
      </c>
      <c r="W274" s="26">
        <v>0</v>
      </c>
      <c r="X274" s="26">
        <f t="shared" si="112"/>
        <v>1</v>
      </c>
      <c r="Y274" s="73"/>
      <c r="AA274" s="4">
        <f>'[33]Predicted Residual Prices'!AP274</f>
        <v>2.8809760773832251</v>
      </c>
      <c r="AB274" s="4">
        <f>'[34]Predicted Distillate Prices'!AP274</f>
        <v>5.7063046332032847</v>
      </c>
      <c r="AC274" s="4">
        <f>'[35]Predicted Gas Prices'!AQ274</f>
        <v>3.2364520340394449</v>
      </c>
      <c r="AD274" s="4">
        <f>'[36]Predicted LPG Prices'!AP274</f>
        <v>8.1196045350035924</v>
      </c>
      <c r="AE274" s="4">
        <f>'[37]Predicted Coal Prices'!AP274</f>
        <v>1.5431702705345678</v>
      </c>
      <c r="AF274" s="36">
        <f>3*AE274</f>
        <v>4.6295108116037031</v>
      </c>
      <c r="AG274" s="4">
        <v>0</v>
      </c>
      <c r="AH274" s="4"/>
      <c r="AI274" s="17" t="s">
        <v>36</v>
      </c>
      <c r="AJ274" s="115">
        <f t="shared" si="117"/>
        <v>3.5935438521589154</v>
      </c>
    </row>
    <row r="275" spans="4:36" x14ac:dyDescent="0.2">
      <c r="D275">
        <f>[13]Quantity_shares!BB501</f>
        <v>2010</v>
      </c>
      <c r="E275" t="str">
        <f>[13]Quantity_shares!BC501</f>
        <v>332</v>
      </c>
      <c r="F275" s="28">
        <f>[13]Quantity_shares!BD501</f>
        <v>0.93678160919540232</v>
      </c>
      <c r="G275" s="28">
        <f>[13]Quantity_shares!BE501</f>
        <v>1.8390804597701149E-2</v>
      </c>
      <c r="H275" s="28">
        <f>[13]Quantity_shares!BF501</f>
        <v>1.7241379310344827E-3</v>
      </c>
      <c r="I275" s="28">
        <f>[13]Quantity_shares!BG501</f>
        <v>4.3103448275862072E-2</v>
      </c>
      <c r="Q275" s="26">
        <f t="shared" si="116"/>
        <v>9.0710954487007254E-3</v>
      </c>
      <c r="R275" s="26">
        <f t="shared" si="116"/>
        <v>2.2418878735323756E-2</v>
      </c>
      <c r="S275" s="26">
        <f t="shared" si="116"/>
        <v>0.93150310717069706</v>
      </c>
      <c r="T275" s="26">
        <f t="shared" si="116"/>
        <v>1.9766700738301005E-2</v>
      </c>
      <c r="U275" s="26">
        <f t="shared" si="116"/>
        <v>1.7240217906977426E-2</v>
      </c>
      <c r="V275" s="26">
        <v>0</v>
      </c>
      <c r="W275" s="26">
        <v>0</v>
      </c>
      <c r="X275" s="26">
        <f t="shared" si="112"/>
        <v>0.99999999999999989</v>
      </c>
      <c r="Y275" s="73"/>
      <c r="AA275" s="4">
        <f>'[33]Predicted Residual Prices'!AP275</f>
        <v>3.5905709297446364</v>
      </c>
      <c r="AB275" s="4">
        <f>'[34]Predicted Distillate Prices'!AP275</f>
        <v>6.3630882263828461</v>
      </c>
      <c r="AC275" s="4">
        <f>'[35]Predicted Gas Prices'!AQ275</f>
        <v>4.0439976777287701</v>
      </c>
      <c r="AD275" s="4">
        <f>'[36]Predicted LPG Prices'!AP275</f>
        <v>9.6906713076908382</v>
      </c>
      <c r="AE275" s="4">
        <f>'[37]Predicted Coal Prices'!AP275</f>
        <v>2.5077190991261329</v>
      </c>
      <c r="AF275" s="4">
        <v>0</v>
      </c>
      <c r="AG275" s="4">
        <v>0</v>
      </c>
      <c r="AH275" s="4"/>
      <c r="AI275" s="17" t="s">
        <v>38</v>
      </c>
      <c r="AJ275" s="115">
        <f t="shared" si="117"/>
        <v>4.1770063405547084</v>
      </c>
    </row>
    <row r="276" spans="4:36" x14ac:dyDescent="0.2">
      <c r="D276">
        <f>[13]Quantity_shares!BB502</f>
        <v>2010</v>
      </c>
      <c r="E276" t="str">
        <f>[13]Quantity_shares!BC502</f>
        <v>333</v>
      </c>
      <c r="F276" s="28">
        <f>[13]Quantity_shares!BD502</f>
        <v>0.91849935316946962</v>
      </c>
      <c r="G276" s="28">
        <f>[13]Quantity_shares!BE502</f>
        <v>4.1397153945666239E-2</v>
      </c>
      <c r="H276" s="28">
        <f>[13]Quantity_shares!BF502</f>
        <v>1.29366106080207E-3</v>
      </c>
      <c r="I276" s="28">
        <f>[13]Quantity_shares!BG502</f>
        <v>3.8809831824062099E-2</v>
      </c>
      <c r="Q276" s="26">
        <f t="shared" si="116"/>
        <v>1.2550073543821313E-2</v>
      </c>
      <c r="R276" s="26">
        <f t="shared" si="116"/>
        <v>2.7126276145244706E-2</v>
      </c>
      <c r="S276" s="26">
        <f t="shared" si="116"/>
        <v>0.8615575966034642</v>
      </c>
      <c r="T276" s="26">
        <f t="shared" si="116"/>
        <v>2.5249610614265894E-2</v>
      </c>
      <c r="U276" s="26">
        <f t="shared" si="116"/>
        <v>7.3516443093203918E-2</v>
      </c>
      <c r="V276" s="26">
        <v>0</v>
      </c>
      <c r="W276" s="26">
        <v>0</v>
      </c>
      <c r="X276" s="26">
        <f t="shared" si="112"/>
        <v>1</v>
      </c>
      <c r="Y276" s="73"/>
      <c r="AA276" s="4">
        <f>'[33]Predicted Residual Prices'!AP276</f>
        <v>3.1084896774021864</v>
      </c>
      <c r="AB276" s="4">
        <f>'[34]Predicted Distillate Prices'!AP276</f>
        <v>6.2151769467971709</v>
      </c>
      <c r="AC276" s="4">
        <f>'[35]Predicted Gas Prices'!AQ276</f>
        <v>4.2055330791152823</v>
      </c>
      <c r="AD276" s="4">
        <f>'[36]Predicted LPG Prices'!AP276</f>
        <v>9.0177935892733725</v>
      </c>
      <c r="AE276" s="4">
        <f>'[37]Predicted Coal Prices'!AP276</f>
        <v>1.6074223741855571</v>
      </c>
      <c r="AF276" s="4">
        <v>0</v>
      </c>
      <c r="AG276" s="4">
        <v>0</v>
      </c>
      <c r="AH276" s="4"/>
      <c r="AI276" s="17" t="s">
        <v>40</v>
      </c>
      <c r="AJ276" s="115">
        <f t="shared" si="117"/>
        <v>4.1767831045184458</v>
      </c>
    </row>
    <row r="277" spans="4:36" x14ac:dyDescent="0.2">
      <c r="D277">
        <f>[13]Quantity_shares!BB503</f>
        <v>2010</v>
      </c>
      <c r="E277" t="str">
        <f>[13]Quantity_shares!BC503</f>
        <v>334</v>
      </c>
      <c r="F277" s="28">
        <f>[13]Quantity_shares!BD503</f>
        <v>0.96551724137931039</v>
      </c>
      <c r="G277" s="28">
        <f>[13]Quantity_shares!BE503</f>
        <v>1.8390804597701149E-2</v>
      </c>
      <c r="H277" s="28">
        <f>[13]Quantity_shares!BF503</f>
        <v>0</v>
      </c>
      <c r="I277" s="28">
        <f>[13]Quantity_shares!BG503</f>
        <v>1.6091954022988506E-2</v>
      </c>
      <c r="Q277" s="26">
        <f t="shared" ref="Q277:U281" si="118">0.25*Q214+0.75*Q298</f>
        <v>2.1292834128731196E-2</v>
      </c>
      <c r="R277" s="26">
        <f t="shared" si="118"/>
        <v>1.6113460419540915E-2</v>
      </c>
      <c r="S277" s="26">
        <f t="shared" si="118"/>
        <v>0.91238556762564327</v>
      </c>
      <c r="T277" s="26">
        <f t="shared" si="118"/>
        <v>8.3476953906906192E-3</v>
      </c>
      <c r="U277" s="26">
        <f t="shared" si="118"/>
        <v>4.186044243539392E-2</v>
      </c>
      <c r="V277" s="26">
        <v>0</v>
      </c>
      <c r="W277" s="26">
        <v>0</v>
      </c>
      <c r="X277" s="26">
        <f t="shared" si="112"/>
        <v>0.99999999999999989</v>
      </c>
      <c r="Y277" s="73"/>
      <c r="AA277" s="4">
        <f>'[33]Predicted Residual Prices'!AP277</f>
        <v>3.5734651351499296</v>
      </c>
      <c r="AB277" s="4">
        <f>'[34]Predicted Distillate Prices'!AP277</f>
        <v>5.8518332216873414</v>
      </c>
      <c r="AC277" s="4">
        <f>'[35]Predicted Gas Prices'!AQ277</f>
        <v>4.0088040189188074</v>
      </c>
      <c r="AD277" s="4">
        <f>'[36]Predicted LPG Prices'!AP277</f>
        <v>8.9012976701972217</v>
      </c>
      <c r="AE277" s="4">
        <f>'[37]Predicted Coal Prices'!AP277</f>
        <v>1.8991517990811566</v>
      </c>
      <c r="AF277" s="4">
        <v>0</v>
      </c>
      <c r="AG277" s="4">
        <v>0</v>
      </c>
      <c r="AH277" s="4"/>
      <c r="AI277" s="17" t="s">
        <v>42</v>
      </c>
      <c r="AJ277" s="115">
        <f t="shared" si="117"/>
        <v>3.9817620697823433</v>
      </c>
    </row>
    <row r="278" spans="4:36" x14ac:dyDescent="0.2">
      <c r="D278">
        <f>[13]Quantity_shares!BB504</f>
        <v>2010</v>
      </c>
      <c r="E278" t="str">
        <f>[13]Quantity_shares!BC504</f>
        <v>335</v>
      </c>
      <c r="F278" s="28">
        <f>[13]Quantity_shares!BD504</f>
        <v>0.93506493506493504</v>
      </c>
      <c r="G278" s="28">
        <f>[13]Quantity_shares!BE504</f>
        <v>2.5974025974025976E-2</v>
      </c>
      <c r="H278" s="28">
        <f>[13]Quantity_shares!BF504</f>
        <v>7.7922077922077922E-3</v>
      </c>
      <c r="I278" s="28">
        <f>[13]Quantity_shares!BG504</f>
        <v>3.1168831168831169E-2</v>
      </c>
      <c r="Q278" s="26">
        <f t="shared" si="118"/>
        <v>2.0355177402007513E-2</v>
      </c>
      <c r="R278" s="26">
        <f t="shared" si="118"/>
        <v>1.7852467477411031E-2</v>
      </c>
      <c r="S278" s="26">
        <f t="shared" si="118"/>
        <v>0.92640675377406267</v>
      </c>
      <c r="T278" s="26">
        <f t="shared" si="118"/>
        <v>3.2716562200611317E-2</v>
      </c>
      <c r="U278" s="26">
        <f t="shared" si="118"/>
        <v>2.6690391459074738E-3</v>
      </c>
      <c r="V278" s="26">
        <v>0</v>
      </c>
      <c r="W278" s="26">
        <v>0</v>
      </c>
      <c r="X278" s="26">
        <f t="shared" si="112"/>
        <v>1</v>
      </c>
      <c r="Y278" s="73"/>
      <c r="AA278" s="4">
        <f>'[33]Predicted Residual Prices'!AP278</f>
        <v>3.7677431719744954</v>
      </c>
      <c r="AB278" s="4">
        <f>'[34]Predicted Distillate Prices'!AP278</f>
        <v>6.2648520634477327</v>
      </c>
      <c r="AC278" s="4">
        <f>'[35]Predicted Gas Prices'!AQ278</f>
        <v>4.0066105022429408</v>
      </c>
      <c r="AD278" s="4">
        <f>'[36]Predicted LPG Prices'!AP278</f>
        <v>8.9266878267102907</v>
      </c>
      <c r="AE278" s="4">
        <f>'[37]Predicted Coal Prices'!AP278</f>
        <v>2.0593739446293053</v>
      </c>
      <c r="AF278" s="4">
        <v>0</v>
      </c>
      <c r="AG278" s="4">
        <v>0</v>
      </c>
      <c r="AH278" s="4"/>
      <c r="AI278" s="17" t="s">
        <v>44</v>
      </c>
      <c r="AJ278" s="115">
        <f t="shared" si="117"/>
        <v>4.1978342646064695</v>
      </c>
    </row>
    <row r="279" spans="4:36" x14ac:dyDescent="0.2">
      <c r="D279">
        <f>[13]Quantity_shares!BB505</f>
        <v>2010</v>
      </c>
      <c r="E279" t="str">
        <f>[13]Quantity_shares!BC505</f>
        <v>336</v>
      </c>
      <c r="F279" s="28">
        <f>[13]Quantity_shares!BD505</f>
        <v>0.88811188811188813</v>
      </c>
      <c r="G279" s="28">
        <f>[13]Quantity_shares!BE505</f>
        <v>3.4965034965034968E-2</v>
      </c>
      <c r="H279" s="28">
        <f>[13]Quantity_shares!BF505</f>
        <v>2.097902097902098E-2</v>
      </c>
      <c r="I279" s="28">
        <f>[13]Quantity_shares!BG505</f>
        <v>5.5944055944055944E-2</v>
      </c>
      <c r="Q279" s="26">
        <f t="shared" si="118"/>
        <v>2.7059226248086043E-2</v>
      </c>
      <c r="R279" s="26">
        <f t="shared" si="118"/>
        <v>5.0263941966020839E-2</v>
      </c>
      <c r="S279" s="26">
        <f t="shared" si="118"/>
        <v>0.79474931347982969</v>
      </c>
      <c r="T279" s="26">
        <f t="shared" si="118"/>
        <v>1.4295215263179626E-2</v>
      </c>
      <c r="U279" s="26">
        <f t="shared" si="118"/>
        <v>0.11363230304288377</v>
      </c>
      <c r="V279" s="26">
        <v>0</v>
      </c>
      <c r="W279" s="26">
        <v>0</v>
      </c>
      <c r="X279" s="26">
        <f t="shared" si="112"/>
        <v>1</v>
      </c>
      <c r="Y279" s="73"/>
      <c r="AA279" s="4">
        <f>'[33]Predicted Residual Prices'!AP279</f>
        <v>3.3120233041910256</v>
      </c>
      <c r="AB279" s="4">
        <f>'[34]Predicted Distillate Prices'!AP279</f>
        <v>5.7809511482159728</v>
      </c>
      <c r="AC279" s="4">
        <f>'[35]Predicted Gas Prices'!AQ279</f>
        <v>3.7513351049071151</v>
      </c>
      <c r="AD279" s="4">
        <f>'[36]Predicted LPG Prices'!AP279</f>
        <v>8.9219352883404817</v>
      </c>
      <c r="AE279" s="4">
        <f>'[37]Predicted Coal Prices'!AP279</f>
        <v>1.8364760934085953</v>
      </c>
      <c r="AF279" s="4">
        <v>0</v>
      </c>
      <c r="AG279" s="4">
        <v>0</v>
      </c>
      <c r="AH279" s="4"/>
      <c r="AI279" s="17" t="s">
        <v>46</v>
      </c>
      <c r="AJ279" s="115">
        <f t="shared" si="117"/>
        <v>3.697789173695285</v>
      </c>
    </row>
    <row r="280" spans="4:36" x14ac:dyDescent="0.2">
      <c r="D280">
        <f>[13]Quantity_shares!BB506</f>
        <v>2010</v>
      </c>
      <c r="E280" t="str">
        <f>[13]Quantity_shares!BC506</f>
        <v>337</v>
      </c>
      <c r="F280" s="28">
        <f>[13]Quantity_shares!BD506</f>
        <v>0.67708333333333337</v>
      </c>
      <c r="G280" s="28">
        <f>[13]Quantity_shares!BE506</f>
        <v>1.0416666666666668E-2</v>
      </c>
      <c r="H280" s="28">
        <f>[13]Quantity_shares!BF506</f>
        <v>5.2083333333333336E-2</v>
      </c>
      <c r="I280" s="28">
        <f>[13]Quantity_shares!BG506</f>
        <v>0.26041666666666669</v>
      </c>
      <c r="Q280" s="26">
        <f t="shared" si="118"/>
        <v>1.2892288564182525E-2</v>
      </c>
      <c r="R280" s="26">
        <f t="shared" si="118"/>
        <v>3.1772104309727697E-2</v>
      </c>
      <c r="S280" s="26">
        <f t="shared" si="118"/>
        <v>0.85454534844457097</v>
      </c>
      <c r="T280" s="26">
        <f t="shared" si="118"/>
        <v>3.0618513057747345E-2</v>
      </c>
      <c r="U280" s="26">
        <f t="shared" si="118"/>
        <v>7.01717456237715E-2</v>
      </c>
      <c r="V280" s="26">
        <v>0</v>
      </c>
      <c r="W280" s="26">
        <v>0</v>
      </c>
      <c r="X280" s="26">
        <f t="shared" si="112"/>
        <v>1</v>
      </c>
      <c r="Y280" s="73"/>
      <c r="AA280" s="4">
        <f>'[33]Predicted Residual Prices'!AP280</f>
        <v>3.8083661891896314</v>
      </c>
      <c r="AB280" s="4">
        <f>'[34]Predicted Distillate Prices'!AP280</f>
        <v>6.449237630344312</v>
      </c>
      <c r="AC280" s="4">
        <f>'[35]Predicted Gas Prices'!AQ280</f>
        <v>4.7530043893036691</v>
      </c>
      <c r="AD280" s="4">
        <f>'[36]Predicted LPG Prices'!AP280</f>
        <v>9.2434355469263103</v>
      </c>
      <c r="AE280" s="4">
        <f>'[37]Predicted Coal Prices'!AP280</f>
        <v>2.0808883994606586</v>
      </c>
      <c r="AF280" s="4">
        <v>0</v>
      </c>
      <c r="AG280" s="4">
        <v>0</v>
      </c>
      <c r="AH280" s="4"/>
      <c r="AI280" s="17" t="s">
        <v>48</v>
      </c>
      <c r="AJ280" s="115">
        <f t="shared" si="117"/>
        <v>4.7447020220251277</v>
      </c>
    </row>
    <row r="281" spans="4:36" x14ac:dyDescent="0.2">
      <c r="D281">
        <f>[13]Quantity_shares!BB507</f>
        <v>2010</v>
      </c>
      <c r="E281" t="str">
        <f>[13]Quantity_shares!BC507</f>
        <v>339</v>
      </c>
      <c r="F281" s="28">
        <f>[13]Quantity_shares!BD507</f>
        <v>0.91764705882352959</v>
      </c>
      <c r="G281" s="28">
        <f>[13]Quantity_shares!BE507</f>
        <v>6.4705882352941196E-2</v>
      </c>
      <c r="H281" s="28">
        <f>[13]Quantity_shares!BF507</f>
        <v>5.8823529411764722E-3</v>
      </c>
      <c r="I281" s="28">
        <f>[13]Quantity_shares!BG507</f>
        <v>1.1764705882352693E-2</v>
      </c>
      <c r="Q281" s="26">
        <f t="shared" si="118"/>
        <v>2.9912124392112084E-2</v>
      </c>
      <c r="R281" s="26">
        <f t="shared" si="118"/>
        <v>4.214621277750967E-2</v>
      </c>
      <c r="S281" s="26">
        <f t="shared" si="118"/>
        <v>0.85804747578118079</v>
      </c>
      <c r="T281" s="26">
        <f t="shared" si="118"/>
        <v>1.7006802721088433E-2</v>
      </c>
      <c r="U281" s="26">
        <f t="shared" si="118"/>
        <v>5.2887384328109174E-2</v>
      </c>
      <c r="V281" s="26">
        <v>0</v>
      </c>
      <c r="W281" s="26">
        <v>0</v>
      </c>
      <c r="X281" s="26">
        <f t="shared" si="112"/>
        <v>1.0000000000000002</v>
      </c>
      <c r="Y281" s="73"/>
      <c r="AA281" s="4">
        <f>'[33]Predicted Residual Prices'!AP281</f>
        <v>3.7106999956863662</v>
      </c>
      <c r="AB281" s="4">
        <f>'[34]Predicted Distillate Prices'!AP281</f>
        <v>5.1774089426771663</v>
      </c>
      <c r="AC281" s="4">
        <f>'[35]Predicted Gas Prices'!AQ281</f>
        <v>4.6315726747350983</v>
      </c>
      <c r="AD281" s="4">
        <f>'[36]Predicted LPG Prices'!AP281</f>
        <v>12.343717896175471</v>
      </c>
      <c r="AE281" s="4">
        <f>'[37]Predicted Coal Prices'!AP281</f>
        <v>2.0194612915143137</v>
      </c>
      <c r="AF281" s="4">
        <v>0</v>
      </c>
      <c r="AG281" s="4">
        <v>0</v>
      </c>
      <c r="AH281" s="4"/>
      <c r="AI281" s="17" t="s">
        <v>50</v>
      </c>
      <c r="AJ281" s="115">
        <f t="shared" si="117"/>
        <v>4.6200435418056589</v>
      </c>
    </row>
    <row r="282" spans="4:36" x14ac:dyDescent="0.2">
      <c r="P282">
        <v>1998</v>
      </c>
      <c r="Q282" s="31">
        <f>MECS_data!BB5</f>
        <v>1.912568306010929E-2</v>
      </c>
      <c r="R282" s="31">
        <f>MECS_data!BC5</f>
        <v>2.1857923497267756E-2</v>
      </c>
      <c r="S282" s="31">
        <f>MECS_data!BD5</f>
        <v>0.77595628415300544</v>
      </c>
      <c r="T282" s="31">
        <f>MECS_data!BE5</f>
        <v>6.8306010928961746E-3</v>
      </c>
      <c r="U282" s="31">
        <f>MECS_data!BF5</f>
        <v>0.17622950819672129</v>
      </c>
      <c r="V282" s="26">
        <v>0</v>
      </c>
      <c r="W282" s="26">
        <v>0</v>
      </c>
      <c r="X282" s="26">
        <f t="shared" si="112"/>
        <v>1</v>
      </c>
      <c r="Y282" s="73"/>
      <c r="Z282">
        <v>1998</v>
      </c>
      <c r="AA282" s="4">
        <f>'[33]Predicted Residual Prices'!AP282</f>
        <v>2.7</v>
      </c>
      <c r="AB282" s="4">
        <f>'[34]Predicted Distillate Prices'!AP282</f>
        <v>4.0999999999999996</v>
      </c>
      <c r="AC282" s="4">
        <f>'[35]Predicted Gas Prices'!AQ282</f>
        <v>2.95</v>
      </c>
      <c r="AD282" s="4">
        <f>'[36]Predicted LPG Prices'!AP282</f>
        <v>7.47</v>
      </c>
      <c r="AE282" s="4">
        <f>'[37]Predicted Coal Prices'!AP282</f>
        <v>1.43</v>
      </c>
      <c r="AF282" s="4">
        <v>0</v>
      </c>
      <c r="AG282" s="4">
        <v>0</v>
      </c>
      <c r="AH282" s="4"/>
      <c r="AI282" s="17" t="s">
        <v>10</v>
      </c>
      <c r="AJ282" s="115">
        <f t="shared" si="117"/>
        <v>2.7333606557377053</v>
      </c>
    </row>
    <row r="283" spans="4:36" x14ac:dyDescent="0.2">
      <c r="Q283" s="31">
        <f>MECS_data!BB6</f>
        <v>2.5316455696202531E-2</v>
      </c>
      <c r="R283" s="31">
        <f>MECS_data!BC6</f>
        <v>2.5316455696202531E-2</v>
      </c>
      <c r="S283" s="31">
        <f>MECS_data!BD6</f>
        <v>0.569620253164557</v>
      </c>
      <c r="T283" s="31">
        <f>MECS_data!BE6</f>
        <v>1.2658227848101266E-2</v>
      </c>
      <c r="U283" s="31">
        <f>MECS_data!BF6</f>
        <v>0.36708860759493667</v>
      </c>
      <c r="V283" s="26">
        <v>0</v>
      </c>
      <c r="W283" s="26">
        <v>0</v>
      </c>
      <c r="X283" s="26">
        <f t="shared" si="112"/>
        <v>1</v>
      </c>
      <c r="Y283" s="73"/>
      <c r="AA283" s="4">
        <f>'[33]Predicted Residual Prices'!AP283</f>
        <v>2.68</v>
      </c>
      <c r="AB283" s="4">
        <f>'[34]Predicted Distillate Prices'!AP283</f>
        <v>5.38</v>
      </c>
      <c r="AC283" s="4">
        <f>'[35]Predicted Gas Prices'!AQ283</f>
        <v>3.22</v>
      </c>
      <c r="AD283" s="4">
        <f>'[36]Predicted LPG Prices'!AP283</f>
        <v>6.77</v>
      </c>
      <c r="AE283" s="4">
        <f>'[37]Predicted Coal Prices'!AP283</f>
        <v>1.71</v>
      </c>
      <c r="AF283" s="4">
        <v>0</v>
      </c>
      <c r="AG283" s="4">
        <v>0</v>
      </c>
      <c r="AH283" s="4"/>
      <c r="AI283" s="17" t="s">
        <v>12</v>
      </c>
      <c r="AJ283" s="115">
        <f t="shared" si="117"/>
        <v>2.7516455696202535</v>
      </c>
    </row>
    <row r="284" spans="4:36" x14ac:dyDescent="0.2">
      <c r="Q284" s="31">
        <f>MECS_data!BB7</f>
        <v>8.5714285714285715E-2</v>
      </c>
      <c r="R284" s="31">
        <f>MECS_data!BC7</f>
        <v>2.8571428571428567E-2</v>
      </c>
      <c r="S284" s="31">
        <f>MECS_data!BD7</f>
        <v>0.72857142857142854</v>
      </c>
      <c r="T284" s="31">
        <f>MECS_data!BE7</f>
        <v>1.4285714285714284E-2</v>
      </c>
      <c r="U284" s="31">
        <f>MECS_data!BF7</f>
        <v>0.14285714285714285</v>
      </c>
      <c r="V284" s="26">
        <v>0</v>
      </c>
      <c r="W284" s="26">
        <v>0</v>
      </c>
      <c r="X284" s="26">
        <f t="shared" si="112"/>
        <v>1</v>
      </c>
      <c r="Y284" s="73"/>
      <c r="AA284" s="4">
        <f>'[33]Predicted Residual Prices'!AP284</f>
        <v>2.82</v>
      </c>
      <c r="AB284" s="4">
        <f>'[34]Predicted Distillate Prices'!AP284</f>
        <v>3.64</v>
      </c>
      <c r="AC284" s="4">
        <f>'[35]Predicted Gas Prices'!AQ284</f>
        <v>3.33</v>
      </c>
      <c r="AD284" s="4">
        <f>'[36]Predicted LPG Prices'!AP284</f>
        <v>5.93</v>
      </c>
      <c r="AE284" s="4">
        <f>'[37]Predicted Coal Prices'!AP284</f>
        <v>2.06</v>
      </c>
      <c r="AF284" s="4">
        <v>0</v>
      </c>
      <c r="AG284" s="4">
        <v>0</v>
      </c>
      <c r="AH284" s="4"/>
      <c r="AI284" s="17" t="s">
        <v>14</v>
      </c>
      <c r="AJ284" s="115">
        <f t="shared" si="117"/>
        <v>3.1508571428571424</v>
      </c>
    </row>
    <row r="285" spans="4:36" x14ac:dyDescent="0.2">
      <c r="Q285" s="31">
        <f>MECS_data!BB8</f>
        <v>9.4339622641509441E-2</v>
      </c>
      <c r="R285" s="31">
        <f>MECS_data!BC8</f>
        <v>4.716981132075472E-2</v>
      </c>
      <c r="S285" s="31">
        <f>MECS_data!BD8</f>
        <v>0.75471698113207553</v>
      </c>
      <c r="T285" s="31">
        <f>MECS_data!BE8</f>
        <v>9.433962264150943E-3</v>
      </c>
      <c r="U285" s="31">
        <f>MECS_data!BF8</f>
        <v>9.4339622641509441E-2</v>
      </c>
      <c r="V285" s="26">
        <v>0</v>
      </c>
      <c r="W285" s="26">
        <v>0</v>
      </c>
      <c r="X285" s="26">
        <f t="shared" si="112"/>
        <v>1.0000000000000002</v>
      </c>
      <c r="Y285" s="73"/>
      <c r="AA285" s="4">
        <f>'[33]Predicted Residual Prices'!AP285</f>
        <v>2.8</v>
      </c>
      <c r="AB285" s="4">
        <f>'[34]Predicted Distillate Prices'!AP285</f>
        <v>4.5</v>
      </c>
      <c r="AC285" s="4">
        <f>'[35]Predicted Gas Prices'!AQ285</f>
        <v>3.5</v>
      </c>
      <c r="AD285" s="4">
        <f>'[36]Predicted LPG Prices'!AP285</f>
        <v>8.35</v>
      </c>
      <c r="AE285" s="4">
        <f>'[37]Predicted Coal Prices'!AP285</f>
        <v>2</v>
      </c>
      <c r="AF285" s="4">
        <v>0</v>
      </c>
      <c r="AG285" s="4">
        <v>0</v>
      </c>
      <c r="AH285" s="4"/>
      <c r="AI285" s="17" t="s">
        <v>16</v>
      </c>
      <c r="AJ285" s="115">
        <f t="shared" si="117"/>
        <v>3.3853773584905662</v>
      </c>
    </row>
    <row r="286" spans="4:36" x14ac:dyDescent="0.2">
      <c r="Q286" s="31">
        <f>MECS_data!BB9</f>
        <v>7.1428571428571425E-2</v>
      </c>
      <c r="R286" s="31">
        <f>MECS_data!BC9</f>
        <v>3.5714285714285712E-2</v>
      </c>
      <c r="S286" s="31">
        <f>MECS_data!BD9</f>
        <v>0.82142857142857151</v>
      </c>
      <c r="T286" s="31">
        <f>MECS_data!BE9</f>
        <v>3.5714285714285712E-2</v>
      </c>
      <c r="U286" s="31">
        <f>MECS_data!BF9</f>
        <v>3.5714285714285712E-2</v>
      </c>
      <c r="V286" s="26">
        <v>0</v>
      </c>
      <c r="W286" s="26">
        <v>0</v>
      </c>
      <c r="X286" s="26">
        <f t="shared" si="112"/>
        <v>1</v>
      </c>
      <c r="Y286" s="73"/>
      <c r="AA286" s="4">
        <f>'[33]Predicted Residual Prices'!AP286</f>
        <v>2.77</v>
      </c>
      <c r="AB286" s="4">
        <f>'[34]Predicted Distillate Prices'!AP286</f>
        <v>5.14</v>
      </c>
      <c r="AC286" s="4">
        <f>'[35]Predicted Gas Prices'!AQ286</f>
        <v>3.81</v>
      </c>
      <c r="AD286" s="4">
        <f>'[36]Predicted LPG Prices'!AP286</f>
        <v>6.62</v>
      </c>
      <c r="AE286" s="4">
        <f>'[37]Predicted Coal Prices'!AP286</f>
        <v>2</v>
      </c>
      <c r="AF286" s="4">
        <v>0</v>
      </c>
      <c r="AG286" s="4">
        <v>0</v>
      </c>
      <c r="AH286" s="4"/>
      <c r="AI286" s="17" t="s">
        <v>18</v>
      </c>
      <c r="AJ286" s="115">
        <f t="shared" si="117"/>
        <v>3.8189285714285721</v>
      </c>
    </row>
    <row r="287" spans="4:36" x14ac:dyDescent="0.2">
      <c r="Q287" s="31">
        <f>MECS_data!BB10</f>
        <v>4.0816326530612242E-2</v>
      </c>
      <c r="R287" s="31">
        <f>MECS_data!BC10</f>
        <v>8.1632653061224483E-2</v>
      </c>
      <c r="S287" s="31">
        <f>MECS_data!BD10</f>
        <v>0.81632653061224492</v>
      </c>
      <c r="T287" s="31">
        <f>MECS_data!BE10</f>
        <v>6.1224489795918366E-2</v>
      </c>
      <c r="U287" s="31">
        <f>MECS_data!BF10</f>
        <v>0</v>
      </c>
      <c r="V287" s="26">
        <v>0</v>
      </c>
      <c r="W287" s="26">
        <v>0</v>
      </c>
      <c r="X287" s="26">
        <f t="shared" ref="X287:X302" si="119">SUM(Q287:W287)</f>
        <v>1</v>
      </c>
      <c r="Y287" s="73"/>
      <c r="AA287" s="4">
        <f>'[33]Predicted Residual Prices'!AP287</f>
        <v>2.6</v>
      </c>
      <c r="AB287" s="4">
        <f>'[34]Predicted Distillate Prices'!AP287</f>
        <v>4.63</v>
      </c>
      <c r="AC287" s="4">
        <f>'[35]Predicted Gas Prices'!AQ287</f>
        <v>3.64</v>
      </c>
      <c r="AD287" s="4">
        <f>'[36]Predicted LPG Prices'!AP287</f>
        <v>8.25</v>
      </c>
      <c r="AE287" s="4">
        <f>'[37]Predicted Coal Prices'!AP287</f>
        <v>1.56</v>
      </c>
      <c r="AF287" s="4">
        <v>0</v>
      </c>
      <c r="AG287" s="4">
        <v>0</v>
      </c>
      <c r="AH287" s="4"/>
      <c r="AI287" s="17" t="s">
        <v>20</v>
      </c>
      <c r="AJ287" s="115">
        <f t="shared" si="117"/>
        <v>3.960612244897959</v>
      </c>
    </row>
    <row r="288" spans="4:36" x14ac:dyDescent="0.2">
      <c r="Q288" s="31">
        <f>MECS_data!BB11</f>
        <v>1.0869565217391306E-2</v>
      </c>
      <c r="R288" s="31">
        <f>MECS_data!BC11</f>
        <v>0.13043478260869565</v>
      </c>
      <c r="S288" s="31">
        <f>MECS_data!BD11</f>
        <v>0.79347826086956519</v>
      </c>
      <c r="T288" s="31">
        <f>MECS_data!BE11</f>
        <v>4.3478260869565223E-2</v>
      </c>
      <c r="U288" s="31">
        <f>MECS_data!BF11</f>
        <v>2.1739130434782612E-2</v>
      </c>
      <c r="V288" s="26">
        <v>0</v>
      </c>
      <c r="W288" s="26">
        <v>0</v>
      </c>
      <c r="X288" s="26">
        <f t="shared" si="119"/>
        <v>0.99999999999999989</v>
      </c>
      <c r="Y288" s="73"/>
      <c r="AA288" s="4">
        <f>'[33]Predicted Residual Prices'!AP288</f>
        <v>2.6</v>
      </c>
      <c r="AB288" s="4">
        <f>'[34]Predicted Distillate Prices'!AP288</f>
        <v>4.5999999999999996</v>
      </c>
      <c r="AC288" s="4">
        <f>'[35]Predicted Gas Prices'!AQ288</f>
        <v>2.97</v>
      </c>
      <c r="AD288" s="4">
        <f>'[36]Predicted LPG Prices'!AP288</f>
        <v>7.18</v>
      </c>
      <c r="AE288" s="4">
        <f>'[37]Predicted Coal Prices'!AP288</f>
        <v>2</v>
      </c>
      <c r="AF288" s="4">
        <v>0</v>
      </c>
      <c r="AG288" s="4">
        <v>0</v>
      </c>
      <c r="AH288" s="4"/>
      <c r="AI288" s="17" t="s">
        <v>22</v>
      </c>
      <c r="AJ288" s="115">
        <f t="shared" si="117"/>
        <v>3.3405434782608698</v>
      </c>
    </row>
    <row r="289" spans="17:39" x14ac:dyDescent="0.2">
      <c r="Q289" s="31">
        <f>MECS_data!BB12</f>
        <v>0.14688715953307391</v>
      </c>
      <c r="R289" s="31">
        <f>MECS_data!BC12</f>
        <v>8.7548638132295704E-3</v>
      </c>
      <c r="S289" s="31">
        <f>MECS_data!BD12</f>
        <v>0.57003891050583655</v>
      </c>
      <c r="T289" s="31">
        <f>MECS_data!BE12</f>
        <v>4.8638132295719845E-3</v>
      </c>
      <c r="U289" s="31">
        <f>MECS_data!BF12</f>
        <v>0.26945525291828792</v>
      </c>
      <c r="V289" s="26">
        <v>0</v>
      </c>
      <c r="W289" s="26">
        <v>0</v>
      </c>
      <c r="X289" s="26">
        <f t="shared" si="119"/>
        <v>1</v>
      </c>
      <c r="Y289" s="73"/>
      <c r="AA289" s="4">
        <f>'[33]Predicted Residual Prices'!AP289</f>
        <v>2.37</v>
      </c>
      <c r="AB289" s="4">
        <f>'[34]Predicted Distillate Prices'!AP289</f>
        <v>4.29</v>
      </c>
      <c r="AC289" s="4">
        <f>'[35]Predicted Gas Prices'!AQ289</f>
        <v>2.7</v>
      </c>
      <c r="AD289" s="4">
        <f>'[36]Predicted LPG Prices'!AP289</f>
        <v>7.28</v>
      </c>
      <c r="AE289" s="4">
        <f>'[37]Predicted Coal Prices'!AP289</f>
        <v>1.75</v>
      </c>
      <c r="AF289" s="4">
        <v>0</v>
      </c>
      <c r="AG289" s="4">
        <v>0</v>
      </c>
      <c r="AH289" s="4"/>
      <c r="AI289" s="17" t="s">
        <v>24</v>
      </c>
      <c r="AJ289" s="115">
        <f t="shared" si="117"/>
        <v>2.4317412451361871</v>
      </c>
    </row>
    <row r="290" spans="17:39" x14ac:dyDescent="0.2">
      <c r="Q290" s="31">
        <f>MECS_data!BB13</f>
        <v>8.8987764182424916E-3</v>
      </c>
      <c r="R290" s="31">
        <f>MECS_data!BC13</f>
        <v>1.1123470522803115E-2</v>
      </c>
      <c r="S290" s="31">
        <f>MECS_data!BD13</f>
        <v>0.95661846496106784</v>
      </c>
      <c r="T290" s="31">
        <f>MECS_data!BE13</f>
        <v>2.224694104560623E-2</v>
      </c>
      <c r="U290" s="31">
        <f>MECS_data!BF13</f>
        <v>1.1123470522803114E-3</v>
      </c>
      <c r="V290" s="26">
        <v>0</v>
      </c>
      <c r="W290" s="26">
        <v>0</v>
      </c>
      <c r="X290" s="26">
        <f t="shared" si="119"/>
        <v>1</v>
      </c>
      <c r="Y290" s="73"/>
      <c r="AA290" s="4">
        <f>'[33]Predicted Residual Prices'!AP290</f>
        <v>2.6</v>
      </c>
      <c r="AB290" s="4">
        <f>'[34]Predicted Distillate Prices'!AP290</f>
        <v>4.2699999999999996</v>
      </c>
      <c r="AC290" s="4">
        <f>'[35]Predicted Gas Prices'!AQ290</f>
        <v>3.87</v>
      </c>
      <c r="AD290" s="4">
        <f>'[36]Predicted LPG Prices'!AP290</f>
        <v>8.6</v>
      </c>
      <c r="AE290" s="4">
        <f>'[37]Predicted Coal Prices'!AP290</f>
        <v>2</v>
      </c>
      <c r="AF290" s="4">
        <v>0</v>
      </c>
      <c r="AG290" s="4">
        <v>0</v>
      </c>
      <c r="AH290" s="4"/>
      <c r="AI290" s="17" t="s">
        <v>26</v>
      </c>
      <c r="AJ290" s="115">
        <f t="shared" si="117"/>
        <v>3.9662958843159064</v>
      </c>
    </row>
    <row r="291" spans="17:39" x14ac:dyDescent="0.2">
      <c r="Q291" s="31">
        <f>MECS_data!BB14</f>
        <v>2.7355909819828318E-2</v>
      </c>
      <c r="R291" s="31">
        <f>MECS_data!BC14</f>
        <v>1.8866144703329875E-2</v>
      </c>
      <c r="S291" s="31">
        <f>MECS_data!BD14</f>
        <v>0.93764739175549483</v>
      </c>
      <c r="T291" s="31">
        <f>MECS_data!BE14</f>
        <v>1.6036222997830394E-2</v>
      </c>
      <c r="U291" s="31">
        <f>MECS_data!BF14</f>
        <v>9.433072351664937E-5</v>
      </c>
      <c r="V291" s="26">
        <v>0</v>
      </c>
      <c r="W291" s="26">
        <v>0</v>
      </c>
      <c r="X291" s="26">
        <f t="shared" si="119"/>
        <v>1</v>
      </c>
      <c r="Y291" s="73"/>
      <c r="AA291" s="4">
        <f>'[33]Predicted Residual Prices'!AP291</f>
        <v>2.2999999999999998</v>
      </c>
      <c r="AB291" s="4">
        <f>'[34]Predicted Distillate Prices'!AP291</f>
        <v>3.85</v>
      </c>
      <c r="AC291" s="4">
        <f>'[35]Predicted Gas Prices'!AQ291</f>
        <v>2.4700000000000002</v>
      </c>
      <c r="AD291" s="4">
        <f>'[36]Predicted LPG Prices'!AP291</f>
        <v>4.29</v>
      </c>
      <c r="AE291" s="4">
        <f>'[37]Predicted Coal Prices'!AP291</f>
        <v>2</v>
      </c>
      <c r="AF291" s="4">
        <v>0</v>
      </c>
      <c r="AG291" s="4">
        <v>0</v>
      </c>
      <c r="AH291" s="4"/>
      <c r="AI291" s="17" t="s">
        <v>28</v>
      </c>
      <c r="AJ291" s="115">
        <f t="shared" si="117"/>
        <v>2.5205263654372234</v>
      </c>
    </row>
    <row r="292" spans="17:39" x14ac:dyDescent="0.2">
      <c r="Q292" s="31">
        <f>MECS_data!BB15</f>
        <v>1.6906170752324597E-2</v>
      </c>
      <c r="R292" s="31">
        <f>MECS_data!BC15</f>
        <v>3.8038884192730343E-3</v>
      </c>
      <c r="S292" s="31">
        <f>MECS_data!BD15</f>
        <v>0.8381234150464919</v>
      </c>
      <c r="T292" s="31">
        <f>MECS_data!BE15</f>
        <v>2.1132713440405747E-2</v>
      </c>
      <c r="U292" s="31">
        <f>MECS_data!BF15</f>
        <v>0.12003381234150463</v>
      </c>
      <c r="V292" s="26">
        <v>0</v>
      </c>
      <c r="W292" s="26">
        <v>0</v>
      </c>
      <c r="X292" s="26">
        <f t="shared" si="119"/>
        <v>1</v>
      </c>
      <c r="Y292" s="73"/>
      <c r="AA292" s="4">
        <f>'[33]Predicted Residual Prices'!AP292</f>
        <v>2.67</v>
      </c>
      <c r="AB292" s="4">
        <f>'[34]Predicted Distillate Prices'!AP292</f>
        <v>4.68</v>
      </c>
      <c r="AC292" s="4">
        <f>'[35]Predicted Gas Prices'!AQ292</f>
        <v>2.38</v>
      </c>
      <c r="AD292" s="4">
        <f>'[36]Predicted LPG Prices'!AP292</f>
        <v>4.4400000000000004</v>
      </c>
      <c r="AE292" s="4">
        <f>'[37]Predicted Coal Prices'!AP292</f>
        <v>1.66</v>
      </c>
      <c r="AF292" s="4">
        <v>0</v>
      </c>
      <c r="AG292" s="4">
        <v>0</v>
      </c>
      <c r="AH292" s="4"/>
      <c r="AI292" s="17" t="s">
        <v>30</v>
      </c>
      <c r="AJ292" s="115">
        <f t="shared" si="117"/>
        <v>2.3507607776838544</v>
      </c>
    </row>
    <row r="293" spans="17:39" x14ac:dyDescent="0.2">
      <c r="Q293" s="31">
        <f>MECS_data!BB16</f>
        <v>3.5971223021582732E-2</v>
      </c>
      <c r="R293" s="31">
        <f>MECS_data!BC16</f>
        <v>7.1942446043165463E-3</v>
      </c>
      <c r="S293" s="31">
        <f>MECS_data!BD16</f>
        <v>0.90647482014388492</v>
      </c>
      <c r="T293" s="31">
        <f>MECS_data!BE16</f>
        <v>2.8776978417266185E-2</v>
      </c>
      <c r="U293" s="31">
        <f>MECS_data!BF16</f>
        <v>2.1582733812949638E-2</v>
      </c>
      <c r="V293" s="26">
        <v>0</v>
      </c>
      <c r="W293" s="26">
        <v>0</v>
      </c>
      <c r="X293" s="26">
        <f t="shared" si="119"/>
        <v>1</v>
      </c>
      <c r="Y293" s="73"/>
      <c r="AA293" s="4">
        <f>'[33]Predicted Residual Prices'!AP293</f>
        <v>2.5499999999999998</v>
      </c>
      <c r="AB293" s="4">
        <f>'[34]Predicted Distillate Prices'!AP293</f>
        <v>5.59</v>
      </c>
      <c r="AC293" s="4">
        <f>'[35]Predicted Gas Prices'!AQ293</f>
        <v>3.48</v>
      </c>
      <c r="AD293" s="4">
        <f>'[36]Predicted LPG Prices'!AP293</f>
        <v>9.06</v>
      </c>
      <c r="AE293" s="4">
        <f>'[37]Predicted Coal Prices'!AP293</f>
        <v>2.5</v>
      </c>
      <c r="AF293" s="4">
        <v>0</v>
      </c>
      <c r="AG293" s="4">
        <v>0</v>
      </c>
      <c r="AH293" s="4"/>
      <c r="AI293" s="17" t="s">
        <v>32</v>
      </c>
      <c r="AJ293" s="115">
        <f t="shared" si="117"/>
        <v>3.6011510791366907</v>
      </c>
    </row>
    <row r="294" spans="17:39" x14ac:dyDescent="0.2">
      <c r="Q294" s="31">
        <f>MECS_data!BB17</f>
        <v>5.3763440860215049E-3</v>
      </c>
      <c r="R294" s="31">
        <f>MECS_data!BC17</f>
        <v>2.150537634408602E-2</v>
      </c>
      <c r="S294" s="31">
        <f>MECS_data!BD17</f>
        <v>0.58870967741935487</v>
      </c>
      <c r="T294" s="31">
        <f>MECS_data!BE17</f>
        <v>4.0322580645161289E-3</v>
      </c>
      <c r="U294" s="31">
        <f>MECS_data!BF17</f>
        <v>0.3803763440860215</v>
      </c>
      <c r="V294" s="26">
        <v>0</v>
      </c>
      <c r="W294" s="26">
        <v>0</v>
      </c>
      <c r="X294" s="26">
        <f t="shared" si="119"/>
        <v>1</v>
      </c>
      <c r="Y294" s="73"/>
      <c r="AA294" s="4">
        <f>'[33]Predicted Residual Prices'!AP294</f>
        <v>2.92</v>
      </c>
      <c r="AB294" s="4">
        <f>'[34]Predicted Distillate Prices'!AP294</f>
        <v>4.7699999999999996</v>
      </c>
      <c r="AC294" s="4">
        <f>'[35]Predicted Gas Prices'!AQ294</f>
        <v>2.95</v>
      </c>
      <c r="AD294" s="4">
        <f>'[36]Predicted LPG Prices'!AP294</f>
        <v>8.57</v>
      </c>
      <c r="AE294" s="4">
        <f>'[37]Predicted Coal Prices'!AP294</f>
        <v>1.6</v>
      </c>
      <c r="AF294" s="4">
        <v>0</v>
      </c>
      <c r="AG294" s="4">
        <v>0</v>
      </c>
      <c r="AH294" s="4"/>
      <c r="AI294" s="17" t="s">
        <v>34</v>
      </c>
      <c r="AJ294" s="115">
        <f t="shared" si="117"/>
        <v>2.4981317204301074</v>
      </c>
      <c r="AL294" t="s">
        <v>204</v>
      </c>
    </row>
    <row r="295" spans="17:39" x14ac:dyDescent="0.2">
      <c r="Q295" s="31">
        <f>MECS_data!BB18</f>
        <v>2.1097046413502109E-2</v>
      </c>
      <c r="R295" s="31">
        <f>MECS_data!BC18</f>
        <v>5.6258790436005618E-3</v>
      </c>
      <c r="S295" s="31">
        <f>MECS_data!BD18</f>
        <v>0.62447257383966237</v>
      </c>
      <c r="T295" s="31">
        <f>MECS_data!BE18</f>
        <v>2.1097046413502104E-3</v>
      </c>
      <c r="U295" s="31">
        <f>MECS_data!BF18</f>
        <v>5.0632911392405056E-2</v>
      </c>
      <c r="V295" s="31">
        <f>MECS_data!BG18</f>
        <v>0.29606188466947958</v>
      </c>
      <c r="W295" s="26">
        <v>0</v>
      </c>
      <c r="X295" s="26">
        <f t="shared" si="119"/>
        <v>0.99999999999999978</v>
      </c>
      <c r="Y295" s="73"/>
      <c r="AA295" s="4">
        <f>'[33]Predicted Residual Prices'!AP295</f>
        <v>2.2200000000000002</v>
      </c>
      <c r="AB295" s="4">
        <f>'[34]Predicted Distillate Prices'!AP295</f>
        <v>5.0999999999999996</v>
      </c>
      <c r="AC295" s="4">
        <f>'[35]Predicted Gas Prices'!AQ295</f>
        <v>2.89</v>
      </c>
      <c r="AD295" s="4">
        <f>'[36]Predicted LPG Prices'!AP295</f>
        <v>7.5</v>
      </c>
      <c r="AE295" s="4">
        <f>'[37]Predicted Coal Prices'!AP295</f>
        <v>1.42</v>
      </c>
      <c r="AF295" s="36">
        <f>3*AE295</f>
        <v>4.26</v>
      </c>
      <c r="AG295" s="4">
        <v>0</v>
      </c>
      <c r="AH295" s="4"/>
      <c r="AI295" s="17" t="s">
        <v>36</v>
      </c>
      <c r="AJ295" s="115">
        <f t="shared" si="117"/>
        <v>3.2291983122362868</v>
      </c>
      <c r="AL295" s="4">
        <f>MECS_data!$BP$18</f>
        <v>3.4275597749648381</v>
      </c>
      <c r="AM295" t="s">
        <v>184</v>
      </c>
    </row>
    <row r="296" spans="17:39" x14ac:dyDescent="0.2">
      <c r="Q296" s="31">
        <f>MECS_data!BB19</f>
        <v>7.7821011673151752E-3</v>
      </c>
      <c r="R296" s="31">
        <f>MECS_data!BC19</f>
        <v>2.3346303501945522E-2</v>
      </c>
      <c r="S296" s="31">
        <f>MECS_data!BD19</f>
        <v>0.9377431906614786</v>
      </c>
      <c r="T296" s="31">
        <f>MECS_data!BE19</f>
        <v>1.9455252918287938E-2</v>
      </c>
      <c r="U296" s="31">
        <f>MECS_data!BF19</f>
        <v>1.1673151750972761E-2</v>
      </c>
      <c r="V296" s="26">
        <v>0</v>
      </c>
      <c r="W296" s="26">
        <v>0</v>
      </c>
      <c r="X296" s="26">
        <f t="shared" si="119"/>
        <v>1</v>
      </c>
      <c r="Y296" s="73"/>
      <c r="AA296" s="4">
        <f>'[33]Predicted Residual Prices'!AP296</f>
        <v>2.85</v>
      </c>
      <c r="AB296" s="4">
        <f>'[34]Predicted Distillate Prices'!AP296</f>
        <v>5.0599999999999996</v>
      </c>
      <c r="AC296" s="4">
        <f>'[35]Predicted Gas Prices'!AQ296</f>
        <v>3.49</v>
      </c>
      <c r="AD296" s="4">
        <f>'[36]Predicted LPG Prices'!AP296</f>
        <v>8.83</v>
      </c>
      <c r="AE296" s="4">
        <f>'[37]Predicted Coal Prices'!AP296</f>
        <v>2.61</v>
      </c>
      <c r="AF296" s="4">
        <v>0</v>
      </c>
      <c r="AG296" s="4">
        <v>0</v>
      </c>
      <c r="AH296" s="4"/>
      <c r="AI296" s="17" t="s">
        <v>38</v>
      </c>
      <c r="AJ296" s="115">
        <f t="shared" ref="AJ296:AJ302" si="120">SUMPRODUCT(Q296:W296,AA296:AG296)</f>
        <v>3.6152918287937741</v>
      </c>
    </row>
    <row r="297" spans="17:39" x14ac:dyDescent="0.2">
      <c r="Q297" s="31">
        <f>MECS_data!BB20</f>
        <v>8.9285714285714298E-3</v>
      </c>
      <c r="R297" s="31">
        <f>MECS_data!BC20</f>
        <v>2.6785714285714288E-2</v>
      </c>
      <c r="S297" s="31">
        <f>MECS_data!BD20</f>
        <v>0.88392857142857151</v>
      </c>
      <c r="T297" s="31">
        <f>MECS_data!BE20</f>
        <v>2.6785714285714288E-2</v>
      </c>
      <c r="U297" s="31">
        <f>MECS_data!BF20</f>
        <v>5.3571428571428575E-2</v>
      </c>
      <c r="V297" s="26">
        <v>0</v>
      </c>
      <c r="W297" s="26">
        <v>0</v>
      </c>
      <c r="X297" s="26">
        <f t="shared" si="119"/>
        <v>1</v>
      </c>
      <c r="Y297" s="73"/>
      <c r="AA297" s="4">
        <f>'[33]Predicted Residual Prices'!AP297</f>
        <v>2.36</v>
      </c>
      <c r="AB297" s="4">
        <f>'[34]Predicted Distillate Prices'!AP297</f>
        <v>5.13</v>
      </c>
      <c r="AC297" s="4">
        <f>'[35]Predicted Gas Prices'!AQ297</f>
        <v>3.66</v>
      </c>
      <c r="AD297" s="4">
        <f>'[36]Predicted LPG Prices'!AP297</f>
        <v>7.65</v>
      </c>
      <c r="AE297" s="4">
        <f>'[37]Predicted Coal Prices'!AP297</f>
        <v>1.57</v>
      </c>
      <c r="AF297" s="4">
        <v>0</v>
      </c>
      <c r="AG297" s="4">
        <v>0</v>
      </c>
      <c r="AH297" s="4"/>
      <c r="AI297" s="17" t="s">
        <v>40</v>
      </c>
      <c r="AJ297" s="115">
        <f t="shared" si="120"/>
        <v>3.6826785714285721</v>
      </c>
    </row>
    <row r="298" spans="17:39" x14ac:dyDescent="0.2">
      <c r="Q298" s="31">
        <f>MECS_data!BB21</f>
        <v>1.5015015015015013E-2</v>
      </c>
      <c r="R298" s="31">
        <f>MECS_data!BC21</f>
        <v>1.5015015015015013E-2</v>
      </c>
      <c r="S298" s="31">
        <f>MECS_data!BD21</f>
        <v>0.96096096096096084</v>
      </c>
      <c r="T298" s="31">
        <f>MECS_data!BE21</f>
        <v>6.006006006006006E-3</v>
      </c>
      <c r="U298" s="31">
        <f>MECS_data!BF21</f>
        <v>3.003003003003003E-3</v>
      </c>
      <c r="V298" s="26">
        <v>0</v>
      </c>
      <c r="W298" s="26">
        <v>0</v>
      </c>
      <c r="X298" s="26">
        <f t="shared" si="119"/>
        <v>0.99999999999999989</v>
      </c>
      <c r="Y298" s="73"/>
      <c r="AA298" s="4">
        <f>'[33]Predicted Residual Prices'!AP298</f>
        <v>2.5</v>
      </c>
      <c r="AB298" s="4">
        <f>'[34]Predicted Distillate Prices'!AP298</f>
        <v>4.6900000000000004</v>
      </c>
      <c r="AC298" s="4">
        <f>'[35]Predicted Gas Prices'!AQ298</f>
        <v>3.71</v>
      </c>
      <c r="AD298" s="4">
        <f>'[36]Predicted LPG Prices'!AP298</f>
        <v>7.9</v>
      </c>
      <c r="AE298" s="4">
        <f>'[37]Predicted Coal Prices'!AP298</f>
        <v>2</v>
      </c>
      <c r="AF298" s="4">
        <v>0</v>
      </c>
      <c r="AG298" s="4">
        <v>0</v>
      </c>
      <c r="AH298" s="4"/>
      <c r="AI298" s="17" t="s">
        <v>42</v>
      </c>
      <c r="AJ298" s="115">
        <f t="shared" si="120"/>
        <v>3.7265765765765764</v>
      </c>
    </row>
    <row r="299" spans="17:39" x14ac:dyDescent="0.2">
      <c r="Q299" s="31">
        <f>MECS_data!BB22</f>
        <v>1.779359430604982E-2</v>
      </c>
      <c r="R299" s="31">
        <f>MECS_data!BC22</f>
        <v>1.779359430604982E-2</v>
      </c>
      <c r="S299" s="31">
        <f>MECS_data!BD22</f>
        <v>0.92526690391459077</v>
      </c>
      <c r="T299" s="31">
        <f>MECS_data!BE22</f>
        <v>3.5587188612099641E-2</v>
      </c>
      <c r="U299" s="31">
        <f>MECS_data!BF22</f>
        <v>3.5587188612099651E-3</v>
      </c>
      <c r="V299" s="26">
        <v>0</v>
      </c>
      <c r="W299" s="26">
        <v>0</v>
      </c>
      <c r="X299" s="26">
        <f t="shared" si="119"/>
        <v>1</v>
      </c>
      <c r="Y299" s="73"/>
      <c r="AA299" s="4">
        <f>'[33]Predicted Residual Prices'!AP299</f>
        <v>2.93</v>
      </c>
      <c r="AB299" s="4">
        <f>'[34]Predicted Distillate Prices'!AP299</f>
        <v>5.49</v>
      </c>
      <c r="AC299" s="4">
        <f>'[35]Predicted Gas Prices'!AQ299</f>
        <v>3.4</v>
      </c>
      <c r="AD299" s="4">
        <f>'[36]Predicted LPG Prices'!AP299</f>
        <v>8</v>
      </c>
      <c r="AE299" s="4">
        <f>'[37]Predicted Coal Prices'!AP299</f>
        <v>2</v>
      </c>
      <c r="AF299" s="4">
        <v>0</v>
      </c>
      <c r="AG299" s="4">
        <v>0</v>
      </c>
      <c r="AH299" s="4"/>
      <c r="AI299" s="17" t="s">
        <v>44</v>
      </c>
      <c r="AJ299" s="115">
        <f t="shared" si="120"/>
        <v>3.5875444839857655</v>
      </c>
    </row>
    <row r="300" spans="17:39" x14ac:dyDescent="0.2">
      <c r="Q300" s="31">
        <f>MECS_data!BB23</f>
        <v>1.8939393939393936E-2</v>
      </c>
      <c r="R300" s="31">
        <f>MECS_data!BC23</f>
        <v>5.6818181818181816E-2</v>
      </c>
      <c r="S300" s="31">
        <f>MECS_data!BD23</f>
        <v>0.7992424242424242</v>
      </c>
      <c r="T300" s="31">
        <f>MECS_data!BE23</f>
        <v>1.515151515151515E-2</v>
      </c>
      <c r="U300" s="31">
        <f>MECS_data!BF23</f>
        <v>0.10984848484848483</v>
      </c>
      <c r="V300" s="26">
        <v>0</v>
      </c>
      <c r="W300" s="26">
        <v>0</v>
      </c>
      <c r="X300" s="26">
        <f t="shared" si="119"/>
        <v>1</v>
      </c>
      <c r="Y300" s="73"/>
      <c r="AA300" s="4">
        <f>'[33]Predicted Residual Prices'!AP300</f>
        <v>2.79</v>
      </c>
      <c r="AB300" s="4">
        <f>'[34]Predicted Distillate Prices'!AP300</f>
        <v>4.84</v>
      </c>
      <c r="AC300" s="4">
        <f>'[35]Predicted Gas Prices'!AQ300</f>
        <v>3.24</v>
      </c>
      <c r="AD300" s="4">
        <f>'[36]Predicted LPG Prices'!AP300</f>
        <v>8.0500000000000007</v>
      </c>
      <c r="AE300" s="4">
        <f>'[37]Predicted Coal Prices'!AP300</f>
        <v>1.79</v>
      </c>
      <c r="AF300" s="4">
        <v>0</v>
      </c>
      <c r="AG300" s="4">
        <v>0</v>
      </c>
      <c r="AH300" s="4"/>
      <c r="AI300" s="17" t="s">
        <v>46</v>
      </c>
      <c r="AJ300" s="115">
        <f t="shared" si="120"/>
        <v>3.2359848484848484</v>
      </c>
    </row>
    <row r="301" spans="17:39" x14ac:dyDescent="0.2">
      <c r="Q301" s="31">
        <f>MECS_data!BB24</f>
        <v>1.2738853503184714E-2</v>
      </c>
      <c r="R301" s="31">
        <f>MECS_data!BC24</f>
        <v>3.1847133757961783E-2</v>
      </c>
      <c r="S301" s="31">
        <f>MECS_data!BD24</f>
        <v>0.85987261146496818</v>
      </c>
      <c r="T301" s="31">
        <f>MECS_data!BE24</f>
        <v>3.1847133757961783E-2</v>
      </c>
      <c r="U301" s="31">
        <f>MECS_data!BF24</f>
        <v>6.3694267515923567E-2</v>
      </c>
      <c r="V301" s="26">
        <v>0</v>
      </c>
      <c r="W301" s="26">
        <v>0</v>
      </c>
      <c r="X301" s="26">
        <f t="shared" si="119"/>
        <v>1</v>
      </c>
      <c r="Y301" s="73"/>
      <c r="AA301" s="4">
        <f>'[33]Predicted Residual Prices'!AP301</f>
        <v>2.6</v>
      </c>
      <c r="AB301" s="4">
        <f>'[34]Predicted Distillate Prices'!AP301</f>
        <v>5.41</v>
      </c>
      <c r="AC301" s="4">
        <f>'[35]Predicted Gas Prices'!AQ301</f>
        <v>4.1900000000000004</v>
      </c>
      <c r="AD301" s="4">
        <f>'[36]Predicted LPG Prices'!AP301</f>
        <v>7.82</v>
      </c>
      <c r="AE301" s="4">
        <f>'[37]Predicted Coal Prices'!AP301</f>
        <v>2</v>
      </c>
      <c r="AF301" s="4">
        <v>0</v>
      </c>
      <c r="AG301" s="4">
        <v>0</v>
      </c>
      <c r="AH301" s="4"/>
      <c r="AI301" s="17" t="s">
        <v>48</v>
      </c>
      <c r="AJ301" s="115">
        <f t="shared" si="120"/>
        <v>4.1847133757961785</v>
      </c>
    </row>
    <row r="302" spans="17:39" x14ac:dyDescent="0.2">
      <c r="Q302" s="31">
        <f>MECS_data!BB25</f>
        <v>2.2675736961451247E-2</v>
      </c>
      <c r="R302" s="31">
        <f>MECS_data!BC25</f>
        <v>4.5351473922902494E-2</v>
      </c>
      <c r="S302" s="31">
        <f>MECS_data!BD25</f>
        <v>0.90702947845804993</v>
      </c>
      <c r="T302" s="31">
        <f>MECS_data!BE25</f>
        <v>2.2675736961451247E-2</v>
      </c>
      <c r="U302" s="31">
        <f>MECS_data!BF25</f>
        <v>2.2675736961451248E-3</v>
      </c>
      <c r="V302" s="26">
        <v>0</v>
      </c>
      <c r="W302" s="26">
        <v>0</v>
      </c>
      <c r="X302" s="26">
        <f t="shared" si="119"/>
        <v>1</v>
      </c>
      <c r="Y302" s="73"/>
      <c r="AA302" s="4">
        <f>'[33]Predicted Residual Prices'!AP302</f>
        <v>2.6</v>
      </c>
      <c r="AB302" s="4">
        <f>'[34]Predicted Distillate Prices'!AP302</f>
        <v>4.3</v>
      </c>
      <c r="AC302" s="4">
        <f>'[35]Predicted Gas Prices'!AQ302</f>
        <v>3.89</v>
      </c>
      <c r="AD302" s="4">
        <f>'[36]Predicted LPG Prices'!AP302</f>
        <v>12.94</v>
      </c>
      <c r="AE302" s="4">
        <f>'[37]Predicted Coal Prices'!AP302</f>
        <v>2</v>
      </c>
      <c r="AF302" s="4">
        <v>0</v>
      </c>
      <c r="AG302" s="4">
        <v>0</v>
      </c>
      <c r="AH302" s="4"/>
      <c r="AI302" s="17" t="s">
        <v>50</v>
      </c>
      <c r="AJ302" s="115">
        <f t="shared" si="120"/>
        <v>4.0802721088435376</v>
      </c>
    </row>
    <row r="303" spans="17:39" x14ac:dyDescent="0.2">
      <c r="Q303" s="75"/>
      <c r="R303" s="75"/>
      <c r="S303" s="75"/>
      <c r="T303" s="75"/>
      <c r="U303" s="75"/>
      <c r="V303" s="17"/>
      <c r="W303" s="17"/>
      <c r="X303" s="73"/>
      <c r="Y303" s="73"/>
      <c r="AA303" s="4"/>
      <c r="AB303" s="4"/>
      <c r="AC303" s="4"/>
      <c r="AD303" s="4"/>
      <c r="AE303" s="4"/>
      <c r="AF303" s="4"/>
      <c r="AG303" s="4"/>
      <c r="AH303" s="4"/>
      <c r="AJ303" s="4"/>
    </row>
    <row r="304" spans="17:39" x14ac:dyDescent="0.2">
      <c r="Q304" s="17"/>
      <c r="R304" s="17"/>
      <c r="S304" s="17"/>
      <c r="T304" s="17"/>
      <c r="U304" s="17"/>
      <c r="V304" s="17"/>
      <c r="W304" s="17"/>
      <c r="X304" s="73"/>
      <c r="Y304" s="73"/>
      <c r="AA304" s="4"/>
      <c r="AB304" s="4"/>
      <c r="AC304" s="4"/>
      <c r="AD304" s="4"/>
      <c r="AE304" s="4"/>
      <c r="AF304" s="4"/>
      <c r="AG304" s="4"/>
      <c r="AH304" s="4"/>
      <c r="AJ304" s="4"/>
    </row>
    <row r="305" spans="17:36" x14ac:dyDescent="0.2">
      <c r="Q305" s="17"/>
      <c r="R305" s="17"/>
      <c r="S305" s="17"/>
      <c r="T305" s="17"/>
      <c r="U305" s="17"/>
      <c r="V305" s="17"/>
      <c r="W305" s="17"/>
      <c r="X305" s="73"/>
      <c r="Y305" s="73"/>
      <c r="AA305" s="4"/>
      <c r="AB305" s="4"/>
      <c r="AC305" s="4"/>
      <c r="AD305" s="4"/>
      <c r="AE305" s="4"/>
      <c r="AF305" s="4"/>
      <c r="AG305" s="4"/>
      <c r="AH305" s="4"/>
      <c r="AJ305" s="4"/>
    </row>
    <row r="306" spans="17:36" x14ac:dyDescent="0.2">
      <c r="Q306" s="17"/>
      <c r="R306" s="17"/>
      <c r="S306" s="17"/>
      <c r="T306" s="17"/>
      <c r="U306" s="17"/>
      <c r="V306" s="17"/>
      <c r="W306" s="17"/>
      <c r="X306" s="73"/>
      <c r="Y306" s="73"/>
      <c r="AA306" s="4"/>
      <c r="AB306" s="4"/>
      <c r="AC306" s="4"/>
      <c r="AD306" s="4"/>
      <c r="AE306" s="4"/>
      <c r="AF306" s="4"/>
      <c r="AG306" s="4"/>
      <c r="AH306" s="4"/>
      <c r="AJ306" s="4"/>
    </row>
    <row r="307" spans="17:36" x14ac:dyDescent="0.2">
      <c r="Q307" s="17"/>
      <c r="R307" s="17"/>
      <c r="S307" s="17"/>
      <c r="T307" s="17"/>
      <c r="U307" s="17"/>
      <c r="V307" s="17"/>
      <c r="W307" s="17"/>
      <c r="X307" s="73"/>
      <c r="Y307" s="73"/>
      <c r="AA307" s="4"/>
      <c r="AB307" s="4"/>
      <c r="AC307" s="4"/>
      <c r="AD307" s="4"/>
      <c r="AE307" s="4"/>
      <c r="AF307" s="4"/>
      <c r="AG307" s="4"/>
      <c r="AH307" s="4"/>
      <c r="AJ307" s="4"/>
    </row>
    <row r="308" spans="17:36" x14ac:dyDescent="0.2">
      <c r="Q308" s="17"/>
      <c r="R308" s="17"/>
      <c r="S308" s="17"/>
      <c r="T308" s="17"/>
      <c r="U308" s="17"/>
      <c r="V308" s="17"/>
      <c r="W308" s="17"/>
      <c r="X308" s="73"/>
      <c r="Y308" s="73"/>
      <c r="AA308" s="4"/>
      <c r="AB308" s="4"/>
      <c r="AC308" s="4"/>
      <c r="AD308" s="4"/>
      <c r="AE308" s="4"/>
      <c r="AF308" s="4"/>
      <c r="AG308" s="4"/>
      <c r="AH308" s="4"/>
      <c r="AJ308" s="4"/>
    </row>
    <row r="309" spans="17:36" x14ac:dyDescent="0.2">
      <c r="Q309" s="17"/>
      <c r="R309" s="17"/>
      <c r="S309" s="17"/>
      <c r="T309" s="17"/>
      <c r="U309" s="17"/>
      <c r="V309" s="17"/>
      <c r="W309" s="17"/>
      <c r="X309" s="73"/>
      <c r="Y309" s="73"/>
      <c r="AA309" s="4"/>
      <c r="AB309" s="4"/>
      <c r="AC309" s="4"/>
      <c r="AD309" s="4"/>
      <c r="AE309" s="4"/>
      <c r="AF309" s="4"/>
      <c r="AG309" s="4"/>
      <c r="AH309" s="4"/>
      <c r="AJ309" s="4"/>
    </row>
    <row r="310" spans="17:36" x14ac:dyDescent="0.2">
      <c r="Q310" s="17"/>
      <c r="R310" s="17"/>
      <c r="S310" s="17"/>
      <c r="T310" s="17"/>
      <c r="U310" s="17"/>
      <c r="V310" s="17"/>
      <c r="W310" s="17"/>
      <c r="X310" s="73"/>
      <c r="Y310" s="73"/>
      <c r="AA310" s="4"/>
      <c r="AB310" s="4"/>
      <c r="AC310" s="4"/>
      <c r="AD310" s="4"/>
      <c r="AE310" s="4"/>
      <c r="AF310" s="4"/>
      <c r="AG310" s="4"/>
      <c r="AH310" s="4"/>
      <c r="AJ310" s="4"/>
    </row>
    <row r="311" spans="17:36" x14ac:dyDescent="0.2">
      <c r="Q311" s="17"/>
      <c r="R311" s="17"/>
      <c r="S311" s="17"/>
      <c r="T311" s="17"/>
      <c r="U311" s="17"/>
      <c r="V311" s="17"/>
      <c r="W311" s="17"/>
      <c r="X311" s="73"/>
      <c r="Y311" s="73"/>
      <c r="AA311" s="4"/>
      <c r="AB311" s="4"/>
      <c r="AC311" s="4"/>
      <c r="AD311" s="4"/>
      <c r="AE311" s="4"/>
      <c r="AF311" s="4"/>
      <c r="AG311" s="4"/>
      <c r="AH311" s="4"/>
      <c r="AJ311" s="4"/>
    </row>
    <row r="312" spans="17:36" x14ac:dyDescent="0.2">
      <c r="Q312" s="17"/>
      <c r="R312" s="17"/>
      <c r="S312" s="17"/>
      <c r="T312" s="17"/>
      <c r="U312" s="17"/>
      <c r="V312" s="17"/>
      <c r="W312" s="17"/>
      <c r="X312" s="73"/>
      <c r="Y312" s="73"/>
      <c r="AA312" s="4"/>
      <c r="AB312" s="4"/>
      <c r="AC312" s="4"/>
      <c r="AD312" s="4"/>
      <c r="AE312" s="4"/>
      <c r="AF312" s="4"/>
      <c r="AG312" s="4"/>
      <c r="AH312" s="4"/>
      <c r="AJ312" s="4"/>
    </row>
    <row r="313" spans="17:36" x14ac:dyDescent="0.2">
      <c r="Q313" s="17"/>
      <c r="R313" s="17"/>
      <c r="S313" s="17"/>
      <c r="T313" s="17"/>
      <c r="U313" s="17"/>
      <c r="V313" s="17"/>
      <c r="W313" s="17"/>
      <c r="X313" s="73"/>
      <c r="Y313" s="73"/>
      <c r="AA313" s="4"/>
      <c r="AB313" s="4"/>
      <c r="AC313" s="4"/>
      <c r="AD313" s="4"/>
      <c r="AE313" s="4"/>
      <c r="AF313" s="4"/>
      <c r="AG313" s="4"/>
      <c r="AH313" s="4"/>
      <c r="AJ313" s="4"/>
    </row>
    <row r="314" spans="17:36" x14ac:dyDescent="0.2">
      <c r="Q314" s="17"/>
      <c r="R314" s="17"/>
      <c r="S314" s="17"/>
      <c r="T314" s="17"/>
      <c r="U314" s="17"/>
      <c r="V314" s="17"/>
      <c r="W314" s="17"/>
      <c r="X314" s="73"/>
      <c r="Y314" s="73"/>
      <c r="AA314" s="4"/>
      <c r="AB314" s="4"/>
      <c r="AC314" s="4"/>
      <c r="AD314" s="4"/>
      <c r="AE314" s="4"/>
      <c r="AF314" s="4"/>
      <c r="AG314" s="4"/>
      <c r="AH314" s="4"/>
      <c r="AJ314" s="4"/>
    </row>
    <row r="315" spans="17:36" x14ac:dyDescent="0.2">
      <c r="Q315" s="17"/>
      <c r="R315" s="17"/>
      <c r="S315" s="17"/>
      <c r="T315" s="17"/>
      <c r="U315" s="17"/>
      <c r="V315" s="17"/>
      <c r="W315" s="17"/>
      <c r="X315" s="73"/>
      <c r="Y315" s="73"/>
      <c r="AA315" s="4"/>
      <c r="AB315" s="4"/>
      <c r="AC315" s="4"/>
      <c r="AD315" s="4"/>
      <c r="AE315" s="4"/>
      <c r="AF315" s="4"/>
      <c r="AG315" s="4"/>
      <c r="AH315" s="4"/>
      <c r="AJ315" s="4"/>
    </row>
    <row r="316" spans="17:36" x14ac:dyDescent="0.2">
      <c r="Q316" s="17"/>
      <c r="R316" s="17"/>
      <c r="S316" s="17"/>
      <c r="T316" s="17"/>
      <c r="U316" s="17"/>
      <c r="V316" s="17"/>
      <c r="W316" s="17"/>
      <c r="X316" s="73"/>
      <c r="Y316" s="73"/>
      <c r="AA316" s="4"/>
      <c r="AB316" s="4"/>
      <c r="AC316" s="4"/>
      <c r="AD316" s="4"/>
      <c r="AE316" s="4"/>
      <c r="AF316" s="4"/>
      <c r="AG316" s="4"/>
      <c r="AH316" s="4"/>
      <c r="AJ316" s="4"/>
    </row>
    <row r="317" spans="17:36" x14ac:dyDescent="0.2">
      <c r="Q317" s="17"/>
      <c r="R317" s="17"/>
      <c r="S317" s="17"/>
      <c r="T317" s="17"/>
      <c r="U317" s="17"/>
      <c r="V317" s="17"/>
      <c r="W317" s="17"/>
      <c r="X317" s="73"/>
      <c r="Y317" s="73"/>
      <c r="AA317" s="4"/>
      <c r="AB317" s="4"/>
      <c r="AC317" s="4"/>
      <c r="AD317" s="4"/>
      <c r="AE317" s="4"/>
      <c r="AF317" s="4"/>
      <c r="AG317" s="4"/>
      <c r="AH317" s="4"/>
      <c r="AJ317" s="4"/>
    </row>
    <row r="318" spans="17:36" x14ac:dyDescent="0.2">
      <c r="Q318" s="17"/>
      <c r="R318" s="17"/>
      <c r="S318" s="17"/>
      <c r="T318" s="17"/>
      <c r="U318" s="17"/>
      <c r="V318" s="17"/>
      <c r="W318" s="17"/>
      <c r="X318" s="73"/>
      <c r="Y318" s="73"/>
      <c r="AA318" s="4"/>
      <c r="AB318" s="4"/>
      <c r="AC318" s="4"/>
      <c r="AD318" s="4"/>
      <c r="AE318" s="4"/>
      <c r="AF318" s="4"/>
      <c r="AG318" s="4"/>
      <c r="AH318" s="4"/>
      <c r="AJ318" s="4"/>
    </row>
    <row r="319" spans="17:36" x14ac:dyDescent="0.2">
      <c r="Q319" s="17"/>
      <c r="R319" s="17"/>
      <c r="S319" s="17"/>
      <c r="T319" s="17"/>
      <c r="U319" s="17"/>
      <c r="V319" s="17"/>
      <c r="W319" s="17"/>
      <c r="X319" s="73"/>
      <c r="Y319" s="73"/>
      <c r="AA319" s="4"/>
      <c r="AB319" s="4"/>
      <c r="AC319" s="4"/>
      <c r="AD319" s="4"/>
      <c r="AE319" s="4"/>
      <c r="AF319" s="4"/>
      <c r="AG319" s="4"/>
      <c r="AH319" s="4"/>
      <c r="AJ319" s="4"/>
    </row>
    <row r="320" spans="17:36" x14ac:dyDescent="0.2">
      <c r="Q320" s="17"/>
      <c r="R320" s="17"/>
      <c r="S320" s="17"/>
      <c r="T320" s="17"/>
      <c r="U320" s="17"/>
      <c r="V320" s="17"/>
      <c r="W320" s="17"/>
      <c r="X320" s="73"/>
      <c r="Y320" s="73"/>
      <c r="AA320" s="4"/>
      <c r="AB320" s="4"/>
      <c r="AC320" s="4"/>
      <c r="AD320" s="4"/>
      <c r="AE320" s="4"/>
      <c r="AF320" s="4"/>
      <c r="AG320" s="4"/>
      <c r="AH320" s="4"/>
      <c r="AJ320" s="4"/>
    </row>
    <row r="321" spans="17:36" x14ac:dyDescent="0.2">
      <c r="Q321" s="17"/>
      <c r="R321" s="17"/>
      <c r="S321" s="17"/>
      <c r="T321" s="17"/>
      <c r="U321" s="17"/>
      <c r="V321" s="17"/>
      <c r="W321" s="17"/>
      <c r="X321" s="73"/>
      <c r="Y321" s="73"/>
      <c r="AA321" s="4"/>
      <c r="AB321" s="4"/>
      <c r="AC321" s="4"/>
      <c r="AD321" s="4"/>
      <c r="AE321" s="4"/>
      <c r="AF321" s="4"/>
      <c r="AG321" s="4"/>
      <c r="AH321" s="4"/>
      <c r="AJ321" s="4"/>
    </row>
    <row r="322" spans="17:36" x14ac:dyDescent="0.2">
      <c r="Q322" s="17"/>
      <c r="R322" s="17"/>
      <c r="S322" s="17"/>
      <c r="T322" s="17"/>
      <c r="U322" s="17"/>
      <c r="V322" s="17"/>
      <c r="W322" s="17"/>
      <c r="X322" s="73"/>
      <c r="Y322" s="73"/>
      <c r="AA322" s="4"/>
      <c r="AB322" s="4"/>
      <c r="AC322" s="4"/>
      <c r="AD322" s="4"/>
      <c r="AE322" s="4"/>
      <c r="AF322" s="4"/>
      <c r="AG322" s="4"/>
      <c r="AH322" s="4"/>
      <c r="AJ322" s="4"/>
    </row>
    <row r="323" spans="17:36" x14ac:dyDescent="0.2">
      <c r="Q323" s="17"/>
      <c r="R323" s="17"/>
      <c r="S323" s="17"/>
      <c r="T323" s="17"/>
      <c r="U323" s="17"/>
      <c r="V323" s="17"/>
      <c r="W323" s="17"/>
      <c r="X323" s="73"/>
      <c r="Y323" s="73"/>
      <c r="AA323" s="4"/>
      <c r="AB323" s="4"/>
      <c r="AC323" s="4"/>
      <c r="AD323" s="4"/>
      <c r="AE323" s="4"/>
      <c r="AF323" s="4"/>
      <c r="AG323" s="4"/>
      <c r="AH323" s="4"/>
      <c r="AJ323" s="4"/>
    </row>
    <row r="324" spans="17:36" x14ac:dyDescent="0.2">
      <c r="X324" s="34"/>
      <c r="Y324" s="34"/>
    </row>
    <row r="325" spans="17:36" x14ac:dyDescent="0.2">
      <c r="X325" s="34"/>
      <c r="Y325" s="34"/>
    </row>
    <row r="326" spans="17:36" x14ac:dyDescent="0.2">
      <c r="X326" s="34"/>
      <c r="Y326" s="34"/>
    </row>
    <row r="327" spans="17:36" x14ac:dyDescent="0.2">
      <c r="X327" s="34"/>
      <c r="Y327" s="34"/>
    </row>
    <row r="328" spans="17:36" x14ac:dyDescent="0.2">
      <c r="X328" s="34"/>
      <c r="Y328" s="34"/>
    </row>
    <row r="329" spans="17:36" x14ac:dyDescent="0.2">
      <c r="X329" s="34"/>
      <c r="Y329" s="34"/>
    </row>
    <row r="330" spans="17:36" x14ac:dyDescent="0.2">
      <c r="X330" s="34"/>
      <c r="Y330" s="34"/>
    </row>
    <row r="331" spans="17:36" x14ac:dyDescent="0.2">
      <c r="X331" s="34"/>
      <c r="Y331" s="34"/>
    </row>
    <row r="332" spans="17:36" x14ac:dyDescent="0.2">
      <c r="X332" s="34"/>
      <c r="Y332" s="34"/>
    </row>
    <row r="333" spans="17:36" x14ac:dyDescent="0.2">
      <c r="X333" s="34"/>
      <c r="Y333" s="34"/>
    </row>
    <row r="334" spans="17:36" x14ac:dyDescent="0.2">
      <c r="X334" s="34"/>
      <c r="Y334" s="34"/>
    </row>
    <row r="335" spans="17:36" x14ac:dyDescent="0.2">
      <c r="X335" s="34"/>
      <c r="Y335" s="34"/>
    </row>
    <row r="336" spans="17:36" x14ac:dyDescent="0.2">
      <c r="X336" s="34"/>
      <c r="Y336" s="34"/>
    </row>
    <row r="337" spans="24:25" x14ac:dyDescent="0.2">
      <c r="X337" s="34"/>
      <c r="Y337" s="34"/>
    </row>
    <row r="338" spans="24:25" x14ac:dyDescent="0.2">
      <c r="X338" s="34"/>
      <c r="Y338" s="34"/>
    </row>
    <row r="339" spans="24:25" x14ac:dyDescent="0.2">
      <c r="X339" s="34"/>
      <c r="Y339" s="34"/>
    </row>
    <row r="340" spans="24:25" x14ac:dyDescent="0.2">
      <c r="X340" s="34"/>
      <c r="Y340" s="34"/>
    </row>
    <row r="341" spans="24:25" x14ac:dyDescent="0.2">
      <c r="X341" s="34"/>
      <c r="Y341" s="34"/>
    </row>
    <row r="342" spans="24:25" x14ac:dyDescent="0.2">
      <c r="X342" s="34"/>
      <c r="Y342" s="34"/>
    </row>
    <row r="343" spans="24:25" x14ac:dyDescent="0.2">
      <c r="X343" s="34"/>
      <c r="Y343" s="34"/>
    </row>
    <row r="344" spans="24:25" x14ac:dyDescent="0.2">
      <c r="X344" s="34"/>
      <c r="Y344" s="34"/>
    </row>
    <row r="345" spans="24:25" x14ac:dyDescent="0.2">
      <c r="X345" s="34"/>
      <c r="Y345" s="34"/>
    </row>
  </sheetData>
  <mergeCells count="1">
    <mergeCell ref="C4:N4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6:U321"/>
  <sheetViews>
    <sheetView workbookViewId="0">
      <selection activeCell="L7" sqref="L7"/>
    </sheetView>
  </sheetViews>
  <sheetFormatPr defaultRowHeight="12.75" x14ac:dyDescent="0.2"/>
  <sheetData>
    <row r="6" spans="3:21" x14ac:dyDescent="0.2">
      <c r="G6">
        <v>1985</v>
      </c>
      <c r="H6">
        <v>1986</v>
      </c>
      <c r="I6">
        <f>H6+1</f>
        <v>1987</v>
      </c>
      <c r="J6">
        <f t="shared" ref="J6:T6" si="0">I6+1</f>
        <v>1988</v>
      </c>
      <c r="K6">
        <f t="shared" si="0"/>
        <v>1989</v>
      </c>
      <c r="L6">
        <f t="shared" si="0"/>
        <v>1990</v>
      </c>
      <c r="M6">
        <f t="shared" si="0"/>
        <v>1991</v>
      </c>
      <c r="N6">
        <f t="shared" si="0"/>
        <v>1992</v>
      </c>
      <c r="O6">
        <f t="shared" si="0"/>
        <v>1993</v>
      </c>
      <c r="P6">
        <f t="shared" si="0"/>
        <v>1994</v>
      </c>
      <c r="Q6">
        <f t="shared" si="0"/>
        <v>1995</v>
      </c>
      <c r="R6">
        <f t="shared" si="0"/>
        <v>1996</v>
      </c>
      <c r="S6">
        <f t="shared" si="0"/>
        <v>1997</v>
      </c>
      <c r="T6">
        <f t="shared" si="0"/>
        <v>1998</v>
      </c>
    </row>
    <row r="7" spans="3:21" x14ac:dyDescent="0.2">
      <c r="C7">
        <v>1985</v>
      </c>
      <c r="D7" s="4">
        <f>'Quantity Shares_1985-1998'!AJ9</f>
        <v>3.9049237303815345</v>
      </c>
      <c r="F7" t="s">
        <v>112</v>
      </c>
      <c r="G7" s="4">
        <f>D7</f>
        <v>3.9049237303815345</v>
      </c>
      <c r="H7" s="4">
        <f>D28</f>
        <v>3.1870286574932614</v>
      </c>
      <c r="I7" s="4">
        <f>D49</f>
        <v>2.8613968952779936</v>
      </c>
      <c r="J7" s="4">
        <f>D70</f>
        <v>2.7782390298849409</v>
      </c>
      <c r="K7" s="4">
        <f>D91</f>
        <v>2.7676846551188143</v>
      </c>
      <c r="L7" s="4">
        <f>D112</f>
        <v>2.7865229663855535</v>
      </c>
      <c r="M7" s="4">
        <f>D133</f>
        <v>2.5681326499033394</v>
      </c>
      <c r="N7" s="4">
        <f>D154</f>
        <v>2.5997992991609848</v>
      </c>
      <c r="O7" s="4">
        <f>D175</f>
        <v>2.7289635774747527</v>
      </c>
      <c r="P7" s="4">
        <f>D196</f>
        <v>2.6825601619782806</v>
      </c>
      <c r="Q7" s="4">
        <f>D217</f>
        <v>2.4413449406576859</v>
      </c>
      <c r="R7" s="4">
        <f>D238</f>
        <v>2.953147609050577</v>
      </c>
      <c r="S7" s="4">
        <f>D259</f>
        <v>3.1018722954108662</v>
      </c>
      <c r="T7" s="4">
        <f>D280</f>
        <v>2.7333606557377053</v>
      </c>
      <c r="U7" s="4"/>
    </row>
    <row r="8" spans="3:21" x14ac:dyDescent="0.2">
      <c r="D8" s="4">
        <f>'Quantity Shares_1985-1998'!AJ10</f>
        <v>3.66275504879198</v>
      </c>
      <c r="F8" t="s">
        <v>113</v>
      </c>
      <c r="G8" s="4">
        <f>D8</f>
        <v>3.66275504879198</v>
      </c>
      <c r="H8" s="4">
        <f>D29</f>
        <v>3.0749937062414947</v>
      </c>
      <c r="I8" s="4">
        <f>D50</f>
        <v>2.7762580415037439</v>
      </c>
      <c r="J8" s="4">
        <f>D71</f>
        <v>2.6645048514366532</v>
      </c>
      <c r="K8" s="4">
        <f>D92</f>
        <v>2.6023782703889573</v>
      </c>
      <c r="L8" s="4">
        <f>D113</f>
        <v>2.5612210892523848</v>
      </c>
      <c r="M8" s="4">
        <f>D134</f>
        <v>2.3600037723114458</v>
      </c>
      <c r="N8" s="4">
        <f>D155</f>
        <v>2.4663535002350709</v>
      </c>
      <c r="O8" s="4">
        <f>D176</f>
        <v>2.6491874080404711</v>
      </c>
      <c r="P8" s="4">
        <f>D197</f>
        <v>2.7397774893388864</v>
      </c>
      <c r="Q8" s="4">
        <f>D218</f>
        <v>2.5845080538893583</v>
      </c>
      <c r="R8" s="4">
        <f>D239</f>
        <v>2.9269310987998618</v>
      </c>
      <c r="S8" s="4">
        <f>D260</f>
        <v>3.0360870304720189</v>
      </c>
      <c r="T8" s="4">
        <f>D281</f>
        <v>2.7516455696202535</v>
      </c>
      <c r="U8" s="4"/>
    </row>
    <row r="9" spans="3:21" x14ac:dyDescent="0.2">
      <c r="D9" s="4">
        <f>'Quantity Shares_1985-1998'!AJ11</f>
        <v>4.1216782970984891</v>
      </c>
      <c r="F9" t="s">
        <v>114</v>
      </c>
      <c r="G9" s="4">
        <f>D9</f>
        <v>4.1216782970984891</v>
      </c>
      <c r="H9" s="4">
        <f>D30</f>
        <v>3.2737245581565695</v>
      </c>
      <c r="I9" s="4">
        <f>D51</f>
        <v>3.1094319164082322</v>
      </c>
      <c r="J9" s="4">
        <f>D72</f>
        <v>3.0178962361005981</v>
      </c>
      <c r="K9" s="4">
        <f>D93</f>
        <v>3.1495681840825727</v>
      </c>
      <c r="L9" s="4">
        <f>D114</f>
        <v>3.3193216475298848</v>
      </c>
      <c r="M9" s="4">
        <f>D135</f>
        <v>3.1211935042271093</v>
      </c>
      <c r="N9" s="4">
        <f>D156</f>
        <v>3.1396936094115966</v>
      </c>
      <c r="O9" s="4">
        <f>D177</f>
        <v>3.2411633317376394</v>
      </c>
      <c r="P9" s="4">
        <f>D198</f>
        <v>3.1336299974056594</v>
      </c>
      <c r="Q9" s="4">
        <f>D219</f>
        <v>2.9121957820462083</v>
      </c>
      <c r="R9" s="4">
        <f>D240</f>
        <v>3.5627749336051484</v>
      </c>
      <c r="S9" s="4">
        <f>D261</f>
        <v>3.662467814179613</v>
      </c>
      <c r="T9" s="4">
        <f>D282</f>
        <v>3.1508571428571424</v>
      </c>
      <c r="U9" s="4"/>
    </row>
    <row r="10" spans="3:21" x14ac:dyDescent="0.2">
      <c r="D10" s="4">
        <f>'Quantity Shares_1985-1998'!AJ12</f>
        <v>4.1216782970984891</v>
      </c>
      <c r="F10" t="s">
        <v>115</v>
      </c>
      <c r="G10" s="4">
        <f>D10</f>
        <v>4.1216782970984891</v>
      </c>
      <c r="H10" s="4">
        <f>D31</f>
        <v>3.3033699746275174</v>
      </c>
      <c r="I10" s="4">
        <f>D52</f>
        <v>3.1096587267160594</v>
      </c>
      <c r="J10" s="4">
        <f>D73</f>
        <v>3.0178962361005981</v>
      </c>
      <c r="K10" s="4">
        <f>D94</f>
        <v>3.1311073759941439</v>
      </c>
      <c r="L10" s="4">
        <f>D115</f>
        <v>3.2903827909284171</v>
      </c>
      <c r="M10" s="4">
        <f>D136</f>
        <v>3.1055060230524116</v>
      </c>
      <c r="N10" s="4">
        <f>D157</f>
        <v>3.1274564781089622</v>
      </c>
      <c r="O10" s="4">
        <f>D178</f>
        <v>3.231118595024931</v>
      </c>
      <c r="P10" s="4">
        <f>D199</f>
        <v>3.1336299974056594</v>
      </c>
      <c r="Q10" s="4">
        <f>D220</f>
        <v>2.9636090751530304</v>
      </c>
      <c r="R10" s="4">
        <f>D241</f>
        <v>3.6740235263431194</v>
      </c>
      <c r="S10" s="4">
        <f>D262</f>
        <v>3.8613419198185941</v>
      </c>
      <c r="T10" s="4">
        <f>D283</f>
        <v>3.3853773584905662</v>
      </c>
      <c r="U10" s="4"/>
    </row>
    <row r="11" spans="3:21" x14ac:dyDescent="0.2">
      <c r="D11" s="4">
        <f>'Quantity Shares_1985-1998'!AJ13</f>
        <v>5.128442217533089</v>
      </c>
    </row>
    <row r="12" spans="3:21" x14ac:dyDescent="0.2">
      <c r="D12" s="4">
        <f>'Quantity Shares_1985-1998'!AJ14</f>
        <v>4.6927247622279458</v>
      </c>
      <c r="G12">
        <f>G6</f>
        <v>1985</v>
      </c>
      <c r="H12">
        <f t="shared" ref="H12:T12" si="1">H6</f>
        <v>1986</v>
      </c>
      <c r="I12">
        <f t="shared" si="1"/>
        <v>1987</v>
      </c>
      <c r="J12">
        <f t="shared" si="1"/>
        <v>1988</v>
      </c>
      <c r="K12">
        <f t="shared" si="1"/>
        <v>1989</v>
      </c>
      <c r="L12">
        <f t="shared" si="1"/>
        <v>1990</v>
      </c>
      <c r="M12">
        <f t="shared" si="1"/>
        <v>1991</v>
      </c>
      <c r="N12">
        <f t="shared" si="1"/>
        <v>1992</v>
      </c>
      <c r="O12">
        <f t="shared" si="1"/>
        <v>1993</v>
      </c>
      <c r="P12">
        <f t="shared" si="1"/>
        <v>1994</v>
      </c>
      <c r="Q12">
        <f t="shared" si="1"/>
        <v>1995</v>
      </c>
      <c r="R12">
        <f t="shared" si="1"/>
        <v>1996</v>
      </c>
      <c r="S12">
        <f t="shared" si="1"/>
        <v>1997</v>
      </c>
      <c r="T12">
        <f t="shared" si="1"/>
        <v>1998</v>
      </c>
    </row>
    <row r="13" spans="3:21" x14ac:dyDescent="0.2">
      <c r="D13" s="4">
        <f>'Quantity Shares_1985-1998'!AJ15</f>
        <v>5.3858076713520928</v>
      </c>
      <c r="F13" t="s">
        <v>116</v>
      </c>
      <c r="G13" s="4">
        <f>D11</f>
        <v>5.128442217533089</v>
      </c>
      <c r="H13" s="4">
        <f>D32</f>
        <v>4.3507767807710991</v>
      </c>
      <c r="I13" s="4">
        <f>D53</f>
        <v>3.9836917909622547</v>
      </c>
      <c r="J13" s="4">
        <f>D74</f>
        <v>4.0686357806495819</v>
      </c>
      <c r="K13" s="4">
        <f>D95</f>
        <v>4.0460359764692893</v>
      </c>
      <c r="L13" s="4">
        <f>D116</f>
        <v>4.1000673422207363</v>
      </c>
      <c r="M13" s="4">
        <f>D137</f>
        <v>3.8089620728423221</v>
      </c>
      <c r="N13" s="4">
        <f>D158</f>
        <v>3.8723390064291938</v>
      </c>
      <c r="O13" s="4">
        <f>D179</f>
        <v>4.0683086124444188</v>
      </c>
      <c r="P13" s="4">
        <f>D200</f>
        <v>3.9701295660547631</v>
      </c>
      <c r="Q13" s="4">
        <f>D221</f>
        <v>3.5452653133493235</v>
      </c>
      <c r="R13" s="4">
        <f>D242</f>
        <v>4.3452861949910453</v>
      </c>
      <c r="S13" s="4">
        <f>D263</f>
        <v>4.4941635086409955</v>
      </c>
      <c r="T13" s="4">
        <f>D284</f>
        <v>3.8189285714285721</v>
      </c>
      <c r="U13" s="4"/>
    </row>
    <row r="14" spans="3:21" x14ac:dyDescent="0.2">
      <c r="D14" s="4">
        <f>'Quantity Shares_1985-1998'!AJ16</f>
        <v>3.3231889909642658</v>
      </c>
      <c r="F14" t="s">
        <v>117</v>
      </c>
      <c r="G14" s="4">
        <f>D12</f>
        <v>4.6927247622279458</v>
      </c>
      <c r="H14" s="4">
        <f>D33</f>
        <v>3.3316628420622196</v>
      </c>
      <c r="I14" s="4">
        <f>D54</f>
        <v>3.3825350390525886</v>
      </c>
      <c r="J14" s="4">
        <f>D75</f>
        <v>3.116387125759283</v>
      </c>
      <c r="K14" s="4">
        <f>D96</f>
        <v>3.3939780628094933</v>
      </c>
      <c r="L14" s="4">
        <f>D117</f>
        <v>3.6460468031081508</v>
      </c>
      <c r="M14" s="4">
        <f>D138</f>
        <v>3.2492948077667072</v>
      </c>
      <c r="N14" s="4">
        <f>D159</f>
        <v>3.3032167480184866</v>
      </c>
      <c r="O14" s="4">
        <f>D180</f>
        <v>3.3975064301173732</v>
      </c>
      <c r="P14" s="4">
        <f>D201</f>
        <v>3.3421417184870719</v>
      </c>
      <c r="Q14" s="4">
        <f>D222</f>
        <v>3.2875005896091731</v>
      </c>
      <c r="R14" s="4">
        <f>D243</f>
        <v>4.2014404061425878</v>
      </c>
      <c r="S14" s="4">
        <f>D264</f>
        <v>4.4689022704391377</v>
      </c>
      <c r="T14" s="4">
        <f>D285</f>
        <v>3.960612244897959</v>
      </c>
      <c r="U14" s="4"/>
    </row>
    <row r="15" spans="3:21" x14ac:dyDescent="0.2">
      <c r="D15" s="4">
        <f>'Quantity Shares_1985-1998'!AJ17</f>
        <v>5.0550011384086222</v>
      </c>
      <c r="F15" t="s">
        <v>193</v>
      </c>
      <c r="G15" s="4">
        <f>D13</f>
        <v>5.3858076713520928</v>
      </c>
      <c r="H15" s="4">
        <f>D34</f>
        <v>4.7077949540603745</v>
      </c>
      <c r="I15" s="4">
        <f>D55</f>
        <v>4.0372746234018333</v>
      </c>
      <c r="J15" s="4">
        <f>D76</f>
        <v>4.2275431212646808</v>
      </c>
      <c r="K15" s="4">
        <f>D97</f>
        <v>4.0532805741844191</v>
      </c>
      <c r="L15" s="4">
        <f>D118</f>
        <v>4.1919837481795597</v>
      </c>
      <c r="M15" s="4">
        <f>D139</f>
        <v>4.0250531143581085</v>
      </c>
      <c r="N15" s="4">
        <f>D160</f>
        <v>4.0282078960394347</v>
      </c>
      <c r="O15" s="4">
        <f>D181</f>
        <v>4.2044108248178986</v>
      </c>
      <c r="P15" s="4">
        <f>D202</f>
        <v>4.182368269796612</v>
      </c>
      <c r="Q15" s="4">
        <f>D223</f>
        <v>3.6109563455866649</v>
      </c>
      <c r="R15" s="4">
        <f>D244</f>
        <v>4.0334620617794839</v>
      </c>
      <c r="S15" s="4">
        <f>D265</f>
        <v>4.0841075396532283</v>
      </c>
      <c r="T15" s="4">
        <f>D286</f>
        <v>3.3405434782608698</v>
      </c>
      <c r="U15" s="4"/>
    </row>
    <row r="16" spans="3:21" x14ac:dyDescent="0.2">
      <c r="D16" s="4">
        <f>'Quantity Shares_1985-1998'!AJ18</f>
        <v>3.2775271495626739</v>
      </c>
      <c r="F16" t="s">
        <v>194</v>
      </c>
      <c r="G16" s="4">
        <f>D14</f>
        <v>3.3231889909642658</v>
      </c>
      <c r="H16" s="4">
        <f>D35</f>
        <v>2.6703583565444782</v>
      </c>
      <c r="I16" s="4">
        <f>D56</f>
        <v>2.4356488303787378</v>
      </c>
      <c r="J16" s="4">
        <f>D77</f>
        <v>2.2619221083825387</v>
      </c>
      <c r="K16" s="4">
        <f>D98</f>
        <v>2.3303951614726239</v>
      </c>
      <c r="L16" s="4">
        <f>D119</f>
        <v>2.427441992229868</v>
      </c>
      <c r="M16" s="4">
        <f>D140</f>
        <v>2.251487013990312</v>
      </c>
      <c r="N16" s="4">
        <f>D161</f>
        <v>2.2575024920142193</v>
      </c>
      <c r="O16" s="4">
        <f>D182</f>
        <v>2.3540681277021336</v>
      </c>
      <c r="P16" s="4">
        <f>D203</f>
        <v>2.3619661794414504</v>
      </c>
      <c r="Q16" s="4">
        <f>D224</f>
        <v>2.2550566532074665</v>
      </c>
      <c r="R16" s="4">
        <f>D245</f>
        <v>2.6100924128898284</v>
      </c>
      <c r="S16" s="4">
        <f>D266</f>
        <v>2.7381532634136456</v>
      </c>
      <c r="T16" s="4">
        <f>D287</f>
        <v>2.4317412451361871</v>
      </c>
      <c r="U16" s="4"/>
    </row>
    <row r="17" spans="3:21" x14ac:dyDescent="0.2">
      <c r="D17" s="4">
        <f>'Quantity Shares_1985-1998'!AJ19</f>
        <v>2.8917977385631515</v>
      </c>
    </row>
    <row r="18" spans="3:21" x14ac:dyDescent="0.2">
      <c r="D18" s="4">
        <f>'Quantity Shares_1985-1998'!AJ20</f>
        <v>4.3655384128476067</v>
      </c>
      <c r="G18">
        <f>G12</f>
        <v>1985</v>
      </c>
      <c r="H18">
        <f t="shared" ref="H18:T18" si="2">H12</f>
        <v>1986</v>
      </c>
      <c r="I18">
        <f t="shared" si="2"/>
        <v>1987</v>
      </c>
      <c r="J18">
        <f t="shared" si="2"/>
        <v>1988</v>
      </c>
      <c r="K18">
        <f t="shared" si="2"/>
        <v>1989</v>
      </c>
      <c r="L18">
        <f t="shared" si="2"/>
        <v>1990</v>
      </c>
      <c r="M18">
        <f t="shared" si="2"/>
        <v>1991</v>
      </c>
      <c r="N18">
        <f t="shared" si="2"/>
        <v>1992</v>
      </c>
      <c r="O18">
        <f t="shared" si="2"/>
        <v>1993</v>
      </c>
      <c r="P18">
        <f t="shared" si="2"/>
        <v>1994</v>
      </c>
      <c r="Q18">
        <f t="shared" si="2"/>
        <v>1995</v>
      </c>
      <c r="R18">
        <f t="shared" si="2"/>
        <v>1996</v>
      </c>
      <c r="S18">
        <f t="shared" si="2"/>
        <v>1997</v>
      </c>
      <c r="T18">
        <f t="shared" si="2"/>
        <v>1998</v>
      </c>
    </row>
    <row r="19" spans="3:21" x14ac:dyDescent="0.2">
      <c r="D19" s="4">
        <f>'Quantity Shares_1985-1998'!AJ21</f>
        <v>3.3106096834433774</v>
      </c>
      <c r="F19" t="s">
        <v>120</v>
      </c>
      <c r="G19" s="4">
        <f>D15</f>
        <v>5.0550011384086222</v>
      </c>
      <c r="H19" s="4">
        <f>D36</f>
        <v>4.271747328390429</v>
      </c>
      <c r="I19" s="4">
        <f>D57</f>
        <v>4.0538134757673694</v>
      </c>
      <c r="J19" s="4">
        <f>D78</f>
        <v>4.0967292813437926</v>
      </c>
      <c r="K19" s="4">
        <f>D99</f>
        <v>4.1040270016728382</v>
      </c>
      <c r="L19" s="4">
        <f>D120</f>
        <v>4.0747824349777044</v>
      </c>
      <c r="M19" s="4">
        <f>D141</f>
        <v>3.760925562988104</v>
      </c>
      <c r="N19" s="4">
        <f>D162</f>
        <v>3.9298008687150054</v>
      </c>
      <c r="O19" s="4">
        <f>D183</f>
        <v>4.1895377248660504</v>
      </c>
      <c r="P19" s="4">
        <f>D204</f>
        <v>4.1802237026623725</v>
      </c>
      <c r="Q19" s="4">
        <f>D225</f>
        <v>3.7197629642932233</v>
      </c>
      <c r="R19" s="4">
        <f>D246</f>
        <v>4.4428437406937071</v>
      </c>
      <c r="S19" s="4">
        <f>D267</f>
        <v>4.5648014851757157</v>
      </c>
      <c r="T19" s="4">
        <f>D288</f>
        <v>3.9662958843159064</v>
      </c>
      <c r="U19" s="4"/>
    </row>
    <row r="20" spans="3:21" x14ac:dyDescent="0.2">
      <c r="D20" s="4">
        <f>'Quantity Shares_1985-1998'!AJ22</f>
        <v>4.6823325473017086</v>
      </c>
      <c r="F20" t="s">
        <v>121</v>
      </c>
      <c r="G20" s="4">
        <f>D16</f>
        <v>3.2775271495626739</v>
      </c>
      <c r="H20" s="4">
        <f>D37</f>
        <v>2.6066761805420651</v>
      </c>
      <c r="I20" s="4">
        <f>D58</f>
        <v>2.2886133520071961</v>
      </c>
      <c r="J20" s="4">
        <f>D79</f>
        <v>2.2266481580695126</v>
      </c>
      <c r="K20" s="4">
        <f>D100</f>
        <v>2.2403548330972467</v>
      </c>
      <c r="L20" s="4">
        <f>D121</f>
        <v>2.2994996167131996</v>
      </c>
      <c r="M20" s="4">
        <f>D142</f>
        <v>2.1274994175679098</v>
      </c>
      <c r="N20" s="4">
        <f>D163</f>
        <v>2.2058351820113682</v>
      </c>
      <c r="O20" s="4">
        <f>D184</f>
        <v>2.3973723421907183</v>
      </c>
      <c r="P20" s="4">
        <f>D205</f>
        <v>2.3500085616977966</v>
      </c>
      <c r="Q20" s="4">
        <f>D226</f>
        <v>2.1209292115658913</v>
      </c>
      <c r="R20" s="4">
        <f>D247</f>
        <v>2.7256224498527311</v>
      </c>
      <c r="S20" s="4">
        <f>D268</f>
        <v>2.883764711863213</v>
      </c>
      <c r="T20" s="4">
        <f>D289</f>
        <v>2.5205263654372234</v>
      </c>
      <c r="U20" s="4"/>
    </row>
    <row r="21" spans="3:21" x14ac:dyDescent="0.2">
      <c r="D21" s="4">
        <f>'Quantity Shares_1985-1998'!AJ23</f>
        <v>4.7568846744346684</v>
      </c>
      <c r="F21" t="s">
        <v>122</v>
      </c>
      <c r="G21" s="4">
        <f>D17</f>
        <v>2.8917977385631515</v>
      </c>
      <c r="H21" s="4">
        <f>D38</f>
        <v>2.331998484183297</v>
      </c>
      <c r="I21" s="4">
        <f>D59</f>
        <v>2.0385034029908935</v>
      </c>
      <c r="J21" s="4">
        <f>D80</f>
        <v>1.9709558972732946</v>
      </c>
      <c r="K21" s="4">
        <f>D101</f>
        <v>1.9837323636347053</v>
      </c>
      <c r="L21" s="4">
        <f>D122</f>
        <v>1.996289256325912</v>
      </c>
      <c r="M21" s="4">
        <f>D143</f>
        <v>1.8344599999188993</v>
      </c>
      <c r="N21" s="4">
        <f>D164</f>
        <v>1.9396149361400343</v>
      </c>
      <c r="O21" s="4">
        <f>D185</f>
        <v>2.1261467121769986</v>
      </c>
      <c r="P21" s="4">
        <f>D206</f>
        <v>2.146292716061307</v>
      </c>
      <c r="Q21" s="4">
        <f>D227</f>
        <v>1.9519690901371558</v>
      </c>
      <c r="R21" s="4">
        <f>D248</f>
        <v>2.4744034413438314</v>
      </c>
      <c r="S21" s="4">
        <f>D269</f>
        <v>2.6495379872007701</v>
      </c>
      <c r="T21" s="4">
        <f>D290</f>
        <v>2.3507607776838544</v>
      </c>
      <c r="U21" s="4"/>
    </row>
    <row r="22" spans="3:21" x14ac:dyDescent="0.2">
      <c r="D22" s="4">
        <f>'Quantity Shares_1985-1998'!AJ24</f>
        <v>4.4082440512025762</v>
      </c>
      <c r="F22" t="s">
        <v>123</v>
      </c>
      <c r="G22" s="4">
        <f>D18</f>
        <v>4.3655384128476067</v>
      </c>
      <c r="H22" s="4">
        <f>D39</f>
        <v>3.5557538736601608</v>
      </c>
      <c r="I22" s="4">
        <f>D60</f>
        <v>3.3234256097971628</v>
      </c>
      <c r="J22" s="4">
        <f>D81</f>
        <v>3.2342168556580209</v>
      </c>
      <c r="K22" s="4">
        <f>D102</f>
        <v>3.3320833979314393</v>
      </c>
      <c r="L22" s="4">
        <f>D123</f>
        <v>3.4002563288866079</v>
      </c>
      <c r="M22" s="4">
        <f>D144</f>
        <v>3.211774778911384</v>
      </c>
      <c r="N22" s="4">
        <f>D165</f>
        <v>3.2930050831468556</v>
      </c>
      <c r="O22" s="4">
        <f>D186</f>
        <v>3.4974731216781607</v>
      </c>
      <c r="P22" s="4">
        <f>D207</f>
        <v>3.5502435400541215</v>
      </c>
      <c r="Q22" s="4">
        <f>D228</f>
        <v>3.2503745533712372</v>
      </c>
      <c r="R22" s="4">
        <f>D249</f>
        <v>3.7788499424948658</v>
      </c>
      <c r="S22" s="4">
        <f>D270</f>
        <v>4.0370077442691379</v>
      </c>
      <c r="T22" s="4">
        <f>D291</f>
        <v>3.6011510791366907</v>
      </c>
      <c r="U22" s="4"/>
    </row>
    <row r="23" spans="3:21" x14ac:dyDescent="0.2">
      <c r="D23" s="4">
        <f>'Quantity Shares_1985-1998'!AJ25</f>
        <v>4.205766673833871</v>
      </c>
    </row>
    <row r="24" spans="3:21" x14ac:dyDescent="0.2">
      <c r="D24" s="4">
        <f>'Quantity Shares_1985-1998'!AJ26</f>
        <v>4.5849886861941904</v>
      </c>
      <c r="G24">
        <f>G18</f>
        <v>1985</v>
      </c>
      <c r="H24">
        <f t="shared" ref="H24:T24" si="3">H18</f>
        <v>1986</v>
      </c>
      <c r="I24">
        <f t="shared" si="3"/>
        <v>1987</v>
      </c>
      <c r="J24">
        <f t="shared" si="3"/>
        <v>1988</v>
      </c>
      <c r="K24">
        <f t="shared" si="3"/>
        <v>1989</v>
      </c>
      <c r="L24">
        <f t="shared" si="3"/>
        <v>1990</v>
      </c>
      <c r="M24">
        <f t="shared" si="3"/>
        <v>1991</v>
      </c>
      <c r="N24">
        <f t="shared" si="3"/>
        <v>1992</v>
      </c>
      <c r="O24">
        <f t="shared" si="3"/>
        <v>1993</v>
      </c>
      <c r="P24">
        <f t="shared" si="3"/>
        <v>1994</v>
      </c>
      <c r="Q24">
        <f t="shared" si="3"/>
        <v>1995</v>
      </c>
      <c r="R24">
        <f t="shared" si="3"/>
        <v>1996</v>
      </c>
      <c r="S24">
        <f t="shared" si="3"/>
        <v>1997</v>
      </c>
      <c r="T24">
        <f t="shared" si="3"/>
        <v>1998</v>
      </c>
    </row>
    <row r="25" spans="3:21" x14ac:dyDescent="0.2">
      <c r="D25" s="4">
        <f>'Quantity Shares_1985-1998'!AJ27</f>
        <v>4.3031195637236248</v>
      </c>
      <c r="F25" t="s">
        <v>124</v>
      </c>
      <c r="G25" s="4">
        <f>D19</f>
        <v>3.3106096834433774</v>
      </c>
      <c r="H25" s="4">
        <f>D40</f>
        <v>2.7924002514512818</v>
      </c>
      <c r="I25" s="4">
        <f>D61</f>
        <v>2.487240204903808</v>
      </c>
      <c r="J25" s="4">
        <f>D82</f>
        <v>2.4273795276173957</v>
      </c>
      <c r="K25" s="4">
        <f>D103</f>
        <v>2.4089874960624593</v>
      </c>
      <c r="L25" s="4">
        <f>D124</f>
        <v>2.4070137804532634</v>
      </c>
      <c r="M25" s="4">
        <f>D145</f>
        <v>2.2567944665955038</v>
      </c>
      <c r="N25" s="4">
        <f>D166</f>
        <v>2.485356218409283</v>
      </c>
      <c r="O25" s="4">
        <f>D187</f>
        <v>2.7816776088552109</v>
      </c>
      <c r="P25" s="4">
        <f>D208</f>
        <v>2.9347317203580925</v>
      </c>
      <c r="Q25" s="4">
        <f>D229</f>
        <v>2.6045833035544317</v>
      </c>
      <c r="R25" s="4">
        <f>D250</f>
        <v>2.9380762421502729</v>
      </c>
      <c r="S25" s="4">
        <f>D271</f>
        <v>2.9298204282112925</v>
      </c>
      <c r="T25" s="4">
        <f>D292</f>
        <v>2.4981317204301074</v>
      </c>
      <c r="U25" s="4"/>
    </row>
    <row r="26" spans="3:21" x14ac:dyDescent="0.2">
      <c r="D26" s="4">
        <f>'Quantity Shares_1985-1998'!AJ28</f>
        <v>5.0104514888219862</v>
      </c>
      <c r="F26" t="s">
        <v>125</v>
      </c>
      <c r="G26" s="4">
        <f>D20</f>
        <v>4.6823325473017086</v>
      </c>
      <c r="H26" s="4">
        <f>D41</f>
        <v>4.0313341914984395</v>
      </c>
      <c r="I26" s="4">
        <f>D62</f>
        <v>3.6619849648050065</v>
      </c>
      <c r="J26" s="4">
        <f>D83</f>
        <v>3.5129451783709857</v>
      </c>
      <c r="K26" s="4">
        <f>D104</f>
        <v>3.4907630544402886</v>
      </c>
      <c r="L26" s="4">
        <f>D125</f>
        <v>3.4744848382455213</v>
      </c>
      <c r="M26" s="4">
        <f>D146</f>
        <v>3.3147409038765807</v>
      </c>
      <c r="N26" s="4">
        <f>D167</f>
        <v>3.3790846122350997</v>
      </c>
      <c r="O26" s="4">
        <f>D188</f>
        <v>3.5287144057404038</v>
      </c>
      <c r="P26" s="4">
        <f>D209</f>
        <v>3.557611078462763</v>
      </c>
      <c r="Q26" s="4">
        <f>D230</f>
        <v>3.3136829338005116</v>
      </c>
      <c r="R26" s="4">
        <f>D251</f>
        <v>3.5453881322309537</v>
      </c>
      <c r="S26" s="4">
        <f>D272</f>
        <v>3.5935438521589154</v>
      </c>
      <c r="T26" s="4">
        <f>D293</f>
        <v>3.2291983122362868</v>
      </c>
      <c r="U26" s="4"/>
    </row>
    <row r="27" spans="3:21" x14ac:dyDescent="0.2">
      <c r="D27" s="4">
        <f>'Quantity Shares_1985-1998'!AJ29</f>
        <v>3.7715857469996448</v>
      </c>
      <c r="F27" t="s">
        <v>126</v>
      </c>
      <c r="G27" s="4">
        <f>D21</f>
        <v>4.7568846744346684</v>
      </c>
      <c r="H27" s="4">
        <f>D42</f>
        <v>3.8751458804573322</v>
      </c>
      <c r="I27" s="4">
        <f>D63</f>
        <v>3.6107977511378437</v>
      </c>
      <c r="J27" s="4">
        <f>D84</f>
        <v>3.6001297482169257</v>
      </c>
      <c r="K27" s="4">
        <f>D105</f>
        <v>3.6689471734988719</v>
      </c>
      <c r="L27" s="4">
        <f>D126</f>
        <v>3.7088053598223696</v>
      </c>
      <c r="M27" s="4">
        <f>D147</f>
        <v>3.4919767358243243</v>
      </c>
      <c r="N27" s="4">
        <f>D168</f>
        <v>3.5593749073586607</v>
      </c>
      <c r="O27" s="4">
        <f>D189</f>
        <v>3.7105254640095215</v>
      </c>
      <c r="P27" s="4">
        <f>D210</f>
        <v>3.6071761053386573</v>
      </c>
      <c r="Q27" s="4">
        <f>D231</f>
        <v>3.2023116759863623</v>
      </c>
      <c r="R27" s="4">
        <f>D252</f>
        <v>3.9901095211163105</v>
      </c>
      <c r="S27" s="4">
        <f>D273</f>
        <v>4.1770063405547084</v>
      </c>
      <c r="T27" s="4">
        <f>D294</f>
        <v>3.6152918287937741</v>
      </c>
      <c r="U27" s="4"/>
    </row>
    <row r="28" spans="3:21" x14ac:dyDescent="0.2">
      <c r="C28">
        <v>1986</v>
      </c>
      <c r="D28" s="4">
        <f>'Quantity Shares_1985-1998'!AJ30</f>
        <v>3.1870286574932614</v>
      </c>
      <c r="F28" t="s">
        <v>127</v>
      </c>
      <c r="G28" s="4">
        <f>D22</f>
        <v>4.4082440512025762</v>
      </c>
      <c r="H28" s="4">
        <f>D43</f>
        <v>3.6576544248039511</v>
      </c>
      <c r="I28" s="4">
        <f>D64</f>
        <v>3.3609868499377473</v>
      </c>
      <c r="J28" s="4">
        <f>D85</f>
        <v>3.376398774566979</v>
      </c>
      <c r="K28" s="4">
        <f>D106</f>
        <v>3.4465706914744043</v>
      </c>
      <c r="L28" s="4">
        <f>D127</f>
        <v>3.5100264975185902</v>
      </c>
      <c r="M28" s="4">
        <f>D148</f>
        <v>3.3178316676880151</v>
      </c>
      <c r="N28" s="4">
        <f>D169</f>
        <v>3.3828609778723169</v>
      </c>
      <c r="O28" s="4">
        <f>D190</f>
        <v>3.593036912602483</v>
      </c>
      <c r="P28" s="4">
        <f>D211</f>
        <v>3.5961991920549243</v>
      </c>
      <c r="Q28" s="4">
        <f>D232</f>
        <v>3.2390060801468694</v>
      </c>
      <c r="R28" s="4">
        <f>D253</f>
        <v>3.8790542231389331</v>
      </c>
      <c r="S28" s="4">
        <f>D274</f>
        <v>4.1767831045184458</v>
      </c>
      <c r="T28" s="4">
        <f>D295</f>
        <v>3.6826785714285721</v>
      </c>
      <c r="U28" s="4"/>
    </row>
    <row r="29" spans="3:21" x14ac:dyDescent="0.2">
      <c r="D29" s="4">
        <f>'Quantity Shares_1985-1998'!AJ31</f>
        <v>3.0749937062414947</v>
      </c>
    </row>
    <row r="30" spans="3:21" x14ac:dyDescent="0.2">
      <c r="D30" s="4">
        <f>'Quantity Shares_1985-1998'!AJ32</f>
        <v>3.2737245581565695</v>
      </c>
    </row>
    <row r="31" spans="3:21" x14ac:dyDescent="0.2">
      <c r="D31" s="4">
        <f>'Quantity Shares_1985-1998'!AJ33</f>
        <v>3.3033699746275174</v>
      </c>
      <c r="G31">
        <f>G18</f>
        <v>1985</v>
      </c>
      <c r="H31">
        <f t="shared" ref="H31:T31" si="4">H18</f>
        <v>1986</v>
      </c>
      <c r="I31">
        <f t="shared" si="4"/>
        <v>1987</v>
      </c>
      <c r="J31">
        <f t="shared" si="4"/>
        <v>1988</v>
      </c>
      <c r="K31">
        <f t="shared" si="4"/>
        <v>1989</v>
      </c>
      <c r="L31">
        <f t="shared" si="4"/>
        <v>1990</v>
      </c>
      <c r="M31">
        <f t="shared" si="4"/>
        <v>1991</v>
      </c>
      <c r="N31">
        <f t="shared" si="4"/>
        <v>1992</v>
      </c>
      <c r="O31">
        <f t="shared" si="4"/>
        <v>1993</v>
      </c>
      <c r="P31">
        <f t="shared" si="4"/>
        <v>1994</v>
      </c>
      <c r="Q31">
        <f t="shared" si="4"/>
        <v>1995</v>
      </c>
      <c r="R31">
        <f t="shared" si="4"/>
        <v>1996</v>
      </c>
      <c r="S31">
        <f t="shared" si="4"/>
        <v>1997</v>
      </c>
      <c r="T31">
        <f t="shared" si="4"/>
        <v>1998</v>
      </c>
    </row>
    <row r="32" spans="3:21" x14ac:dyDescent="0.2">
      <c r="D32" s="4">
        <f>'Quantity Shares_1985-1998'!AJ34</f>
        <v>4.3507767807710991</v>
      </c>
      <c r="F32" t="s">
        <v>42</v>
      </c>
      <c r="G32" s="4">
        <f>D23</f>
        <v>4.205766673833871</v>
      </c>
      <c r="H32" s="4">
        <f>D44</f>
        <v>3.5197465586420358</v>
      </c>
      <c r="I32" s="4">
        <f>D65</f>
        <v>3.2411504321992695</v>
      </c>
      <c r="J32" s="4">
        <f>D86</f>
        <v>3.1321768589636938</v>
      </c>
      <c r="K32" s="4">
        <f>D107</f>
        <v>3.2498762167474684</v>
      </c>
      <c r="L32" s="4">
        <f>D128</f>
        <v>3.3900080994293496</v>
      </c>
      <c r="M32" s="4">
        <f>D149</f>
        <v>3.2397939403335458</v>
      </c>
      <c r="N32" s="4">
        <f>D170</f>
        <v>3.1793093657498273</v>
      </c>
      <c r="O32" s="4">
        <f>D191</f>
        <v>3.3233824984898468</v>
      </c>
      <c r="P32" s="4">
        <f>D212</f>
        <v>3.3341414515536827</v>
      </c>
      <c r="Q32" s="4">
        <f>D233</f>
        <v>3.1942460611380139</v>
      </c>
      <c r="R32" s="4">
        <f>D254</f>
        <v>3.567766464916307</v>
      </c>
      <c r="S32" s="4">
        <f>D275</f>
        <v>3.9817620697823433</v>
      </c>
      <c r="T32" s="4">
        <f>D296</f>
        <v>3.7265765765765764</v>
      </c>
      <c r="U32" s="4"/>
    </row>
    <row r="33" spans="4:21" x14ac:dyDescent="0.2">
      <c r="D33" s="4">
        <f>'Quantity Shares_1985-1998'!AJ35</f>
        <v>3.3316628420622196</v>
      </c>
      <c r="F33" t="s">
        <v>44</v>
      </c>
      <c r="G33" s="4">
        <f>D24</f>
        <v>4.5849886861941904</v>
      </c>
      <c r="H33" s="4">
        <f>D45</f>
        <v>3.7368869668146369</v>
      </c>
      <c r="I33" s="4">
        <f>D66</f>
        <v>3.400669379242327</v>
      </c>
      <c r="J33" s="4">
        <f>D87</f>
        <v>3.3916794734532525</v>
      </c>
      <c r="K33" s="4">
        <f>D108</f>
        <v>3.488761969908587</v>
      </c>
      <c r="L33" s="4">
        <f>D129</f>
        <v>3.6394973223284368</v>
      </c>
      <c r="M33" s="4">
        <f>D150</f>
        <v>3.4468603570319862</v>
      </c>
      <c r="N33" s="4">
        <f>D171</f>
        <v>3.533499580674996</v>
      </c>
      <c r="O33" s="4">
        <f>D192</f>
        <v>3.7504839658323692</v>
      </c>
      <c r="P33" s="4">
        <f>D213</f>
        <v>3.6537907005483534</v>
      </c>
      <c r="Q33" s="4">
        <f>D234</f>
        <v>3.2277268134364165</v>
      </c>
      <c r="R33" s="4">
        <f>D255</f>
        <v>4.0445789693682723</v>
      </c>
      <c r="S33" s="4">
        <f>D276</f>
        <v>4.1978342646064695</v>
      </c>
      <c r="T33" s="4">
        <f>D297</f>
        <v>3.5875444839857655</v>
      </c>
      <c r="U33" s="4"/>
    </row>
    <row r="34" spans="4:21" x14ac:dyDescent="0.2">
      <c r="D34" s="4">
        <f>'Quantity Shares_1985-1998'!AJ36</f>
        <v>4.7077949540603745</v>
      </c>
      <c r="F34" t="s">
        <v>46</v>
      </c>
      <c r="G34" s="4">
        <f>D25</f>
        <v>4.3031195637236248</v>
      </c>
      <c r="H34" s="4">
        <f>D46</f>
        <v>3.5542883959756866</v>
      </c>
      <c r="I34" s="4">
        <f>D67</f>
        <v>3.3048027315710762</v>
      </c>
      <c r="J34" s="4">
        <f>D88</f>
        <v>3.2608588855961069</v>
      </c>
      <c r="K34" s="4">
        <f>D109</f>
        <v>3.2708797551505975</v>
      </c>
      <c r="L34" s="4">
        <f>D130</f>
        <v>3.2951972040699484</v>
      </c>
      <c r="M34" s="4">
        <f>D151</f>
        <v>3.0555454845083574</v>
      </c>
      <c r="N34" s="4">
        <f>D172</f>
        <v>3.1016970063427993</v>
      </c>
      <c r="O34" s="4">
        <f>D193</f>
        <v>3.239243587590332</v>
      </c>
      <c r="P34" s="4">
        <f>D214</f>
        <v>3.1852696351766552</v>
      </c>
      <c r="Q34" s="4">
        <f>D235</f>
        <v>2.9050751071661702</v>
      </c>
      <c r="R34" s="4">
        <f>D256</f>
        <v>3.5553849417047383</v>
      </c>
      <c r="S34" s="4">
        <f>D277</f>
        <v>3.697789173695285</v>
      </c>
      <c r="T34" s="4">
        <f>D298</f>
        <v>3.2359848484848484</v>
      </c>
      <c r="U34" s="4"/>
    </row>
    <row r="35" spans="4:21" x14ac:dyDescent="0.2">
      <c r="D35" s="4">
        <f>'Quantity Shares_1985-1998'!AJ37</f>
        <v>2.6703583565444782</v>
      </c>
    </row>
    <row r="36" spans="4:21" x14ac:dyDescent="0.2">
      <c r="D36" s="4">
        <f>'Quantity Shares_1985-1998'!AJ38</f>
        <v>4.271747328390429</v>
      </c>
    </row>
    <row r="37" spans="4:21" x14ac:dyDescent="0.2">
      <c r="D37" s="4">
        <f>'Quantity Shares_1985-1998'!AJ39</f>
        <v>2.6066761805420651</v>
      </c>
      <c r="G37">
        <f>G18</f>
        <v>1985</v>
      </c>
      <c r="H37">
        <f t="shared" ref="H37:T37" si="5">H18</f>
        <v>1986</v>
      </c>
      <c r="I37">
        <f t="shared" si="5"/>
        <v>1987</v>
      </c>
      <c r="J37">
        <f t="shared" si="5"/>
        <v>1988</v>
      </c>
      <c r="K37">
        <f t="shared" si="5"/>
        <v>1989</v>
      </c>
      <c r="L37">
        <f t="shared" si="5"/>
        <v>1990</v>
      </c>
      <c r="M37">
        <f t="shared" si="5"/>
        <v>1991</v>
      </c>
      <c r="N37">
        <f t="shared" si="5"/>
        <v>1992</v>
      </c>
      <c r="O37">
        <f t="shared" si="5"/>
        <v>1993</v>
      </c>
      <c r="P37">
        <f t="shared" si="5"/>
        <v>1994</v>
      </c>
      <c r="Q37">
        <f t="shared" si="5"/>
        <v>1995</v>
      </c>
      <c r="R37">
        <f t="shared" si="5"/>
        <v>1996</v>
      </c>
      <c r="S37">
        <f t="shared" si="5"/>
        <v>1997</v>
      </c>
      <c r="T37">
        <f t="shared" si="5"/>
        <v>1998</v>
      </c>
    </row>
    <row r="38" spans="4:21" x14ac:dyDescent="0.2">
      <c r="D38" s="4">
        <f>'Quantity Shares_1985-1998'!AJ40</f>
        <v>2.331998484183297</v>
      </c>
      <c r="F38" t="s">
        <v>48</v>
      </c>
      <c r="G38" s="4">
        <f>D26</f>
        <v>5.0104514888219862</v>
      </c>
      <c r="H38" s="4">
        <f>D47</f>
        <v>4.1040445558653742</v>
      </c>
      <c r="I38" s="4">
        <f>D68</f>
        <v>3.8919182232068859</v>
      </c>
      <c r="J38" s="4">
        <f>D89</f>
        <v>3.9449745638038189</v>
      </c>
      <c r="K38" s="4">
        <f>D110</f>
        <v>3.9475526831948229</v>
      </c>
      <c r="L38" s="4">
        <f>D131</f>
        <v>3.9855485775325823</v>
      </c>
      <c r="M38" s="4">
        <f>D152</f>
        <v>3.6676528530890491</v>
      </c>
      <c r="N38" s="4">
        <f>D173</f>
        <v>3.7795763680501797</v>
      </c>
      <c r="O38" s="4">
        <f>D194</f>
        <v>4.0014595554948658</v>
      </c>
      <c r="P38" s="4">
        <f>D215</f>
        <v>3.9329175760692014</v>
      </c>
      <c r="Q38" s="4">
        <f>D236</f>
        <v>3.5673467892564785</v>
      </c>
      <c r="R38" s="4">
        <f>D257</f>
        <v>4.4862796553469027</v>
      </c>
      <c r="S38" s="4">
        <f>D278</f>
        <v>4.7447020220251277</v>
      </c>
      <c r="T38" s="4">
        <f>D299</f>
        <v>4.1847133757961785</v>
      </c>
      <c r="U38" s="4"/>
    </row>
    <row r="39" spans="4:21" x14ac:dyDescent="0.2">
      <c r="D39" s="4">
        <f>'Quantity Shares_1985-1998'!AJ41</f>
        <v>3.5557538736601608</v>
      </c>
      <c r="F39" t="s">
        <v>50</v>
      </c>
      <c r="G39" s="4">
        <f>D27</f>
        <v>3.7715857469996448</v>
      </c>
      <c r="H39" s="4">
        <f>D48</f>
        <v>3.0695840342022569</v>
      </c>
      <c r="I39" s="4">
        <f>D69</f>
        <v>3.1972534933381551</v>
      </c>
      <c r="J39" s="4">
        <f>D90</f>
        <v>3.4119393974800314</v>
      </c>
      <c r="K39" s="4">
        <f>D111</f>
        <v>3.594995351555919</v>
      </c>
      <c r="L39" s="4">
        <f>D132</f>
        <v>3.7574834502153762</v>
      </c>
      <c r="M39" s="4">
        <f>D153</f>
        <v>3.6443249349020843</v>
      </c>
      <c r="N39" s="4">
        <f>D174</f>
        <v>3.7035360890878168</v>
      </c>
      <c r="O39" s="4">
        <f>D195</f>
        <v>3.8603078261737021</v>
      </c>
      <c r="P39" s="4">
        <f>D216</f>
        <v>3.8336440458021848</v>
      </c>
      <c r="Q39" s="4">
        <f>D237</f>
        <v>3.5528108148603312</v>
      </c>
      <c r="R39" s="4">
        <f>D258</f>
        <v>4.3668734623523022</v>
      </c>
      <c r="S39" s="4">
        <f>D279</f>
        <v>4.6200435418056589</v>
      </c>
      <c r="T39" s="4">
        <f>D300</f>
        <v>4.0802721088435376</v>
      </c>
      <c r="U39" s="4"/>
    </row>
    <row r="40" spans="4:21" x14ac:dyDescent="0.2">
      <c r="D40" s="4">
        <f>'Quantity Shares_1985-1998'!AJ42</f>
        <v>2.7924002514512818</v>
      </c>
    </row>
    <row r="41" spans="4:21" x14ac:dyDescent="0.2">
      <c r="D41" s="4">
        <f>'Quantity Shares_1985-1998'!AJ43</f>
        <v>4.0313341914984395</v>
      </c>
    </row>
    <row r="42" spans="4:21" x14ac:dyDescent="0.2">
      <c r="D42" s="4">
        <f>'Quantity Shares_1985-1998'!AJ44</f>
        <v>3.8751458804573322</v>
      </c>
    </row>
    <row r="43" spans="4:21" x14ac:dyDescent="0.2">
      <c r="D43" s="4">
        <f>'Quantity Shares_1985-1998'!AJ45</f>
        <v>3.6576544248039511</v>
      </c>
    </row>
    <row r="44" spans="4:21" x14ac:dyDescent="0.2">
      <c r="D44" s="4">
        <f>'Quantity Shares_1985-1998'!AJ46</f>
        <v>3.5197465586420358</v>
      </c>
    </row>
    <row r="45" spans="4:21" x14ac:dyDescent="0.2">
      <c r="D45" s="4">
        <f>'Quantity Shares_1985-1998'!AJ47</f>
        <v>3.7368869668146369</v>
      </c>
    </row>
    <row r="46" spans="4:21" x14ac:dyDescent="0.2">
      <c r="D46" s="4">
        <f>'Quantity Shares_1985-1998'!AJ48</f>
        <v>3.5542883959756866</v>
      </c>
    </row>
    <row r="47" spans="4:21" x14ac:dyDescent="0.2">
      <c r="D47" s="4">
        <f>'Quantity Shares_1985-1998'!AJ49</f>
        <v>4.1040445558653742</v>
      </c>
    </row>
    <row r="48" spans="4:21" x14ac:dyDescent="0.2">
      <c r="D48" s="4">
        <f>'Quantity Shares_1985-1998'!AJ50</f>
        <v>3.0695840342022569</v>
      </c>
    </row>
    <row r="49" spans="3:4" x14ac:dyDescent="0.2">
      <c r="C49">
        <v>1987</v>
      </c>
      <c r="D49" s="4">
        <f>'Quantity Shares_1985-1998'!AJ51</f>
        <v>2.8613968952779936</v>
      </c>
    </row>
    <row r="50" spans="3:4" x14ac:dyDescent="0.2">
      <c r="D50" s="4">
        <f>'Quantity Shares_1985-1998'!AJ52</f>
        <v>2.7762580415037439</v>
      </c>
    </row>
    <row r="51" spans="3:4" x14ac:dyDescent="0.2">
      <c r="D51" s="4">
        <f>'Quantity Shares_1985-1998'!AJ53</f>
        <v>3.1094319164082322</v>
      </c>
    </row>
    <row r="52" spans="3:4" x14ac:dyDescent="0.2">
      <c r="D52" s="4">
        <f>'Quantity Shares_1985-1998'!AJ54</f>
        <v>3.1096587267160594</v>
      </c>
    </row>
    <row r="53" spans="3:4" x14ac:dyDescent="0.2">
      <c r="D53" s="4">
        <f>'Quantity Shares_1985-1998'!AJ55</f>
        <v>3.9836917909622547</v>
      </c>
    </row>
    <row r="54" spans="3:4" x14ac:dyDescent="0.2">
      <c r="D54" s="4">
        <f>'Quantity Shares_1985-1998'!AJ56</f>
        <v>3.3825350390525886</v>
      </c>
    </row>
    <row r="55" spans="3:4" x14ac:dyDescent="0.2">
      <c r="D55" s="4">
        <f>'Quantity Shares_1985-1998'!AJ57</f>
        <v>4.0372746234018333</v>
      </c>
    </row>
    <row r="56" spans="3:4" x14ac:dyDescent="0.2">
      <c r="D56" s="4">
        <f>'Quantity Shares_1985-1998'!AJ58</f>
        <v>2.4356488303787378</v>
      </c>
    </row>
    <row r="57" spans="3:4" x14ac:dyDescent="0.2">
      <c r="D57" s="4">
        <f>'Quantity Shares_1985-1998'!AJ59</f>
        <v>4.0538134757673694</v>
      </c>
    </row>
    <row r="58" spans="3:4" x14ac:dyDescent="0.2">
      <c r="D58" s="4">
        <f>'Quantity Shares_1985-1998'!AJ60</f>
        <v>2.2886133520071961</v>
      </c>
    </row>
    <row r="59" spans="3:4" x14ac:dyDescent="0.2">
      <c r="D59" s="4">
        <f>'Quantity Shares_1985-1998'!AJ61</f>
        <v>2.0385034029908935</v>
      </c>
    </row>
    <row r="60" spans="3:4" x14ac:dyDescent="0.2">
      <c r="D60" s="4">
        <f>'Quantity Shares_1985-1998'!AJ62</f>
        <v>3.3234256097971628</v>
      </c>
    </row>
    <row r="61" spans="3:4" x14ac:dyDescent="0.2">
      <c r="D61" s="4">
        <f>'Quantity Shares_1985-1998'!AJ63</f>
        <v>2.487240204903808</v>
      </c>
    </row>
    <row r="62" spans="3:4" x14ac:dyDescent="0.2">
      <c r="D62" s="4">
        <f>'Quantity Shares_1985-1998'!AJ64</f>
        <v>3.6619849648050065</v>
      </c>
    </row>
    <row r="63" spans="3:4" x14ac:dyDescent="0.2">
      <c r="D63" s="4">
        <f>'Quantity Shares_1985-1998'!AJ65</f>
        <v>3.6107977511378437</v>
      </c>
    </row>
    <row r="64" spans="3:4" x14ac:dyDescent="0.2">
      <c r="D64" s="4">
        <f>'Quantity Shares_1985-1998'!AJ66</f>
        <v>3.3609868499377473</v>
      </c>
    </row>
    <row r="65" spans="3:4" x14ac:dyDescent="0.2">
      <c r="D65" s="4">
        <f>'Quantity Shares_1985-1998'!AJ67</f>
        <v>3.2411504321992695</v>
      </c>
    </row>
    <row r="66" spans="3:4" x14ac:dyDescent="0.2">
      <c r="D66" s="4">
        <f>'Quantity Shares_1985-1998'!AJ68</f>
        <v>3.400669379242327</v>
      </c>
    </row>
    <row r="67" spans="3:4" x14ac:dyDescent="0.2">
      <c r="D67" s="4">
        <f>'Quantity Shares_1985-1998'!AJ69</f>
        <v>3.3048027315710762</v>
      </c>
    </row>
    <row r="68" spans="3:4" x14ac:dyDescent="0.2">
      <c r="D68" s="4">
        <f>'Quantity Shares_1985-1998'!AJ70</f>
        <v>3.8919182232068859</v>
      </c>
    </row>
    <row r="69" spans="3:4" x14ac:dyDescent="0.2">
      <c r="D69" s="4">
        <f>'Quantity Shares_1985-1998'!AJ71</f>
        <v>3.1972534933381551</v>
      </c>
    </row>
    <row r="70" spans="3:4" x14ac:dyDescent="0.2">
      <c r="C70">
        <v>1988</v>
      </c>
      <c r="D70" s="4">
        <f>'Quantity Shares_1985-1998'!AJ72</f>
        <v>2.7782390298849409</v>
      </c>
    </row>
    <row r="71" spans="3:4" x14ac:dyDescent="0.2">
      <c r="D71" s="4">
        <f>'Quantity Shares_1985-1998'!AJ73</f>
        <v>2.6645048514366532</v>
      </c>
    </row>
    <row r="72" spans="3:4" x14ac:dyDescent="0.2">
      <c r="D72" s="4">
        <f>'Quantity Shares_1985-1998'!AJ74</f>
        <v>3.0178962361005981</v>
      </c>
    </row>
    <row r="73" spans="3:4" x14ac:dyDescent="0.2">
      <c r="D73" s="4">
        <f>'Quantity Shares_1985-1998'!AJ75</f>
        <v>3.0178962361005981</v>
      </c>
    </row>
    <row r="74" spans="3:4" x14ac:dyDescent="0.2">
      <c r="D74" s="4">
        <f>'Quantity Shares_1985-1998'!AJ76</f>
        <v>4.0686357806495819</v>
      </c>
    </row>
    <row r="75" spans="3:4" x14ac:dyDescent="0.2">
      <c r="D75" s="4">
        <f>'Quantity Shares_1985-1998'!AJ77</f>
        <v>3.116387125759283</v>
      </c>
    </row>
    <row r="76" spans="3:4" x14ac:dyDescent="0.2">
      <c r="D76" s="4">
        <f>'Quantity Shares_1985-1998'!AJ78</f>
        <v>4.2275431212646808</v>
      </c>
    </row>
    <row r="77" spans="3:4" x14ac:dyDescent="0.2">
      <c r="D77" s="4">
        <f>'Quantity Shares_1985-1998'!AJ79</f>
        <v>2.2619221083825387</v>
      </c>
    </row>
    <row r="78" spans="3:4" x14ac:dyDescent="0.2">
      <c r="D78" s="4">
        <f>'Quantity Shares_1985-1998'!AJ80</f>
        <v>4.0967292813437926</v>
      </c>
    </row>
    <row r="79" spans="3:4" x14ac:dyDescent="0.2">
      <c r="D79" s="4">
        <f>'Quantity Shares_1985-1998'!AJ81</f>
        <v>2.2266481580695126</v>
      </c>
    </row>
    <row r="80" spans="3:4" x14ac:dyDescent="0.2">
      <c r="D80" s="4">
        <f>'Quantity Shares_1985-1998'!AJ82</f>
        <v>1.9709558972732946</v>
      </c>
    </row>
    <row r="81" spans="3:4" x14ac:dyDescent="0.2">
      <c r="D81" s="4">
        <f>'Quantity Shares_1985-1998'!AJ83</f>
        <v>3.2342168556580209</v>
      </c>
    </row>
    <row r="82" spans="3:4" x14ac:dyDescent="0.2">
      <c r="D82" s="4">
        <f>'Quantity Shares_1985-1998'!AJ84</f>
        <v>2.4273795276173957</v>
      </c>
    </row>
    <row r="83" spans="3:4" x14ac:dyDescent="0.2">
      <c r="D83" s="4">
        <f>'Quantity Shares_1985-1998'!AJ85</f>
        <v>3.5129451783709857</v>
      </c>
    </row>
    <row r="84" spans="3:4" x14ac:dyDescent="0.2">
      <c r="D84" s="4">
        <f>'Quantity Shares_1985-1998'!AJ86</f>
        <v>3.6001297482169257</v>
      </c>
    </row>
    <row r="85" spans="3:4" x14ac:dyDescent="0.2">
      <c r="D85" s="4">
        <f>'Quantity Shares_1985-1998'!AJ87</f>
        <v>3.376398774566979</v>
      </c>
    </row>
    <row r="86" spans="3:4" x14ac:dyDescent="0.2">
      <c r="D86" s="4">
        <f>'Quantity Shares_1985-1998'!AJ88</f>
        <v>3.1321768589636938</v>
      </c>
    </row>
    <row r="87" spans="3:4" x14ac:dyDescent="0.2">
      <c r="D87" s="4">
        <f>'Quantity Shares_1985-1998'!AJ89</f>
        <v>3.3916794734532525</v>
      </c>
    </row>
    <row r="88" spans="3:4" x14ac:dyDescent="0.2">
      <c r="D88" s="4">
        <f>'Quantity Shares_1985-1998'!AJ90</f>
        <v>3.2608588855961069</v>
      </c>
    </row>
    <row r="89" spans="3:4" x14ac:dyDescent="0.2">
      <c r="D89" s="4">
        <f>'Quantity Shares_1985-1998'!AJ91</f>
        <v>3.9449745638038189</v>
      </c>
    </row>
    <row r="90" spans="3:4" x14ac:dyDescent="0.2">
      <c r="D90" s="4">
        <f>'Quantity Shares_1985-1998'!AJ92</f>
        <v>3.4119393974800314</v>
      </c>
    </row>
    <row r="91" spans="3:4" x14ac:dyDescent="0.2">
      <c r="C91">
        <v>1989</v>
      </c>
      <c r="D91" s="4">
        <f>'Quantity Shares_1985-1998'!AJ93</f>
        <v>2.7676846551188143</v>
      </c>
    </row>
    <row r="92" spans="3:4" x14ac:dyDescent="0.2">
      <c r="D92" s="4">
        <f>'Quantity Shares_1985-1998'!AJ94</f>
        <v>2.6023782703889573</v>
      </c>
    </row>
    <row r="93" spans="3:4" x14ac:dyDescent="0.2">
      <c r="D93" s="4">
        <f>'Quantity Shares_1985-1998'!AJ95</f>
        <v>3.1495681840825727</v>
      </c>
    </row>
    <row r="94" spans="3:4" x14ac:dyDescent="0.2">
      <c r="D94" s="4">
        <f>'Quantity Shares_1985-1998'!AJ96</f>
        <v>3.1311073759941439</v>
      </c>
    </row>
    <row r="95" spans="3:4" x14ac:dyDescent="0.2">
      <c r="D95" s="4">
        <f>'Quantity Shares_1985-1998'!AJ97</f>
        <v>4.0460359764692893</v>
      </c>
    </row>
    <row r="96" spans="3:4" x14ac:dyDescent="0.2">
      <c r="D96" s="4">
        <f>'Quantity Shares_1985-1998'!AJ98</f>
        <v>3.3939780628094933</v>
      </c>
    </row>
    <row r="97" spans="3:4" x14ac:dyDescent="0.2">
      <c r="D97" s="4">
        <f>'Quantity Shares_1985-1998'!AJ99</f>
        <v>4.0532805741844191</v>
      </c>
    </row>
    <row r="98" spans="3:4" x14ac:dyDescent="0.2">
      <c r="D98" s="4">
        <f>'Quantity Shares_1985-1998'!AJ100</f>
        <v>2.3303951614726239</v>
      </c>
    </row>
    <row r="99" spans="3:4" x14ac:dyDescent="0.2">
      <c r="D99" s="4">
        <f>'Quantity Shares_1985-1998'!AJ101</f>
        <v>4.1040270016728382</v>
      </c>
    </row>
    <row r="100" spans="3:4" x14ac:dyDescent="0.2">
      <c r="D100" s="4">
        <f>'Quantity Shares_1985-1998'!AJ102</f>
        <v>2.2403548330972467</v>
      </c>
    </row>
    <row r="101" spans="3:4" x14ac:dyDescent="0.2">
      <c r="D101" s="4">
        <f>'Quantity Shares_1985-1998'!AJ103</f>
        <v>1.9837323636347053</v>
      </c>
    </row>
    <row r="102" spans="3:4" x14ac:dyDescent="0.2">
      <c r="D102" s="4">
        <f>'Quantity Shares_1985-1998'!AJ104</f>
        <v>3.3320833979314393</v>
      </c>
    </row>
    <row r="103" spans="3:4" x14ac:dyDescent="0.2">
      <c r="D103" s="4">
        <f>'Quantity Shares_1985-1998'!AJ105</f>
        <v>2.4089874960624593</v>
      </c>
    </row>
    <row r="104" spans="3:4" x14ac:dyDescent="0.2">
      <c r="D104" s="4">
        <f>'Quantity Shares_1985-1998'!AJ106</f>
        <v>3.4907630544402886</v>
      </c>
    </row>
    <row r="105" spans="3:4" x14ac:dyDescent="0.2">
      <c r="D105" s="4">
        <f>'Quantity Shares_1985-1998'!AJ107</f>
        <v>3.6689471734988719</v>
      </c>
    </row>
    <row r="106" spans="3:4" x14ac:dyDescent="0.2">
      <c r="D106" s="4">
        <f>'Quantity Shares_1985-1998'!AJ108</f>
        <v>3.4465706914744043</v>
      </c>
    </row>
    <row r="107" spans="3:4" x14ac:dyDescent="0.2">
      <c r="D107" s="4">
        <f>'Quantity Shares_1985-1998'!AJ109</f>
        <v>3.2498762167474684</v>
      </c>
    </row>
    <row r="108" spans="3:4" x14ac:dyDescent="0.2">
      <c r="D108" s="4">
        <f>'Quantity Shares_1985-1998'!AJ110</f>
        <v>3.488761969908587</v>
      </c>
    </row>
    <row r="109" spans="3:4" x14ac:dyDescent="0.2">
      <c r="D109" s="4">
        <f>'Quantity Shares_1985-1998'!AJ111</f>
        <v>3.2708797551505975</v>
      </c>
    </row>
    <row r="110" spans="3:4" x14ac:dyDescent="0.2">
      <c r="D110" s="4">
        <f>'Quantity Shares_1985-1998'!AJ112</f>
        <v>3.9475526831948229</v>
      </c>
    </row>
    <row r="111" spans="3:4" x14ac:dyDescent="0.2">
      <c r="D111" s="4">
        <f>'Quantity Shares_1985-1998'!AJ113</f>
        <v>3.594995351555919</v>
      </c>
    </row>
    <row r="112" spans="3:4" x14ac:dyDescent="0.2">
      <c r="C112">
        <v>1990</v>
      </c>
      <c r="D112" s="4">
        <f>'Quantity Shares_1985-1998'!AJ114</f>
        <v>2.7865229663855535</v>
      </c>
    </row>
    <row r="113" spans="4:4" x14ac:dyDescent="0.2">
      <c r="D113" s="4">
        <f>'Quantity Shares_1985-1998'!AJ115</f>
        <v>2.5612210892523848</v>
      </c>
    </row>
    <row r="114" spans="4:4" x14ac:dyDescent="0.2">
      <c r="D114" s="4">
        <f>'Quantity Shares_1985-1998'!AJ116</f>
        <v>3.3193216475298848</v>
      </c>
    </row>
    <row r="115" spans="4:4" x14ac:dyDescent="0.2">
      <c r="D115" s="4">
        <f>'Quantity Shares_1985-1998'!AJ117</f>
        <v>3.2903827909284171</v>
      </c>
    </row>
    <row r="116" spans="4:4" x14ac:dyDescent="0.2">
      <c r="D116" s="4">
        <f>'Quantity Shares_1985-1998'!AJ118</f>
        <v>4.1000673422207363</v>
      </c>
    </row>
    <row r="117" spans="4:4" x14ac:dyDescent="0.2">
      <c r="D117" s="4">
        <f>'Quantity Shares_1985-1998'!AJ119</f>
        <v>3.6460468031081508</v>
      </c>
    </row>
    <row r="118" spans="4:4" x14ac:dyDescent="0.2">
      <c r="D118" s="4">
        <f>'Quantity Shares_1985-1998'!AJ120</f>
        <v>4.1919837481795597</v>
      </c>
    </row>
    <row r="119" spans="4:4" x14ac:dyDescent="0.2">
      <c r="D119" s="4">
        <f>'Quantity Shares_1985-1998'!AJ121</f>
        <v>2.427441992229868</v>
      </c>
    </row>
    <row r="120" spans="4:4" x14ac:dyDescent="0.2">
      <c r="D120" s="4">
        <f>'Quantity Shares_1985-1998'!AJ122</f>
        <v>4.0747824349777044</v>
      </c>
    </row>
    <row r="121" spans="4:4" x14ac:dyDescent="0.2">
      <c r="D121" s="4">
        <f>'Quantity Shares_1985-1998'!AJ123</f>
        <v>2.2994996167131996</v>
      </c>
    </row>
    <row r="122" spans="4:4" x14ac:dyDescent="0.2">
      <c r="D122" s="4">
        <f>'Quantity Shares_1985-1998'!AJ124</f>
        <v>1.996289256325912</v>
      </c>
    </row>
    <row r="123" spans="4:4" x14ac:dyDescent="0.2">
      <c r="D123" s="4">
        <f>'Quantity Shares_1985-1998'!AJ125</f>
        <v>3.4002563288866079</v>
      </c>
    </row>
    <row r="124" spans="4:4" x14ac:dyDescent="0.2">
      <c r="D124" s="4">
        <f>'Quantity Shares_1985-1998'!AJ126</f>
        <v>2.4070137804532634</v>
      </c>
    </row>
    <row r="125" spans="4:4" x14ac:dyDescent="0.2">
      <c r="D125" s="4">
        <f>'Quantity Shares_1985-1998'!AJ127</f>
        <v>3.4744848382455213</v>
      </c>
    </row>
    <row r="126" spans="4:4" x14ac:dyDescent="0.2">
      <c r="D126" s="4">
        <f>'Quantity Shares_1985-1998'!AJ128</f>
        <v>3.7088053598223696</v>
      </c>
    </row>
    <row r="127" spans="4:4" x14ac:dyDescent="0.2">
      <c r="D127" s="4">
        <f>'Quantity Shares_1985-1998'!AJ129</f>
        <v>3.5100264975185902</v>
      </c>
    </row>
    <row r="128" spans="4:4" x14ac:dyDescent="0.2">
      <c r="D128" s="4">
        <f>'Quantity Shares_1985-1998'!AJ130</f>
        <v>3.3900080994293496</v>
      </c>
    </row>
    <row r="129" spans="3:4" x14ac:dyDescent="0.2">
      <c r="D129" s="4">
        <f>'Quantity Shares_1985-1998'!AJ131</f>
        <v>3.6394973223284368</v>
      </c>
    </row>
    <row r="130" spans="3:4" x14ac:dyDescent="0.2">
      <c r="D130" s="4">
        <f>'Quantity Shares_1985-1998'!AJ132</f>
        <v>3.2951972040699484</v>
      </c>
    </row>
    <row r="131" spans="3:4" x14ac:dyDescent="0.2">
      <c r="D131" s="4">
        <f>'Quantity Shares_1985-1998'!AJ133</f>
        <v>3.9855485775325823</v>
      </c>
    </row>
    <row r="132" spans="3:4" x14ac:dyDescent="0.2">
      <c r="D132" s="4">
        <f>'Quantity Shares_1985-1998'!AJ134</f>
        <v>3.7574834502153762</v>
      </c>
    </row>
    <row r="133" spans="3:4" x14ac:dyDescent="0.2">
      <c r="C133">
        <v>1991</v>
      </c>
      <c r="D133" s="4">
        <f>'Quantity Shares_1985-1998'!AJ135</f>
        <v>2.5681326499033394</v>
      </c>
    </row>
    <row r="134" spans="3:4" x14ac:dyDescent="0.2">
      <c r="D134" s="4">
        <f>'Quantity Shares_1985-1998'!AJ136</f>
        <v>2.3600037723114458</v>
      </c>
    </row>
    <row r="135" spans="3:4" x14ac:dyDescent="0.2">
      <c r="D135" s="4">
        <f>'Quantity Shares_1985-1998'!AJ137</f>
        <v>3.1211935042271093</v>
      </c>
    </row>
    <row r="136" spans="3:4" x14ac:dyDescent="0.2">
      <c r="D136" s="4">
        <f>'Quantity Shares_1985-1998'!AJ138</f>
        <v>3.1055060230524116</v>
      </c>
    </row>
    <row r="137" spans="3:4" x14ac:dyDescent="0.2">
      <c r="D137" s="4">
        <f>'Quantity Shares_1985-1998'!AJ139</f>
        <v>3.8089620728423221</v>
      </c>
    </row>
    <row r="138" spans="3:4" x14ac:dyDescent="0.2">
      <c r="D138" s="4">
        <f>'Quantity Shares_1985-1998'!AJ140</f>
        <v>3.2492948077667072</v>
      </c>
    </row>
    <row r="139" spans="3:4" x14ac:dyDescent="0.2">
      <c r="D139" s="4">
        <f>'Quantity Shares_1985-1998'!AJ141</f>
        <v>4.0250531143581085</v>
      </c>
    </row>
    <row r="140" spans="3:4" x14ac:dyDescent="0.2">
      <c r="D140" s="4">
        <f>'Quantity Shares_1985-1998'!AJ142</f>
        <v>2.251487013990312</v>
      </c>
    </row>
    <row r="141" spans="3:4" x14ac:dyDescent="0.2">
      <c r="D141" s="4">
        <f>'Quantity Shares_1985-1998'!AJ143</f>
        <v>3.760925562988104</v>
      </c>
    </row>
    <row r="142" spans="3:4" x14ac:dyDescent="0.2">
      <c r="D142" s="4">
        <f>'Quantity Shares_1985-1998'!AJ144</f>
        <v>2.1274994175679098</v>
      </c>
    </row>
    <row r="143" spans="3:4" x14ac:dyDescent="0.2">
      <c r="D143" s="4">
        <f>'Quantity Shares_1985-1998'!AJ145</f>
        <v>1.8344599999188993</v>
      </c>
    </row>
    <row r="144" spans="3:4" x14ac:dyDescent="0.2">
      <c r="D144" s="4">
        <f>'Quantity Shares_1985-1998'!AJ146</f>
        <v>3.211774778911384</v>
      </c>
    </row>
    <row r="145" spans="3:4" x14ac:dyDescent="0.2">
      <c r="D145" s="4">
        <f>'Quantity Shares_1985-1998'!AJ147</f>
        <v>2.2567944665955038</v>
      </c>
    </row>
    <row r="146" spans="3:4" x14ac:dyDescent="0.2">
      <c r="D146" s="4">
        <f>'Quantity Shares_1985-1998'!AJ148</f>
        <v>3.3147409038765807</v>
      </c>
    </row>
    <row r="147" spans="3:4" x14ac:dyDescent="0.2">
      <c r="D147" s="4">
        <f>'Quantity Shares_1985-1998'!AJ149</f>
        <v>3.4919767358243243</v>
      </c>
    </row>
    <row r="148" spans="3:4" x14ac:dyDescent="0.2">
      <c r="D148" s="4">
        <f>'Quantity Shares_1985-1998'!AJ150</f>
        <v>3.3178316676880151</v>
      </c>
    </row>
    <row r="149" spans="3:4" x14ac:dyDescent="0.2">
      <c r="D149" s="4">
        <f>'Quantity Shares_1985-1998'!AJ151</f>
        <v>3.2397939403335458</v>
      </c>
    </row>
    <row r="150" spans="3:4" x14ac:dyDescent="0.2">
      <c r="D150" s="4">
        <f>'Quantity Shares_1985-1998'!AJ152</f>
        <v>3.4468603570319862</v>
      </c>
    </row>
    <row r="151" spans="3:4" x14ac:dyDescent="0.2">
      <c r="D151" s="4">
        <f>'Quantity Shares_1985-1998'!AJ153</f>
        <v>3.0555454845083574</v>
      </c>
    </row>
    <row r="152" spans="3:4" x14ac:dyDescent="0.2">
      <c r="D152" s="4">
        <f>'Quantity Shares_1985-1998'!AJ154</f>
        <v>3.6676528530890491</v>
      </c>
    </row>
    <row r="153" spans="3:4" x14ac:dyDescent="0.2">
      <c r="D153" s="4">
        <f>'Quantity Shares_1985-1998'!AJ155</f>
        <v>3.6443249349020843</v>
      </c>
    </row>
    <row r="154" spans="3:4" x14ac:dyDescent="0.2">
      <c r="C154">
        <v>1992</v>
      </c>
      <c r="D154" s="4">
        <f>'Quantity Shares_1985-1998'!AJ156</f>
        <v>2.5997992991609848</v>
      </c>
    </row>
    <row r="155" spans="3:4" x14ac:dyDescent="0.2">
      <c r="D155" s="4">
        <f>'Quantity Shares_1985-1998'!AJ157</f>
        <v>2.4663535002350709</v>
      </c>
    </row>
    <row r="156" spans="3:4" x14ac:dyDescent="0.2">
      <c r="D156" s="4">
        <f>'Quantity Shares_1985-1998'!AJ158</f>
        <v>3.1396936094115966</v>
      </c>
    </row>
    <row r="157" spans="3:4" x14ac:dyDescent="0.2">
      <c r="D157" s="4">
        <f>'Quantity Shares_1985-1998'!AJ159</f>
        <v>3.1274564781089622</v>
      </c>
    </row>
    <row r="158" spans="3:4" x14ac:dyDescent="0.2">
      <c r="D158" s="4">
        <f>'Quantity Shares_1985-1998'!AJ160</f>
        <v>3.8723390064291938</v>
      </c>
    </row>
    <row r="159" spans="3:4" x14ac:dyDescent="0.2">
      <c r="D159" s="4">
        <f>'Quantity Shares_1985-1998'!AJ161</f>
        <v>3.3032167480184866</v>
      </c>
    </row>
    <row r="160" spans="3:4" x14ac:dyDescent="0.2">
      <c r="D160" s="4">
        <f>'Quantity Shares_1985-1998'!AJ162</f>
        <v>4.0282078960394347</v>
      </c>
    </row>
    <row r="161" spans="3:4" x14ac:dyDescent="0.2">
      <c r="D161" s="4">
        <f>'Quantity Shares_1985-1998'!AJ163</f>
        <v>2.2575024920142193</v>
      </c>
    </row>
    <row r="162" spans="3:4" x14ac:dyDescent="0.2">
      <c r="D162" s="4">
        <f>'Quantity Shares_1985-1998'!AJ164</f>
        <v>3.9298008687150054</v>
      </c>
    </row>
    <row r="163" spans="3:4" x14ac:dyDescent="0.2">
      <c r="D163" s="4">
        <f>'Quantity Shares_1985-1998'!AJ165</f>
        <v>2.2058351820113682</v>
      </c>
    </row>
    <row r="164" spans="3:4" x14ac:dyDescent="0.2">
      <c r="D164" s="4">
        <f>'Quantity Shares_1985-1998'!AJ166</f>
        <v>1.9396149361400343</v>
      </c>
    </row>
    <row r="165" spans="3:4" x14ac:dyDescent="0.2">
      <c r="D165" s="4">
        <f>'Quantity Shares_1985-1998'!AJ167</f>
        <v>3.2930050831468556</v>
      </c>
    </row>
    <row r="166" spans="3:4" x14ac:dyDescent="0.2">
      <c r="D166" s="4">
        <f>'Quantity Shares_1985-1998'!AJ168</f>
        <v>2.485356218409283</v>
      </c>
    </row>
    <row r="167" spans="3:4" x14ac:dyDescent="0.2">
      <c r="D167" s="4">
        <f>'Quantity Shares_1985-1998'!AJ169</f>
        <v>3.3790846122350997</v>
      </c>
    </row>
    <row r="168" spans="3:4" x14ac:dyDescent="0.2">
      <c r="D168" s="4">
        <f>'Quantity Shares_1985-1998'!AJ170</f>
        <v>3.5593749073586607</v>
      </c>
    </row>
    <row r="169" spans="3:4" x14ac:dyDescent="0.2">
      <c r="D169" s="4">
        <f>'Quantity Shares_1985-1998'!AJ171</f>
        <v>3.3828609778723169</v>
      </c>
    </row>
    <row r="170" spans="3:4" x14ac:dyDescent="0.2">
      <c r="D170" s="4">
        <f>'Quantity Shares_1985-1998'!AJ172</f>
        <v>3.1793093657498273</v>
      </c>
    </row>
    <row r="171" spans="3:4" x14ac:dyDescent="0.2">
      <c r="D171" s="4">
        <f>'Quantity Shares_1985-1998'!AJ173</f>
        <v>3.533499580674996</v>
      </c>
    </row>
    <row r="172" spans="3:4" x14ac:dyDescent="0.2">
      <c r="D172" s="4">
        <f>'Quantity Shares_1985-1998'!AJ174</f>
        <v>3.1016970063427993</v>
      </c>
    </row>
    <row r="173" spans="3:4" x14ac:dyDescent="0.2">
      <c r="D173" s="4">
        <f>'Quantity Shares_1985-1998'!AJ175</f>
        <v>3.7795763680501797</v>
      </c>
    </row>
    <row r="174" spans="3:4" x14ac:dyDescent="0.2">
      <c r="D174" s="4">
        <f>'Quantity Shares_1985-1998'!AJ176</f>
        <v>3.7035360890878168</v>
      </c>
    </row>
    <row r="175" spans="3:4" x14ac:dyDescent="0.2">
      <c r="C175">
        <v>1993</v>
      </c>
      <c r="D175" s="4">
        <f>'Quantity Shares_1985-1998'!AJ177</f>
        <v>2.7289635774747527</v>
      </c>
    </row>
    <row r="176" spans="3:4" x14ac:dyDescent="0.2">
      <c r="D176" s="4">
        <f>'Quantity Shares_1985-1998'!AJ178</f>
        <v>2.6491874080404711</v>
      </c>
    </row>
    <row r="177" spans="4:4" x14ac:dyDescent="0.2">
      <c r="D177" s="4">
        <f>'Quantity Shares_1985-1998'!AJ179</f>
        <v>3.2411633317376394</v>
      </c>
    </row>
    <row r="178" spans="4:4" x14ac:dyDescent="0.2">
      <c r="D178" s="4">
        <f>'Quantity Shares_1985-1998'!AJ180</f>
        <v>3.231118595024931</v>
      </c>
    </row>
    <row r="179" spans="4:4" x14ac:dyDescent="0.2">
      <c r="D179" s="4">
        <f>'Quantity Shares_1985-1998'!AJ181</f>
        <v>4.0683086124444188</v>
      </c>
    </row>
    <row r="180" spans="4:4" x14ac:dyDescent="0.2">
      <c r="D180" s="4">
        <f>'Quantity Shares_1985-1998'!AJ182</f>
        <v>3.3975064301173732</v>
      </c>
    </row>
    <row r="181" spans="4:4" x14ac:dyDescent="0.2">
      <c r="D181" s="4">
        <f>'Quantity Shares_1985-1998'!AJ183</f>
        <v>4.2044108248178986</v>
      </c>
    </row>
    <row r="182" spans="4:4" x14ac:dyDescent="0.2">
      <c r="D182" s="4">
        <f>'Quantity Shares_1985-1998'!AJ184</f>
        <v>2.3540681277021336</v>
      </c>
    </row>
    <row r="183" spans="4:4" x14ac:dyDescent="0.2">
      <c r="D183" s="4">
        <f>'Quantity Shares_1985-1998'!AJ185</f>
        <v>4.1895377248660504</v>
      </c>
    </row>
    <row r="184" spans="4:4" x14ac:dyDescent="0.2">
      <c r="D184" s="4">
        <f>'Quantity Shares_1985-1998'!AJ186</f>
        <v>2.3973723421907183</v>
      </c>
    </row>
    <row r="185" spans="4:4" x14ac:dyDescent="0.2">
      <c r="D185" s="4">
        <f>'Quantity Shares_1985-1998'!AJ187</f>
        <v>2.1261467121769986</v>
      </c>
    </row>
    <row r="186" spans="4:4" x14ac:dyDescent="0.2">
      <c r="D186" s="4">
        <f>'Quantity Shares_1985-1998'!AJ188</f>
        <v>3.4974731216781607</v>
      </c>
    </row>
    <row r="187" spans="4:4" x14ac:dyDescent="0.2">
      <c r="D187" s="4">
        <f>'Quantity Shares_1985-1998'!AJ189</f>
        <v>2.7816776088552109</v>
      </c>
    </row>
    <row r="188" spans="4:4" x14ac:dyDescent="0.2">
      <c r="D188" s="4">
        <f>'Quantity Shares_1985-1998'!AJ190</f>
        <v>3.5287144057404038</v>
      </c>
    </row>
    <row r="189" spans="4:4" x14ac:dyDescent="0.2">
      <c r="D189" s="4">
        <f>'Quantity Shares_1985-1998'!AJ191</f>
        <v>3.7105254640095215</v>
      </c>
    </row>
    <row r="190" spans="4:4" x14ac:dyDescent="0.2">
      <c r="D190" s="4">
        <f>'Quantity Shares_1985-1998'!AJ192</f>
        <v>3.593036912602483</v>
      </c>
    </row>
    <row r="191" spans="4:4" x14ac:dyDescent="0.2">
      <c r="D191" s="4">
        <f>'Quantity Shares_1985-1998'!AJ193</f>
        <v>3.3233824984898468</v>
      </c>
    </row>
    <row r="192" spans="4:4" x14ac:dyDescent="0.2">
      <c r="D192" s="4">
        <f>'Quantity Shares_1985-1998'!AJ194</f>
        <v>3.7504839658323692</v>
      </c>
    </row>
    <row r="193" spans="3:4" x14ac:dyDescent="0.2">
      <c r="D193" s="4">
        <f>'Quantity Shares_1985-1998'!AJ195</f>
        <v>3.239243587590332</v>
      </c>
    </row>
    <row r="194" spans="3:4" x14ac:dyDescent="0.2">
      <c r="D194" s="4">
        <f>'Quantity Shares_1985-1998'!AJ196</f>
        <v>4.0014595554948658</v>
      </c>
    </row>
    <row r="195" spans="3:4" x14ac:dyDescent="0.2">
      <c r="D195" s="4">
        <f>'Quantity Shares_1985-1998'!AJ197</f>
        <v>3.8603078261737021</v>
      </c>
    </row>
    <row r="196" spans="3:4" x14ac:dyDescent="0.2">
      <c r="C196">
        <v>1994</v>
      </c>
      <c r="D196" s="4">
        <f>'Quantity Shares_1985-1998'!AJ198</f>
        <v>2.6825601619782806</v>
      </c>
    </row>
    <row r="197" spans="3:4" x14ac:dyDescent="0.2">
      <c r="D197" s="4">
        <f>'Quantity Shares_1985-1998'!AJ199</f>
        <v>2.7397774893388864</v>
      </c>
    </row>
    <row r="198" spans="3:4" x14ac:dyDescent="0.2">
      <c r="D198" s="4">
        <f>'Quantity Shares_1985-1998'!AJ200</f>
        <v>3.1336299974056594</v>
      </c>
    </row>
    <row r="199" spans="3:4" x14ac:dyDescent="0.2">
      <c r="D199" s="4">
        <f>'Quantity Shares_1985-1998'!AJ201</f>
        <v>3.1336299974056594</v>
      </c>
    </row>
    <row r="200" spans="3:4" x14ac:dyDescent="0.2">
      <c r="D200" s="4">
        <f>'Quantity Shares_1985-1998'!AJ202</f>
        <v>3.9701295660547631</v>
      </c>
    </row>
    <row r="201" spans="3:4" x14ac:dyDescent="0.2">
      <c r="D201" s="4">
        <f>'Quantity Shares_1985-1998'!AJ203</f>
        <v>3.3421417184870719</v>
      </c>
    </row>
    <row r="202" spans="3:4" x14ac:dyDescent="0.2">
      <c r="D202" s="4">
        <f>'Quantity Shares_1985-1998'!AJ204</f>
        <v>4.182368269796612</v>
      </c>
    </row>
    <row r="203" spans="3:4" x14ac:dyDescent="0.2">
      <c r="D203" s="4">
        <f>'Quantity Shares_1985-1998'!AJ205</f>
        <v>2.3619661794414504</v>
      </c>
    </row>
    <row r="204" spans="3:4" x14ac:dyDescent="0.2">
      <c r="D204" s="4">
        <f>'Quantity Shares_1985-1998'!AJ206</f>
        <v>4.1802237026623725</v>
      </c>
    </row>
    <row r="205" spans="3:4" x14ac:dyDescent="0.2">
      <c r="D205" s="4">
        <f>'Quantity Shares_1985-1998'!AJ207</f>
        <v>2.3500085616977966</v>
      </c>
    </row>
    <row r="206" spans="3:4" x14ac:dyDescent="0.2">
      <c r="D206" s="4">
        <f>'Quantity Shares_1985-1998'!AJ208</f>
        <v>2.146292716061307</v>
      </c>
    </row>
    <row r="207" spans="3:4" x14ac:dyDescent="0.2">
      <c r="D207" s="4">
        <f>'Quantity Shares_1985-1998'!AJ209</f>
        <v>3.5502435400541215</v>
      </c>
    </row>
    <row r="208" spans="3:4" x14ac:dyDescent="0.2">
      <c r="D208" s="4">
        <f>'Quantity Shares_1985-1998'!AJ210</f>
        <v>2.9347317203580925</v>
      </c>
    </row>
    <row r="209" spans="3:4" x14ac:dyDescent="0.2">
      <c r="D209" s="4">
        <f>'Quantity Shares_1985-1998'!AJ211</f>
        <v>3.557611078462763</v>
      </c>
    </row>
    <row r="210" spans="3:4" x14ac:dyDescent="0.2">
      <c r="D210" s="4">
        <f>'Quantity Shares_1985-1998'!AJ212</f>
        <v>3.6071761053386573</v>
      </c>
    </row>
    <row r="211" spans="3:4" x14ac:dyDescent="0.2">
      <c r="D211" s="4">
        <f>'Quantity Shares_1985-1998'!AJ213</f>
        <v>3.5961991920549243</v>
      </c>
    </row>
    <row r="212" spans="3:4" x14ac:dyDescent="0.2">
      <c r="D212" s="4">
        <f>'Quantity Shares_1985-1998'!AJ214</f>
        <v>3.3341414515536827</v>
      </c>
    </row>
    <row r="213" spans="3:4" x14ac:dyDescent="0.2">
      <c r="D213" s="4">
        <f>'Quantity Shares_1985-1998'!AJ215</f>
        <v>3.6537907005483534</v>
      </c>
    </row>
    <row r="214" spans="3:4" x14ac:dyDescent="0.2">
      <c r="D214" s="4">
        <f>'Quantity Shares_1985-1998'!AJ216</f>
        <v>3.1852696351766552</v>
      </c>
    </row>
    <row r="215" spans="3:4" x14ac:dyDescent="0.2">
      <c r="D215" s="4">
        <f>'Quantity Shares_1985-1998'!AJ217</f>
        <v>3.9329175760692014</v>
      </c>
    </row>
    <row r="216" spans="3:4" x14ac:dyDescent="0.2">
      <c r="D216" s="4">
        <f>'Quantity Shares_1985-1998'!AJ218</f>
        <v>3.8336440458021848</v>
      </c>
    </row>
    <row r="217" spans="3:4" x14ac:dyDescent="0.2">
      <c r="C217">
        <v>1995</v>
      </c>
      <c r="D217" s="4">
        <f>'Quantity Shares_1985-1998'!AJ219</f>
        <v>2.4413449406576859</v>
      </c>
    </row>
    <row r="218" spans="3:4" x14ac:dyDescent="0.2">
      <c r="D218" s="4">
        <f>'Quantity Shares_1985-1998'!AJ220</f>
        <v>2.5845080538893583</v>
      </c>
    </row>
    <row r="219" spans="3:4" x14ac:dyDescent="0.2">
      <c r="D219" s="4">
        <f>'Quantity Shares_1985-1998'!AJ221</f>
        <v>2.9121957820462083</v>
      </c>
    </row>
    <row r="220" spans="3:4" x14ac:dyDescent="0.2">
      <c r="D220" s="4">
        <f>'Quantity Shares_1985-1998'!AJ222</f>
        <v>2.9636090751530304</v>
      </c>
    </row>
    <row r="221" spans="3:4" x14ac:dyDescent="0.2">
      <c r="D221" s="4">
        <f>'Quantity Shares_1985-1998'!AJ223</f>
        <v>3.5452653133493235</v>
      </c>
    </row>
    <row r="222" spans="3:4" x14ac:dyDescent="0.2">
      <c r="D222" s="4">
        <f>'Quantity Shares_1985-1998'!AJ224</f>
        <v>3.2875005896091731</v>
      </c>
    </row>
    <row r="223" spans="3:4" x14ac:dyDescent="0.2">
      <c r="D223" s="4">
        <f>'Quantity Shares_1985-1998'!AJ225</f>
        <v>3.6109563455866649</v>
      </c>
    </row>
    <row r="224" spans="3:4" x14ac:dyDescent="0.2">
      <c r="D224" s="4">
        <f>'Quantity Shares_1985-1998'!AJ226</f>
        <v>2.2550566532074665</v>
      </c>
    </row>
    <row r="225" spans="3:4" x14ac:dyDescent="0.2">
      <c r="D225" s="4">
        <f>'Quantity Shares_1985-1998'!AJ227</f>
        <v>3.7197629642932233</v>
      </c>
    </row>
    <row r="226" spans="3:4" x14ac:dyDescent="0.2">
      <c r="D226" s="4">
        <f>'Quantity Shares_1985-1998'!AJ228</f>
        <v>2.1209292115658913</v>
      </c>
    </row>
    <row r="227" spans="3:4" x14ac:dyDescent="0.2">
      <c r="D227" s="4">
        <f>'Quantity Shares_1985-1998'!AJ229</f>
        <v>1.9519690901371558</v>
      </c>
    </row>
    <row r="228" spans="3:4" x14ac:dyDescent="0.2">
      <c r="D228" s="4">
        <f>'Quantity Shares_1985-1998'!AJ230</f>
        <v>3.2503745533712372</v>
      </c>
    </row>
    <row r="229" spans="3:4" x14ac:dyDescent="0.2">
      <c r="D229" s="4">
        <f>'Quantity Shares_1985-1998'!AJ231</f>
        <v>2.6045833035544317</v>
      </c>
    </row>
    <row r="230" spans="3:4" x14ac:dyDescent="0.2">
      <c r="D230" s="4">
        <f>'Quantity Shares_1985-1998'!AJ232</f>
        <v>3.3136829338005116</v>
      </c>
    </row>
    <row r="231" spans="3:4" x14ac:dyDescent="0.2">
      <c r="D231" s="4">
        <f>'Quantity Shares_1985-1998'!AJ233</f>
        <v>3.2023116759863623</v>
      </c>
    </row>
    <row r="232" spans="3:4" x14ac:dyDescent="0.2">
      <c r="D232" s="4">
        <f>'Quantity Shares_1985-1998'!AJ234</f>
        <v>3.2390060801468694</v>
      </c>
    </row>
    <row r="233" spans="3:4" x14ac:dyDescent="0.2">
      <c r="D233" s="4">
        <f>'Quantity Shares_1985-1998'!AJ235</f>
        <v>3.1942460611380139</v>
      </c>
    </row>
    <row r="234" spans="3:4" x14ac:dyDescent="0.2">
      <c r="D234" s="4">
        <f>'Quantity Shares_1985-1998'!AJ236</f>
        <v>3.2277268134364165</v>
      </c>
    </row>
    <row r="235" spans="3:4" x14ac:dyDescent="0.2">
      <c r="D235" s="4">
        <f>'Quantity Shares_1985-1998'!AJ237</f>
        <v>2.9050751071661702</v>
      </c>
    </row>
    <row r="236" spans="3:4" x14ac:dyDescent="0.2">
      <c r="D236" s="4">
        <f>'Quantity Shares_1985-1998'!AJ238</f>
        <v>3.5673467892564785</v>
      </c>
    </row>
    <row r="237" spans="3:4" x14ac:dyDescent="0.2">
      <c r="D237" s="4">
        <f>'Quantity Shares_1985-1998'!AJ239</f>
        <v>3.5528108148603312</v>
      </c>
    </row>
    <row r="238" spans="3:4" x14ac:dyDescent="0.2">
      <c r="C238">
        <v>1996</v>
      </c>
      <c r="D238" s="4">
        <f>'Quantity Shares_1985-1998'!AJ240</f>
        <v>2.953147609050577</v>
      </c>
    </row>
    <row r="239" spans="3:4" x14ac:dyDescent="0.2">
      <c r="D239" s="4">
        <f>'Quantity Shares_1985-1998'!AJ241</f>
        <v>2.9269310987998618</v>
      </c>
    </row>
    <row r="240" spans="3:4" x14ac:dyDescent="0.2">
      <c r="D240" s="4">
        <f>'Quantity Shares_1985-1998'!AJ242</f>
        <v>3.5627749336051484</v>
      </c>
    </row>
    <row r="241" spans="4:4" x14ac:dyDescent="0.2">
      <c r="D241" s="4">
        <f>'Quantity Shares_1985-1998'!AJ243</f>
        <v>3.6740235263431194</v>
      </c>
    </row>
    <row r="242" spans="4:4" x14ac:dyDescent="0.2">
      <c r="D242" s="4">
        <f>'Quantity Shares_1985-1998'!AJ244</f>
        <v>4.3452861949910453</v>
      </c>
    </row>
    <row r="243" spans="4:4" x14ac:dyDescent="0.2">
      <c r="D243" s="4">
        <f>'Quantity Shares_1985-1998'!AJ245</f>
        <v>4.2014404061425878</v>
      </c>
    </row>
    <row r="244" spans="4:4" x14ac:dyDescent="0.2">
      <c r="D244" s="4">
        <f>'Quantity Shares_1985-1998'!AJ246</f>
        <v>4.0334620617794839</v>
      </c>
    </row>
    <row r="245" spans="4:4" x14ac:dyDescent="0.2">
      <c r="D245" s="4">
        <f>'Quantity Shares_1985-1998'!AJ247</f>
        <v>2.6100924128898284</v>
      </c>
    </row>
    <row r="246" spans="4:4" x14ac:dyDescent="0.2">
      <c r="D246" s="4">
        <f>'Quantity Shares_1985-1998'!AJ248</f>
        <v>4.4428437406937071</v>
      </c>
    </row>
    <row r="247" spans="4:4" x14ac:dyDescent="0.2">
      <c r="D247" s="4">
        <f>'Quantity Shares_1985-1998'!AJ249</f>
        <v>2.7256224498527311</v>
      </c>
    </row>
    <row r="248" spans="4:4" x14ac:dyDescent="0.2">
      <c r="D248" s="4">
        <f>'Quantity Shares_1985-1998'!AJ250</f>
        <v>2.4744034413438314</v>
      </c>
    </row>
    <row r="249" spans="4:4" x14ac:dyDescent="0.2">
      <c r="D249" s="4">
        <f>'Quantity Shares_1985-1998'!AJ251</f>
        <v>3.7788499424948658</v>
      </c>
    </row>
    <row r="250" spans="4:4" x14ac:dyDescent="0.2">
      <c r="D250" s="4">
        <f>'Quantity Shares_1985-1998'!AJ252</f>
        <v>2.9380762421502729</v>
      </c>
    </row>
    <row r="251" spans="4:4" x14ac:dyDescent="0.2">
      <c r="D251" s="4">
        <f>'Quantity Shares_1985-1998'!AJ253</f>
        <v>3.5453881322309537</v>
      </c>
    </row>
    <row r="252" spans="4:4" x14ac:dyDescent="0.2">
      <c r="D252" s="4">
        <f>'Quantity Shares_1985-1998'!AJ254</f>
        <v>3.9901095211163105</v>
      </c>
    </row>
    <row r="253" spans="4:4" x14ac:dyDescent="0.2">
      <c r="D253" s="4">
        <f>'Quantity Shares_1985-1998'!AJ255</f>
        <v>3.8790542231389331</v>
      </c>
    </row>
    <row r="254" spans="4:4" x14ac:dyDescent="0.2">
      <c r="D254" s="4">
        <f>'Quantity Shares_1985-1998'!AJ256</f>
        <v>3.567766464916307</v>
      </c>
    </row>
    <row r="255" spans="4:4" x14ac:dyDescent="0.2">
      <c r="D255" s="4">
        <f>'Quantity Shares_1985-1998'!AJ257</f>
        <v>4.0445789693682723</v>
      </c>
    </row>
    <row r="256" spans="4:4" x14ac:dyDescent="0.2">
      <c r="D256" s="4">
        <f>'Quantity Shares_1985-1998'!AJ258</f>
        <v>3.5553849417047383</v>
      </c>
    </row>
    <row r="257" spans="3:4" x14ac:dyDescent="0.2">
      <c r="D257" s="4">
        <f>'Quantity Shares_1985-1998'!AJ259</f>
        <v>4.4862796553469027</v>
      </c>
    </row>
    <row r="258" spans="3:4" x14ac:dyDescent="0.2">
      <c r="D258" s="4">
        <f>'Quantity Shares_1985-1998'!AJ260</f>
        <v>4.3668734623523022</v>
      </c>
    </row>
    <row r="259" spans="3:4" x14ac:dyDescent="0.2">
      <c r="C259">
        <v>1997</v>
      </c>
      <c r="D259" s="4">
        <f>'Quantity Shares_1985-1998'!AJ261</f>
        <v>3.1018722954108662</v>
      </c>
    </row>
    <row r="260" spans="3:4" x14ac:dyDescent="0.2">
      <c r="D260" s="4">
        <f>'Quantity Shares_1985-1998'!AJ262</f>
        <v>3.0360870304720189</v>
      </c>
    </row>
    <row r="261" spans="3:4" x14ac:dyDescent="0.2">
      <c r="D261" s="4">
        <f>'Quantity Shares_1985-1998'!AJ263</f>
        <v>3.662467814179613</v>
      </c>
    </row>
    <row r="262" spans="3:4" x14ac:dyDescent="0.2">
      <c r="D262" s="4">
        <f>'Quantity Shares_1985-1998'!AJ264</f>
        <v>3.8613419198185941</v>
      </c>
    </row>
    <row r="263" spans="3:4" x14ac:dyDescent="0.2">
      <c r="D263" s="4">
        <f>'Quantity Shares_1985-1998'!AJ265</f>
        <v>4.4941635086409955</v>
      </c>
    </row>
    <row r="264" spans="3:4" x14ac:dyDescent="0.2">
      <c r="D264" s="4">
        <f>'Quantity Shares_1985-1998'!AJ266</f>
        <v>4.4689022704391377</v>
      </c>
    </row>
    <row r="265" spans="3:4" x14ac:dyDescent="0.2">
      <c r="D265" s="4">
        <f>'Quantity Shares_1985-1998'!AJ267</f>
        <v>4.0841075396532283</v>
      </c>
    </row>
    <row r="266" spans="3:4" x14ac:dyDescent="0.2">
      <c r="D266" s="4">
        <f>'Quantity Shares_1985-1998'!AJ268</f>
        <v>2.7381532634136456</v>
      </c>
    </row>
    <row r="267" spans="3:4" x14ac:dyDescent="0.2">
      <c r="D267" s="4">
        <f>'Quantity Shares_1985-1998'!AJ269</f>
        <v>4.5648014851757157</v>
      </c>
    </row>
    <row r="268" spans="3:4" x14ac:dyDescent="0.2">
      <c r="D268" s="4">
        <f>'Quantity Shares_1985-1998'!AJ270</f>
        <v>2.883764711863213</v>
      </c>
    </row>
    <row r="269" spans="3:4" x14ac:dyDescent="0.2">
      <c r="D269" s="4">
        <f>'Quantity Shares_1985-1998'!AJ271</f>
        <v>2.6495379872007701</v>
      </c>
    </row>
    <row r="270" spans="3:4" x14ac:dyDescent="0.2">
      <c r="D270" s="4">
        <f>'Quantity Shares_1985-1998'!AJ272</f>
        <v>4.0370077442691379</v>
      </c>
    </row>
    <row r="271" spans="3:4" x14ac:dyDescent="0.2">
      <c r="D271" s="4">
        <f>'Quantity Shares_1985-1998'!AJ273</f>
        <v>2.9298204282112925</v>
      </c>
    </row>
    <row r="272" spans="3:4" x14ac:dyDescent="0.2">
      <c r="D272" s="4">
        <f>'Quantity Shares_1985-1998'!AJ274</f>
        <v>3.5935438521589154</v>
      </c>
    </row>
    <row r="273" spans="3:8" x14ac:dyDescent="0.2">
      <c r="D273" s="4">
        <f>'Quantity Shares_1985-1998'!AJ275</f>
        <v>4.1770063405547084</v>
      </c>
    </row>
    <row r="274" spans="3:8" x14ac:dyDescent="0.2">
      <c r="D274" s="4">
        <f>'Quantity Shares_1985-1998'!AJ276</f>
        <v>4.1767831045184458</v>
      </c>
    </row>
    <row r="275" spans="3:8" x14ac:dyDescent="0.2">
      <c r="D275" s="4">
        <f>'Quantity Shares_1985-1998'!AJ277</f>
        <v>3.9817620697823433</v>
      </c>
    </row>
    <row r="276" spans="3:8" x14ac:dyDescent="0.2">
      <c r="D276" s="4">
        <f>'Quantity Shares_1985-1998'!AJ278</f>
        <v>4.1978342646064695</v>
      </c>
    </row>
    <row r="277" spans="3:8" x14ac:dyDescent="0.2">
      <c r="D277" s="4">
        <f>'Quantity Shares_1985-1998'!AJ279</f>
        <v>3.697789173695285</v>
      </c>
    </row>
    <row r="278" spans="3:8" x14ac:dyDescent="0.2">
      <c r="D278" s="4">
        <f>'Quantity Shares_1985-1998'!AJ280</f>
        <v>4.7447020220251277</v>
      </c>
    </row>
    <row r="279" spans="3:8" x14ac:dyDescent="0.2">
      <c r="D279" s="4">
        <f>'Quantity Shares_1985-1998'!AJ281</f>
        <v>4.6200435418056589</v>
      </c>
      <c r="G279" t="s">
        <v>177</v>
      </c>
      <c r="H279" t="s">
        <v>178</v>
      </c>
    </row>
    <row r="280" spans="3:8" x14ac:dyDescent="0.2">
      <c r="C280">
        <v>1998</v>
      </c>
      <c r="D280" s="4">
        <f>'Quantity Shares_1985-1998'!AJ282</f>
        <v>2.7333606557377053</v>
      </c>
      <c r="E280" s="4">
        <f>'Plot Prices_1998forward'!D7</f>
        <v>2.7294452083457879</v>
      </c>
      <c r="F280" t="s">
        <v>10</v>
      </c>
      <c r="G280" s="4">
        <f>D280</f>
        <v>2.7333606557377053</v>
      </c>
      <c r="H280" s="4">
        <f>E280</f>
        <v>2.7294452083457879</v>
      </c>
    </row>
    <row r="281" spans="3:8" x14ac:dyDescent="0.2">
      <c r="D281" s="4">
        <f>'Quantity Shares_1985-1998'!AJ283</f>
        <v>2.7516455696202535</v>
      </c>
      <c r="E281" s="4">
        <f>'Plot Prices_1998forward'!D8</f>
        <v>2.7241463414634151</v>
      </c>
      <c r="F281" t="s">
        <v>12</v>
      </c>
      <c r="G281" s="4">
        <f t="shared" ref="G281:G300" si="6">D281</f>
        <v>2.7516455696202535</v>
      </c>
      <c r="H281" s="4">
        <f t="shared" ref="H281:H300" si="7">E281</f>
        <v>2.7241463414634151</v>
      </c>
    </row>
    <row r="282" spans="3:8" x14ac:dyDescent="0.2">
      <c r="D282" s="4">
        <f>'Quantity Shares_1985-1998'!AJ284</f>
        <v>3.1508571428571424</v>
      </c>
      <c r="E282" s="4">
        <f>'Plot Prices_1998forward'!D9</f>
        <v>3.0717419354838711</v>
      </c>
      <c r="F282" t="s">
        <v>14</v>
      </c>
      <c r="G282" s="4">
        <f t="shared" si="6"/>
        <v>3.1508571428571424</v>
      </c>
      <c r="H282" s="4">
        <f t="shared" si="7"/>
        <v>3.0717419354838711</v>
      </c>
    </row>
    <row r="283" spans="3:8" x14ac:dyDescent="0.2">
      <c r="D283" s="4">
        <f>'Quantity Shares_1985-1998'!AJ285</f>
        <v>3.3853773584905662</v>
      </c>
      <c r="E283" s="4">
        <f>'Plot Prices_1998forward'!D10</f>
        <v>3.3820689655172407</v>
      </c>
      <c r="F283" t="s">
        <v>16</v>
      </c>
      <c r="G283" s="4">
        <f t="shared" si="6"/>
        <v>3.3853773584905662</v>
      </c>
      <c r="H283" s="4">
        <f t="shared" si="7"/>
        <v>3.3820689655172407</v>
      </c>
    </row>
    <row r="284" spans="3:8" x14ac:dyDescent="0.2">
      <c r="D284" s="4">
        <f>'Quantity Shares_1985-1998'!AJ286</f>
        <v>3.8189285714285721</v>
      </c>
      <c r="E284" s="4">
        <f>'Plot Prices_1998forward'!D11</f>
        <v>3.6429032258064509</v>
      </c>
      <c r="F284" t="s">
        <v>18</v>
      </c>
      <c r="G284" s="4">
        <f t="shared" si="6"/>
        <v>3.8189285714285721</v>
      </c>
      <c r="H284" s="4">
        <f t="shared" si="7"/>
        <v>3.6429032258064509</v>
      </c>
    </row>
    <row r="285" spans="3:8" x14ac:dyDescent="0.2">
      <c r="D285" s="4">
        <f>'Quantity Shares_1985-1998'!AJ287</f>
        <v>3.960612244897959</v>
      </c>
      <c r="E285" s="4">
        <f>'Plot Prices_1998forward'!D12</f>
        <v>3.9314000000000009</v>
      </c>
      <c r="F285" t="s">
        <v>20</v>
      </c>
      <c r="G285" s="4">
        <f t="shared" si="6"/>
        <v>3.960612244897959</v>
      </c>
      <c r="H285" s="4">
        <f t="shared" si="7"/>
        <v>3.9314000000000009</v>
      </c>
    </row>
    <row r="286" spans="3:8" x14ac:dyDescent="0.2">
      <c r="D286" s="4">
        <f>'Quantity Shares_1985-1998'!AJ288</f>
        <v>3.3405434782608698</v>
      </c>
      <c r="E286" s="4">
        <f>'Plot Prices_1998forward'!D13</f>
        <v>2.65978955453149</v>
      </c>
      <c r="F286" t="s">
        <v>22</v>
      </c>
      <c r="G286" s="4">
        <f t="shared" si="6"/>
        <v>3.3405434782608698</v>
      </c>
      <c r="H286" s="4">
        <f t="shared" si="7"/>
        <v>2.65978955453149</v>
      </c>
    </row>
    <row r="287" spans="3:8" x14ac:dyDescent="0.2">
      <c r="D287" s="4">
        <f>'Quantity Shares_1985-1998'!AJ289</f>
        <v>2.4317412451361871</v>
      </c>
      <c r="E287" s="4">
        <f>'Plot Prices_1998forward'!D14</f>
        <v>2.3521324036124911</v>
      </c>
      <c r="F287" t="s">
        <v>24</v>
      </c>
      <c r="G287" s="4">
        <f t="shared" si="6"/>
        <v>2.4317412451361871</v>
      </c>
      <c r="H287" s="4">
        <f t="shared" si="7"/>
        <v>2.3521324036124911</v>
      </c>
    </row>
    <row r="288" spans="3:8" x14ac:dyDescent="0.2">
      <c r="D288" s="4">
        <f>'Quantity Shares_1985-1998'!AJ290</f>
        <v>3.9662958843159064</v>
      </c>
      <c r="E288" s="4">
        <f>'Plot Prices_1998forward'!D15</f>
        <v>3.9250810810810819</v>
      </c>
      <c r="F288" t="s">
        <v>26</v>
      </c>
      <c r="G288" s="4">
        <f t="shared" si="6"/>
        <v>3.9662958843159064</v>
      </c>
      <c r="H288" s="4">
        <f t="shared" si="7"/>
        <v>3.9250810810810819</v>
      </c>
    </row>
    <row r="289" spans="4:8" x14ac:dyDescent="0.2">
      <c r="D289" s="4">
        <f>'Quantity Shares_1985-1998'!AJ291</f>
        <v>2.5205263654372234</v>
      </c>
      <c r="E289" s="4">
        <f>'Plot Prices_1998forward'!D16</f>
        <v>2.604663258596597</v>
      </c>
      <c r="F289" t="s">
        <v>28</v>
      </c>
      <c r="G289" s="4">
        <f t="shared" si="6"/>
        <v>2.5205263654372234</v>
      </c>
      <c r="H289" s="4">
        <f t="shared" si="7"/>
        <v>2.604663258596597</v>
      </c>
    </row>
    <row r="290" spans="4:8" x14ac:dyDescent="0.2">
      <c r="D290" s="4">
        <f>'Quantity Shares_1985-1998'!AJ292</f>
        <v>2.3507607776838544</v>
      </c>
      <c r="E290" s="4">
        <f>'Plot Prices_1998forward'!D17</f>
        <v>2.5221103459932728</v>
      </c>
      <c r="F290" t="s">
        <v>30</v>
      </c>
      <c r="G290" s="4">
        <f t="shared" si="6"/>
        <v>2.3507607776838544</v>
      </c>
      <c r="H290" s="4">
        <f t="shared" si="7"/>
        <v>2.5221103459932728</v>
      </c>
    </row>
    <row r="291" spans="4:8" x14ac:dyDescent="0.2">
      <c r="D291" s="4">
        <f>'Quantity Shares_1985-1998'!AJ293</f>
        <v>3.6011510791366907</v>
      </c>
      <c r="E291" s="4">
        <f>'Plot Prices_1998forward'!D18</f>
        <v>3.6219444444444444</v>
      </c>
      <c r="F291" t="s">
        <v>32</v>
      </c>
      <c r="G291" s="4">
        <f t="shared" si="6"/>
        <v>3.6011510791366907</v>
      </c>
      <c r="H291" s="4">
        <f t="shared" si="7"/>
        <v>3.6219444444444444</v>
      </c>
    </row>
    <row r="292" spans="4:8" x14ac:dyDescent="0.2">
      <c r="D292" s="4">
        <f>'Quantity Shares_1985-1998'!AJ294</f>
        <v>2.4981317204301074</v>
      </c>
      <c r="E292" s="4">
        <f>'Plot Prices_1998forward'!D19</f>
        <v>2.4528425841674255</v>
      </c>
      <c r="F292" t="s">
        <v>34</v>
      </c>
      <c r="G292" s="4">
        <f t="shared" si="6"/>
        <v>2.4981317204301074</v>
      </c>
      <c r="H292" s="4">
        <f t="shared" si="7"/>
        <v>2.4528425841674255</v>
      </c>
    </row>
    <row r="293" spans="4:8" x14ac:dyDescent="0.2">
      <c r="D293" s="4">
        <f>'Quantity Shares_1985-1998'!AJ295</f>
        <v>3.2291983122362868</v>
      </c>
      <c r="E293" s="4">
        <f>'Plot Prices_1998forward'!D20</f>
        <v>3.465817637770547</v>
      </c>
      <c r="F293" t="s">
        <v>36</v>
      </c>
      <c r="G293" s="4">
        <f t="shared" si="6"/>
        <v>3.2291983122362868</v>
      </c>
      <c r="H293" s="4">
        <f t="shared" si="7"/>
        <v>3.465817637770547</v>
      </c>
    </row>
    <row r="294" spans="4:8" x14ac:dyDescent="0.2">
      <c r="D294" s="4">
        <f>'Quantity Shares_1985-1998'!AJ296</f>
        <v>3.6152918287937741</v>
      </c>
      <c r="E294" s="4">
        <f>'Plot Prices_1998forward'!D21</f>
        <v>3.8542851153039837</v>
      </c>
      <c r="F294" t="s">
        <v>38</v>
      </c>
      <c r="G294" s="4">
        <f t="shared" si="6"/>
        <v>3.6152918287937741</v>
      </c>
      <c r="H294" s="4">
        <f t="shared" si="7"/>
        <v>3.8542851153039837</v>
      </c>
    </row>
    <row r="295" spans="4:8" x14ac:dyDescent="0.2">
      <c r="D295" s="4">
        <f>'Quantity Shares_1985-1998'!AJ297</f>
        <v>3.6826785714285721</v>
      </c>
      <c r="E295" s="4">
        <f>'Plot Prices_1998forward'!D22</f>
        <v>3.8266256157635472</v>
      </c>
      <c r="F295" t="s">
        <v>40</v>
      </c>
      <c r="G295" s="4">
        <f t="shared" si="6"/>
        <v>3.6826785714285721</v>
      </c>
      <c r="H295" s="4">
        <f t="shared" si="7"/>
        <v>3.8266256157635472</v>
      </c>
    </row>
    <row r="296" spans="4:8" x14ac:dyDescent="0.2">
      <c r="D296" s="4">
        <f>'Quantity Shares_1985-1998'!AJ298</f>
        <v>3.7265765765765764</v>
      </c>
      <c r="E296" s="4">
        <f>'Plot Prices_1998forward'!D23</f>
        <v>3.7528106508875729</v>
      </c>
      <c r="F296" t="s">
        <v>42</v>
      </c>
      <c r="G296" s="4">
        <f t="shared" si="6"/>
        <v>3.7265765765765764</v>
      </c>
      <c r="H296" s="4">
        <f t="shared" si="7"/>
        <v>3.7528106508875729</v>
      </c>
    </row>
    <row r="297" spans="4:8" x14ac:dyDescent="0.2">
      <c r="D297" s="4">
        <f>'Quantity Shares_1985-1998'!AJ299</f>
        <v>3.5875444839857655</v>
      </c>
      <c r="E297" s="4">
        <f>'Plot Prices_1998forward'!D24</f>
        <v>3.4267809258344499</v>
      </c>
      <c r="F297" t="s">
        <v>44</v>
      </c>
      <c r="G297" s="4">
        <f t="shared" si="6"/>
        <v>3.5875444839857655</v>
      </c>
      <c r="H297" s="4">
        <f t="shared" si="7"/>
        <v>3.4267809258344499</v>
      </c>
    </row>
    <row r="298" spans="4:8" x14ac:dyDescent="0.2">
      <c r="D298" s="4">
        <f>'Quantity Shares_1985-1998'!AJ300</f>
        <v>3.2359848484848484</v>
      </c>
      <c r="E298" s="4">
        <f>'Plot Prices_1998forward'!D25</f>
        <v>3.2876459510357821</v>
      </c>
      <c r="F298" t="s">
        <v>46</v>
      </c>
      <c r="G298" s="4">
        <f t="shared" si="6"/>
        <v>3.2359848484848484</v>
      </c>
      <c r="H298" s="4">
        <f t="shared" si="7"/>
        <v>3.2876459510357821</v>
      </c>
    </row>
    <row r="299" spans="4:8" x14ac:dyDescent="0.2">
      <c r="D299" s="4">
        <f>'Quantity Shares_1985-1998'!AJ301</f>
        <v>4.1847133757961785</v>
      </c>
      <c r="E299" s="4">
        <f>'Plot Prices_1998forward'!D26</f>
        <v>4.3333333333333339</v>
      </c>
      <c r="F299" t="s">
        <v>48</v>
      </c>
      <c r="G299" s="4">
        <f t="shared" si="6"/>
        <v>4.1847133757961785</v>
      </c>
      <c r="H299" s="4">
        <f t="shared" si="7"/>
        <v>4.3333333333333339</v>
      </c>
    </row>
    <row r="300" spans="4:8" x14ac:dyDescent="0.2">
      <c r="D300" s="4">
        <f>'Quantity Shares_1985-1998'!AJ302</f>
        <v>4.0802721088435376</v>
      </c>
      <c r="E300" s="4">
        <f>'Plot Prices_1998forward'!D27</f>
        <v>4.0496815286624201</v>
      </c>
      <c r="F300" t="s">
        <v>50</v>
      </c>
      <c r="G300" s="4">
        <f t="shared" si="6"/>
        <v>4.0802721088435376</v>
      </c>
      <c r="H300" s="4">
        <f t="shared" si="7"/>
        <v>4.0496815286624201</v>
      </c>
    </row>
    <row r="301" spans="4:8" x14ac:dyDescent="0.2">
      <c r="D301" s="4"/>
    </row>
    <row r="302" spans="4:8" x14ac:dyDescent="0.2">
      <c r="D302" s="4"/>
    </row>
    <row r="303" spans="4:8" x14ac:dyDescent="0.2">
      <c r="D303" s="4"/>
    </row>
    <row r="304" spans="4:8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AE31"/>
  <sheetViews>
    <sheetView workbookViewId="0">
      <selection activeCell="F11" sqref="F11"/>
    </sheetView>
  </sheetViews>
  <sheetFormatPr defaultRowHeight="12.75" x14ac:dyDescent="0.2"/>
  <cols>
    <col min="3" max="3" width="9.140625" customWidth="1"/>
    <col min="4" max="4" width="19.85546875" customWidth="1"/>
    <col min="25" max="25" width="11.7109375" customWidth="1"/>
    <col min="26" max="26" width="10.140625" customWidth="1"/>
    <col min="31" max="31" width="10.5703125" bestFit="1" customWidth="1"/>
  </cols>
  <sheetData>
    <row r="7" spans="3:31" x14ac:dyDescent="0.2">
      <c r="Y7" t="s">
        <v>6</v>
      </c>
    </row>
    <row r="8" spans="3:31" x14ac:dyDescent="0.2">
      <c r="Q8" t="s">
        <v>3</v>
      </c>
      <c r="U8" t="s">
        <v>4</v>
      </c>
      <c r="Y8" t="s">
        <v>7</v>
      </c>
      <c r="Z8" t="s">
        <v>8</v>
      </c>
      <c r="AA8" t="s">
        <v>5</v>
      </c>
      <c r="AC8" t="s">
        <v>9</v>
      </c>
    </row>
    <row r="10" spans="3:31" x14ac:dyDescent="0.2">
      <c r="C10" s="1"/>
      <c r="D10" s="1"/>
      <c r="E10" s="1" t="str">
        <f>'[5]Table 7.2'!AR106</f>
        <v>Total</v>
      </c>
      <c r="F10" s="1" t="str">
        <f>'[5]Table 7.2'!AS106</f>
        <v>Electricity</v>
      </c>
      <c r="G10" s="1" t="str">
        <f>'[5]Table 7.2'!AT106</f>
        <v>Natural Gas</v>
      </c>
      <c r="H10" s="1" t="str">
        <f>'[5]Table 7.2'!AU106</f>
        <v>Distallate</v>
      </c>
      <c r="I10" s="1" t="str">
        <f>'[5]Table 7.2'!AV106</f>
        <v>Residual</v>
      </c>
      <c r="J10" s="1" t="str">
        <f>'[5]Table 7.2'!AW106</f>
        <v>Coal</v>
      </c>
      <c r="K10" s="1" t="str">
        <f>'[5]Table 7.2'!AX106</f>
        <v>Coke</v>
      </c>
      <c r="L10" s="2" t="str">
        <f>'[5]Table 7.2'!AY106</f>
        <v>LPG</v>
      </c>
      <c r="M10" s="1" t="str">
        <f>'[5]Table 7.2'!AZ106</f>
        <v>Steam</v>
      </c>
      <c r="N10" s="1" t="str">
        <f>'[5]Table 7.2'!BA106</f>
        <v>Biomass</v>
      </c>
      <c r="O10" s="1" t="str">
        <f>'[5]Table 7.2'!BB106</f>
        <v>All other</v>
      </c>
      <c r="Q10" t="s">
        <v>0</v>
      </c>
      <c r="R10" t="s">
        <v>2</v>
      </c>
      <c r="S10" t="s">
        <v>1</v>
      </c>
      <c r="U10" t="s">
        <v>0</v>
      </c>
      <c r="V10" t="s">
        <v>2</v>
      </c>
      <c r="W10" t="s">
        <v>1</v>
      </c>
      <c r="AC10" t="s">
        <v>0</v>
      </c>
      <c r="AD10" t="s">
        <v>2</v>
      </c>
      <c r="AE10" t="s">
        <v>1</v>
      </c>
    </row>
    <row r="11" spans="3:31" x14ac:dyDescent="0.2">
      <c r="C11" s="1" t="str">
        <f>'[5]Table 7.2'!AP107</f>
        <v>311</v>
      </c>
      <c r="D11" s="1" t="str">
        <f>'[5]Table 7.2'!AQ107</f>
        <v>Food</v>
      </c>
      <c r="E11" s="2">
        <f>'[5]Table 7.2'!AR107</f>
        <v>9.1199999999999992</v>
      </c>
      <c r="F11" s="2">
        <f>'[5]Table 7.2'!AS107</f>
        <v>20.64</v>
      </c>
      <c r="G11" s="2">
        <f>'[5]Table 7.2'!AT107</f>
        <v>5.85</v>
      </c>
      <c r="H11" s="2">
        <f>'[5]Table 7.2'!AU107</f>
        <v>18.62</v>
      </c>
      <c r="I11" s="2">
        <f>'[5]Table 7.2'!AV107</f>
        <v>11.16</v>
      </c>
      <c r="J11" s="2">
        <f>'[5]Table 7.2'!AW107</f>
        <v>2.41</v>
      </c>
      <c r="K11" s="2">
        <f>'[5]Table 7.2'!AX107</f>
        <v>15.96</v>
      </c>
      <c r="L11" s="2">
        <f>'[5]Table 7.2'!AY107</f>
        <v>19.04</v>
      </c>
      <c r="M11" s="2">
        <f>'[5]Table 7.2'!AZ107</f>
        <v>4.68</v>
      </c>
      <c r="N11" s="2">
        <f>'[5]Table 7.2'!BA107</f>
        <v>2.12</v>
      </c>
      <c r="O11" s="2">
        <f>'[5]Table 7.2'!BB107</f>
        <v>4.82</v>
      </c>
      <c r="Q11" s="3">
        <f>10111</f>
        <v>10111</v>
      </c>
      <c r="R11" s="3">
        <f>Q11-S11</f>
        <v>5328</v>
      </c>
      <c r="S11" s="3">
        <v>4783</v>
      </c>
      <c r="U11">
        <f>1113</f>
        <v>1113</v>
      </c>
      <c r="V11" s="3">
        <f>U11-W11</f>
        <v>258</v>
      </c>
      <c r="W11">
        <v>855</v>
      </c>
      <c r="Y11" s="4">
        <f>Q11/U11</f>
        <v>9.0844564240790664</v>
      </c>
      <c r="Z11" s="4" t="e">
        <f>Q11/AC11</f>
        <v>#DIV/0!</v>
      </c>
      <c r="AA11" s="4">
        <f>E11</f>
        <v>9.1199999999999992</v>
      </c>
      <c r="AC11" s="5">
        <f>'[6]Table 7.6'!AR104</f>
        <v>0</v>
      </c>
      <c r="AD11" s="5">
        <f>'[6]Table 7.6'!AS104</f>
        <v>0</v>
      </c>
      <c r="AE11" s="5">
        <f>AC11-AD11</f>
        <v>0</v>
      </c>
    </row>
    <row r="12" spans="3:31" x14ac:dyDescent="0.2">
      <c r="C12" s="1" t="str">
        <f>'[5]Table 7.2'!AP108</f>
        <v>312</v>
      </c>
      <c r="D12" s="1" t="str">
        <f>'[5]Table 7.2'!AQ108</f>
        <v>Beverage and Tobacco Products</v>
      </c>
      <c r="E12" s="2">
        <f>'[5]Table 7.2'!AR108</f>
        <v>12.96</v>
      </c>
      <c r="F12" s="2">
        <f>'[5]Table 7.2'!AS108</f>
        <v>25.6</v>
      </c>
      <c r="G12" s="2">
        <f>'[5]Table 7.2'!AT108</f>
        <v>6.48</v>
      </c>
      <c r="H12" s="2">
        <f>'[5]Table 7.2'!AU108</f>
        <v>13</v>
      </c>
      <c r="I12" s="2">
        <f>'[5]Table 7.2'!AV108</f>
        <v>11.02</v>
      </c>
      <c r="J12" s="2">
        <f>'[5]Table 7.2'!AW108</f>
        <v>4.29</v>
      </c>
      <c r="K12" s="2">
        <f>'[5]Table 7.2'!AX108</f>
        <v>0</v>
      </c>
      <c r="L12" s="2">
        <f>'[5]Table 7.2'!AY108</f>
        <v>20.32</v>
      </c>
      <c r="M12" s="2">
        <f>'[5]Table 7.2'!AZ108</f>
        <v>0</v>
      </c>
      <c r="N12" s="2">
        <f>'[5]Table 7.2'!BA108</f>
        <v>3.51</v>
      </c>
      <c r="O12" s="2">
        <f>'[5]Table 7.2'!BB108</f>
        <v>0</v>
      </c>
      <c r="Q12" s="3">
        <f>1106</f>
        <v>1106</v>
      </c>
      <c r="R12" s="3">
        <f t="shared" ref="R12:R31" si="0">Q12-S12</f>
        <v>726</v>
      </c>
      <c r="S12" s="3">
        <v>380</v>
      </c>
      <c r="U12">
        <f>85</f>
        <v>85</v>
      </c>
      <c r="V12" s="3">
        <f t="shared" ref="V12:V31" si="1">U12-W12</f>
        <v>29</v>
      </c>
      <c r="W12">
        <v>56</v>
      </c>
      <c r="Y12" s="4">
        <f t="shared" ref="Y12:Y31" si="2">Q12/U12</f>
        <v>13.011764705882353</v>
      </c>
      <c r="Z12" s="4" t="e">
        <f t="shared" ref="Z12:Z31" si="3">Q12/AC12</f>
        <v>#DIV/0!</v>
      </c>
      <c r="AA12" s="4">
        <f t="shared" ref="AA12:AA31" si="4">E12</f>
        <v>12.96</v>
      </c>
      <c r="AC12" s="5">
        <f>'[6]Table 7.6'!AR105</f>
        <v>0</v>
      </c>
      <c r="AD12" s="5">
        <f>'[6]Table 7.6'!AS105</f>
        <v>0</v>
      </c>
      <c r="AE12" s="5">
        <f t="shared" ref="AE12:AE31" si="5">AC12-AD12</f>
        <v>0</v>
      </c>
    </row>
    <row r="13" spans="3:31" x14ac:dyDescent="0.2">
      <c r="C13" s="1" t="str">
        <f>'[5]Table 7.2'!AP109</f>
        <v>313</v>
      </c>
      <c r="D13" s="1" t="str">
        <f>'[5]Table 7.2'!AQ109</f>
        <v>Textile Mills</v>
      </c>
      <c r="E13" s="2">
        <f>'[5]Table 7.2'!AR109</f>
        <v>12.69</v>
      </c>
      <c r="F13" s="2">
        <f>'[5]Table 7.2'!AS109</f>
        <v>18.899999999999999</v>
      </c>
      <c r="G13" s="2">
        <f>'[5]Table 7.2'!AT109</f>
        <v>6.95</v>
      </c>
      <c r="H13" s="2">
        <f>'[5]Table 7.2'!AU109</f>
        <v>16.940000000000001</v>
      </c>
      <c r="I13" s="2">
        <f>'[5]Table 7.2'!AV109</f>
        <v>13.84</v>
      </c>
      <c r="J13" s="2">
        <f>'[5]Table 7.2'!AW109</f>
        <v>4.67</v>
      </c>
      <c r="K13" s="2">
        <f>'[5]Table 7.2'!AX109</f>
        <v>0</v>
      </c>
      <c r="L13" s="2">
        <f>'[5]Table 7.2'!AY109</f>
        <v>17.899999999999999</v>
      </c>
      <c r="M13" s="2" t="str">
        <f>'[5]Table 7.2'!AZ109</f>
        <v>W</v>
      </c>
      <c r="N13" s="2">
        <f>'[5]Table 7.2'!BA109</f>
        <v>0</v>
      </c>
      <c r="O13" s="2">
        <f>'[5]Table 7.2'!BB109</f>
        <v>0</v>
      </c>
      <c r="Q13" s="3">
        <f>1212</f>
        <v>1212</v>
      </c>
      <c r="R13" s="3">
        <f t="shared" si="0"/>
        <v>861</v>
      </c>
      <c r="S13" s="3">
        <v>351</v>
      </c>
      <c r="U13">
        <f>95</f>
        <v>95</v>
      </c>
      <c r="V13" s="3">
        <f t="shared" si="1"/>
        <v>46</v>
      </c>
      <c r="W13">
        <v>49</v>
      </c>
      <c r="Y13" s="4">
        <f t="shared" si="2"/>
        <v>12.757894736842106</v>
      </c>
      <c r="Z13" s="4" t="e">
        <f t="shared" si="3"/>
        <v>#DIV/0!</v>
      </c>
      <c r="AA13" s="4">
        <f t="shared" si="4"/>
        <v>12.69</v>
      </c>
      <c r="AC13" s="5">
        <f>'[6]Table 7.6'!AR106</f>
        <v>0</v>
      </c>
      <c r="AD13" s="5">
        <f>'[6]Table 7.6'!AS106</f>
        <v>0</v>
      </c>
      <c r="AE13" s="5">
        <f t="shared" si="5"/>
        <v>0</v>
      </c>
    </row>
    <row r="14" spans="3:31" x14ac:dyDescent="0.2">
      <c r="C14" s="1" t="str">
        <f>'[5]Table 7.2'!AP110</f>
        <v>314</v>
      </c>
      <c r="D14" s="1" t="str">
        <f>'[5]Table 7.2'!AQ110</f>
        <v>Textile Product Mills</v>
      </c>
      <c r="E14" s="2">
        <f>'[5]Table 7.2'!AR110</f>
        <v>13.33</v>
      </c>
      <c r="F14" s="2">
        <f>'[5]Table 7.2'!AS110</f>
        <v>22.06</v>
      </c>
      <c r="G14" s="2">
        <f>'[5]Table 7.2'!AT110</f>
        <v>6.77</v>
      </c>
      <c r="H14" s="2">
        <f>'[5]Table 7.2'!AU110</f>
        <v>14.42</v>
      </c>
      <c r="I14" s="2">
        <f>'[5]Table 7.2'!AV110</f>
        <v>17.64</v>
      </c>
      <c r="J14" s="2">
        <f>'[5]Table 7.2'!AW110</f>
        <v>3.65</v>
      </c>
      <c r="K14" s="2">
        <f>'[5]Table 7.2'!AX110</f>
        <v>0</v>
      </c>
      <c r="L14" s="2">
        <f>'[5]Table 7.2'!AY110</f>
        <v>18.53</v>
      </c>
      <c r="M14" s="2">
        <f>'[5]Table 7.2'!AZ110</f>
        <v>0</v>
      </c>
      <c r="N14" s="2">
        <f>'[5]Table 7.2'!BA110</f>
        <v>0</v>
      </c>
      <c r="O14" s="2">
        <f>'[5]Table 7.2'!BB110</f>
        <v>0</v>
      </c>
      <c r="Q14" s="3">
        <f>266</f>
        <v>266</v>
      </c>
      <c r="R14" s="3">
        <f t="shared" si="0"/>
        <v>185</v>
      </c>
      <c r="S14" s="3">
        <v>81</v>
      </c>
      <c r="U14">
        <f>20</f>
        <v>20</v>
      </c>
      <c r="V14" s="3">
        <f t="shared" si="1"/>
        <v>8</v>
      </c>
      <c r="W14">
        <v>12</v>
      </c>
      <c r="Y14" s="4">
        <f t="shared" si="2"/>
        <v>13.3</v>
      </c>
      <c r="Z14" s="4" t="e">
        <f t="shared" si="3"/>
        <v>#DIV/0!</v>
      </c>
      <c r="AA14" s="4">
        <f t="shared" si="4"/>
        <v>13.33</v>
      </c>
      <c r="AC14" s="5">
        <f>'[6]Table 7.6'!AR107</f>
        <v>0</v>
      </c>
      <c r="AD14" s="5">
        <f>'[6]Table 7.6'!AS107</f>
        <v>0</v>
      </c>
      <c r="AE14" s="5">
        <f t="shared" si="5"/>
        <v>0</v>
      </c>
    </row>
    <row r="15" spans="3:31" x14ac:dyDescent="0.2">
      <c r="C15" s="1" t="str">
        <f>'[5]Table 7.2'!AP111</f>
        <v>315</v>
      </c>
      <c r="D15" s="1" t="str">
        <f>'[5]Table 7.2'!AQ111</f>
        <v>Apparel</v>
      </c>
      <c r="E15" s="2">
        <f>'[5]Table 7.2'!AR111</f>
        <v>19.64</v>
      </c>
      <c r="F15" s="2">
        <f>'[5]Table 7.2'!AS111</f>
        <v>25.98</v>
      </c>
      <c r="G15" s="2">
        <f>'[5]Table 7.2'!AT111</f>
        <v>8.6199999999999992</v>
      </c>
      <c r="H15" s="2">
        <f>'[5]Table 7.2'!AU111</f>
        <v>15.3</v>
      </c>
      <c r="I15" s="2">
        <f>'[5]Table 7.2'!AV111</f>
        <v>0</v>
      </c>
      <c r="J15" s="2">
        <f>'[5]Table 7.2'!AW111</f>
        <v>0</v>
      </c>
      <c r="K15" s="2">
        <f>'[5]Table 7.2'!AX111</f>
        <v>0</v>
      </c>
      <c r="L15" s="2">
        <f>'[5]Table 7.2'!AY111</f>
        <v>23.11</v>
      </c>
      <c r="M15" s="2">
        <f>'[5]Table 7.2'!AZ111</f>
        <v>0</v>
      </c>
      <c r="N15" s="2">
        <f>'[5]Table 7.2'!BA111</f>
        <v>0</v>
      </c>
      <c r="O15" s="2">
        <f>'[5]Table 7.2'!BB111</f>
        <v>0</v>
      </c>
      <c r="Q15" s="3">
        <f>120</f>
        <v>120</v>
      </c>
      <c r="R15" s="3">
        <f t="shared" si="0"/>
        <v>95</v>
      </c>
      <c r="S15" s="3">
        <v>25</v>
      </c>
      <c r="U15">
        <f>6</f>
        <v>6</v>
      </c>
      <c r="V15" s="3">
        <f t="shared" si="1"/>
        <v>4</v>
      </c>
      <c r="W15">
        <v>2</v>
      </c>
      <c r="Y15" s="4">
        <f t="shared" si="2"/>
        <v>20</v>
      </c>
      <c r="Z15" s="4" t="e">
        <f t="shared" si="3"/>
        <v>#DIV/0!</v>
      </c>
      <c r="AA15" s="4">
        <f t="shared" si="4"/>
        <v>19.64</v>
      </c>
      <c r="AC15" s="5">
        <f>'[6]Table 7.6'!AR108</f>
        <v>0</v>
      </c>
      <c r="AD15" s="5">
        <f>'[6]Table 7.6'!AS108</f>
        <v>0</v>
      </c>
      <c r="AE15" s="5">
        <f t="shared" si="5"/>
        <v>0</v>
      </c>
    </row>
    <row r="16" spans="3:31" x14ac:dyDescent="0.2">
      <c r="C16" s="1" t="str">
        <f>'[5]Table 7.2'!AP112</f>
        <v>316</v>
      </c>
      <c r="D16" s="1" t="str">
        <f>'[5]Table 7.2'!AQ112</f>
        <v>Leather and Allied Products</v>
      </c>
      <c r="E16" s="2">
        <f>'[5]Table 7.2'!AR112</f>
        <v>17.670000000000002</v>
      </c>
      <c r="F16" s="2">
        <f>'[5]Table 7.2'!AS112</f>
        <v>29.9</v>
      </c>
      <c r="G16" s="2">
        <f>'[5]Table 7.2'!AT112</f>
        <v>7.57</v>
      </c>
      <c r="H16" s="2">
        <f>'[5]Table 7.2'!AU112</f>
        <v>21.02</v>
      </c>
      <c r="I16" s="2">
        <f>'[5]Table 7.2'!AV112</f>
        <v>16.05</v>
      </c>
      <c r="J16" s="2">
        <f>'[5]Table 7.2'!AW112</f>
        <v>0</v>
      </c>
      <c r="K16" s="2">
        <f>'[5]Table 7.2'!AX112</f>
        <v>0</v>
      </c>
      <c r="L16" s="2">
        <f>'[5]Table 7.2'!AY112</f>
        <v>22.2</v>
      </c>
      <c r="M16" s="2">
        <f>'[5]Table 7.2'!AZ112</f>
        <v>3.95</v>
      </c>
      <c r="N16" s="2">
        <f>'[5]Table 7.2'!BA112</f>
        <v>0</v>
      </c>
      <c r="O16" s="2">
        <f>'[5]Table 7.2'!BB112</f>
        <v>0</v>
      </c>
      <c r="Q16" s="3">
        <f>34</f>
        <v>34</v>
      </c>
      <c r="R16" s="3">
        <f t="shared" si="0"/>
        <v>25</v>
      </c>
      <c r="S16" s="3">
        <v>9</v>
      </c>
      <c r="U16">
        <f>3</f>
        <v>3</v>
      </c>
      <c r="V16" s="3">
        <f t="shared" si="1"/>
        <v>1</v>
      </c>
      <c r="W16">
        <v>2</v>
      </c>
      <c r="Y16" s="4">
        <f t="shared" si="2"/>
        <v>11.333333333333334</v>
      </c>
      <c r="Z16" s="4" t="e">
        <f t="shared" si="3"/>
        <v>#DIV/0!</v>
      </c>
      <c r="AA16" s="4">
        <f t="shared" si="4"/>
        <v>17.670000000000002</v>
      </c>
      <c r="AC16" s="5">
        <f>'[6]Table 7.6'!AR109</f>
        <v>0</v>
      </c>
      <c r="AD16" s="5">
        <f>'[6]Table 7.6'!AS109</f>
        <v>0</v>
      </c>
      <c r="AE16" s="5">
        <f t="shared" si="5"/>
        <v>0</v>
      </c>
    </row>
    <row r="17" spans="3:31" x14ac:dyDescent="0.2">
      <c r="C17" s="1" t="str">
        <f>'[5]Table 7.2'!AP113</f>
        <v>321</v>
      </c>
      <c r="D17" s="1" t="str">
        <f>'[5]Table 7.2'!AQ113</f>
        <v>Wood Products</v>
      </c>
      <c r="E17" s="2">
        <f>'[5]Table 7.2'!AR113</f>
        <v>8.92</v>
      </c>
      <c r="F17" s="2">
        <f>'[5]Table 7.2'!AS113</f>
        <v>22.27</v>
      </c>
      <c r="G17" s="2">
        <f>'[5]Table 7.2'!AT113</f>
        <v>6.57</v>
      </c>
      <c r="H17" s="2">
        <f>'[5]Table 7.2'!AU113</f>
        <v>16.05</v>
      </c>
      <c r="I17" s="2">
        <f>'[5]Table 7.2'!AV113</f>
        <v>11.44</v>
      </c>
      <c r="J17" s="2">
        <f>'[5]Table 7.2'!AW113</f>
        <v>5.81</v>
      </c>
      <c r="K17" s="2">
        <f>'[5]Table 7.2'!AX113</f>
        <v>0</v>
      </c>
      <c r="L17" s="2">
        <f>'[5]Table 7.2'!AY113</f>
        <v>19.46</v>
      </c>
      <c r="M17" s="2">
        <f>'[5]Table 7.2'!AZ113</f>
        <v>2.59</v>
      </c>
      <c r="N17" s="2">
        <f>'[5]Table 7.2'!BA113</f>
        <v>1.87</v>
      </c>
      <c r="O17" s="2">
        <f>'[5]Table 7.2'!BB113</f>
        <v>0</v>
      </c>
      <c r="Q17" s="3">
        <f>1990</f>
        <v>1990</v>
      </c>
      <c r="R17" s="3">
        <f t="shared" si="0"/>
        <v>1223</v>
      </c>
      <c r="S17" s="3">
        <v>767</v>
      </c>
      <c r="U17">
        <f>266</f>
        <v>266</v>
      </c>
      <c r="V17" s="3">
        <f t="shared" si="1"/>
        <v>55</v>
      </c>
      <c r="W17">
        <v>211</v>
      </c>
      <c r="Y17" s="4">
        <f t="shared" si="2"/>
        <v>7.481203007518797</v>
      </c>
      <c r="Z17" s="4" t="e">
        <f t="shared" si="3"/>
        <v>#DIV/0!</v>
      </c>
      <c r="AA17" s="4">
        <f t="shared" si="4"/>
        <v>8.92</v>
      </c>
      <c r="AC17" s="5">
        <f>'[6]Table 7.6'!AR110</f>
        <v>0</v>
      </c>
      <c r="AD17" s="5">
        <f>'[6]Table 7.6'!AS110</f>
        <v>0</v>
      </c>
      <c r="AE17" s="5">
        <f t="shared" si="5"/>
        <v>0</v>
      </c>
    </row>
    <row r="18" spans="3:31" x14ac:dyDescent="0.2">
      <c r="C18" s="1" t="str">
        <f>'[5]Table 7.2'!AP114</f>
        <v>322</v>
      </c>
      <c r="D18" s="1" t="str">
        <f>'[5]Table 7.2'!AQ114</f>
        <v>Paper</v>
      </c>
      <c r="E18" s="2">
        <f>'[5]Table 7.2'!AR114</f>
        <v>6.93</v>
      </c>
      <c r="F18" s="2">
        <f>'[5]Table 7.2'!AS114</f>
        <v>16.510000000000002</v>
      </c>
      <c r="G18" s="2">
        <f>'[5]Table 7.2'!AT114</f>
        <v>5.55</v>
      </c>
      <c r="H18" s="2">
        <f>'[5]Table 7.2'!AU114</f>
        <v>16.11</v>
      </c>
      <c r="I18" s="2">
        <f>'[5]Table 7.2'!AV114</f>
        <v>11.46</v>
      </c>
      <c r="J18" s="2">
        <f>'[5]Table 7.2'!AW114</f>
        <v>3.61</v>
      </c>
      <c r="K18" s="2">
        <f>'[5]Table 7.2'!AX114</f>
        <v>5.49</v>
      </c>
      <c r="L18" s="2">
        <f>'[5]Table 7.2'!AY114</f>
        <v>20.43</v>
      </c>
      <c r="M18" s="2">
        <f>'[5]Table 7.2'!AZ114</f>
        <v>6.45</v>
      </c>
      <c r="N18" s="2">
        <f>'[5]Table 7.2'!BA114</f>
        <v>2.63</v>
      </c>
      <c r="O18" s="2">
        <f>'[5]Table 7.2'!BB114</f>
        <v>2.12</v>
      </c>
      <c r="Q18" s="3">
        <f>8275</f>
        <v>8275</v>
      </c>
      <c r="R18" s="3">
        <f t="shared" si="0"/>
        <v>3752</v>
      </c>
      <c r="S18" s="3">
        <v>4523</v>
      </c>
      <c r="U18">
        <f>1182</f>
        <v>1182</v>
      </c>
      <c r="V18" s="3">
        <f t="shared" si="1"/>
        <v>228</v>
      </c>
      <c r="W18">
        <v>954</v>
      </c>
      <c r="Y18" s="4">
        <f t="shared" si="2"/>
        <v>7.0008460236886636</v>
      </c>
      <c r="Z18" s="4" t="e">
        <f t="shared" si="3"/>
        <v>#DIV/0!</v>
      </c>
      <c r="AA18" s="4">
        <f t="shared" si="4"/>
        <v>6.93</v>
      </c>
      <c r="AC18" s="5">
        <f>'[6]Table 7.6'!AR111</f>
        <v>0</v>
      </c>
      <c r="AD18" s="5">
        <f>'[6]Table 7.6'!AS111</f>
        <v>0</v>
      </c>
      <c r="AE18" s="5">
        <f t="shared" si="5"/>
        <v>0</v>
      </c>
    </row>
    <row r="19" spans="3:31" x14ac:dyDescent="0.2">
      <c r="C19" s="1" t="str">
        <f>'[5]Table 7.2'!AP115</f>
        <v>323</v>
      </c>
      <c r="D19" s="1" t="str">
        <f>'[5]Table 7.2'!AQ115</f>
        <v>Printing and Related Support</v>
      </c>
      <c r="E19" s="2">
        <f>'[5]Table 7.2'!AR115</f>
        <v>18.09</v>
      </c>
      <c r="F19" s="2">
        <f>'[5]Table 7.2'!AS115</f>
        <v>26.54</v>
      </c>
      <c r="G19" s="2">
        <f>'[5]Table 7.2'!AT115</f>
        <v>7.01</v>
      </c>
      <c r="H19" s="2">
        <f>'[5]Table 7.2'!AU115</f>
        <v>20.54</v>
      </c>
      <c r="I19" s="2">
        <f>'[5]Table 7.2'!AV115</f>
        <v>9.82</v>
      </c>
      <c r="J19" s="2">
        <f>'[5]Table 7.2'!AW115</f>
        <v>0</v>
      </c>
      <c r="K19" s="2">
        <f>'[5]Table 7.2'!AX115</f>
        <v>0</v>
      </c>
      <c r="L19" s="2">
        <f>'[5]Table 7.2'!AY115</f>
        <v>19.21</v>
      </c>
      <c r="M19" s="2">
        <f>'[5]Table 7.2'!AZ115</f>
        <v>0</v>
      </c>
      <c r="N19" s="2">
        <f>'[5]Table 7.2'!BA115</f>
        <v>5.63</v>
      </c>
      <c r="O19" s="2">
        <f>'[5]Table 7.2'!BB115</f>
        <v>0</v>
      </c>
      <c r="Q19" s="3">
        <f>1517</f>
        <v>1517</v>
      </c>
      <c r="R19" s="3">
        <f t="shared" si="0"/>
        <v>1241</v>
      </c>
      <c r="S19" s="3">
        <v>276</v>
      </c>
      <c r="U19">
        <f>83</f>
        <v>83</v>
      </c>
      <c r="V19" s="3">
        <f t="shared" si="1"/>
        <v>47</v>
      </c>
      <c r="W19">
        <v>36</v>
      </c>
      <c r="Y19" s="4">
        <f t="shared" si="2"/>
        <v>18.277108433734941</v>
      </c>
      <c r="Z19" s="4" t="e">
        <f t="shared" si="3"/>
        <v>#DIV/0!</v>
      </c>
      <c r="AA19" s="4">
        <f t="shared" si="4"/>
        <v>18.09</v>
      </c>
      <c r="AC19" s="5">
        <f>'[6]Table 7.6'!AR112</f>
        <v>0</v>
      </c>
      <c r="AD19" s="5">
        <f>'[6]Table 7.6'!AS112</f>
        <v>0</v>
      </c>
      <c r="AE19" s="5">
        <f t="shared" si="5"/>
        <v>0</v>
      </c>
    </row>
    <row r="20" spans="3:31" x14ac:dyDescent="0.2">
      <c r="C20" s="1" t="str">
        <f>'[5]Table 7.2'!AP116</f>
        <v>324</v>
      </c>
      <c r="D20" s="1" t="str">
        <f>'[5]Table 7.2'!AQ116</f>
        <v>Petroleum and Coal Products</v>
      </c>
      <c r="E20" s="2">
        <f>'[5]Table 7.2'!AR116</f>
        <v>5.98</v>
      </c>
      <c r="F20" s="2">
        <f>'[5]Table 7.2'!AS116</f>
        <v>16.64</v>
      </c>
      <c r="G20" s="2">
        <f>'[5]Table 7.2'!AT116</f>
        <v>4.87</v>
      </c>
      <c r="H20" s="2">
        <f>'[5]Table 7.2'!AU116</f>
        <v>16.37</v>
      </c>
      <c r="I20" s="2">
        <f>'[5]Table 7.2'!AV116</f>
        <v>8.3699999999999992</v>
      </c>
      <c r="J20" s="2">
        <f>'[5]Table 7.2'!AW116</f>
        <v>4.79</v>
      </c>
      <c r="K20" s="2">
        <f>'[5]Table 7.2'!AX116</f>
        <v>5.42</v>
      </c>
      <c r="L20" s="2">
        <f>'[5]Table 7.2'!AY116</f>
        <v>19.82</v>
      </c>
      <c r="M20" s="2">
        <f>'[5]Table 7.2'!AZ116</f>
        <v>6.49</v>
      </c>
      <c r="N20" s="2">
        <f>'[5]Table 7.2'!BA116</f>
        <v>0</v>
      </c>
      <c r="O20" s="2">
        <f>'[5]Table 7.2'!BB116</f>
        <v>3.17</v>
      </c>
      <c r="Q20" s="3">
        <f>10463</f>
        <v>10463</v>
      </c>
      <c r="R20" s="3">
        <f t="shared" si="0"/>
        <v>2769</v>
      </c>
      <c r="S20" s="3">
        <v>7694</v>
      </c>
      <c r="U20">
        <f>1517</f>
        <v>1517</v>
      </c>
      <c r="V20" s="3">
        <f t="shared" si="1"/>
        <v>179</v>
      </c>
      <c r="W20">
        <v>1338</v>
      </c>
      <c r="Y20" s="4">
        <f t="shared" si="2"/>
        <v>6.8971654581410675</v>
      </c>
      <c r="Z20" s="4" t="e">
        <f t="shared" si="3"/>
        <v>#DIV/0!</v>
      </c>
      <c r="AA20" s="4">
        <f t="shared" si="4"/>
        <v>5.98</v>
      </c>
      <c r="AC20" s="5">
        <f>'[6]Table 7.6'!AR113</f>
        <v>0</v>
      </c>
      <c r="AD20" s="5">
        <f>'[6]Table 7.6'!AS113</f>
        <v>0</v>
      </c>
      <c r="AE20" s="5">
        <f t="shared" si="5"/>
        <v>0</v>
      </c>
    </row>
    <row r="21" spans="3:31" x14ac:dyDescent="0.2">
      <c r="C21" s="1" t="str">
        <f>'[5]Table 7.2'!AP117</f>
        <v>325</v>
      </c>
      <c r="D21" s="1" t="str">
        <f>'[5]Table 7.2'!AQ117</f>
        <v>Chemicals</v>
      </c>
      <c r="E21" s="2">
        <f>'[5]Table 7.2'!AR117</f>
        <v>9.39</v>
      </c>
      <c r="F21" s="2">
        <f>'[5]Table 7.2'!AS117</f>
        <v>16.309999999999999</v>
      </c>
      <c r="G21" s="2">
        <f>'[5]Table 7.2'!AT117</f>
        <v>4.8600000000000003</v>
      </c>
      <c r="H21" s="2">
        <f>'[5]Table 7.2'!AU117</f>
        <v>17.05</v>
      </c>
      <c r="I21" s="2">
        <f>'[5]Table 7.2'!AV117</f>
        <v>10.61</v>
      </c>
      <c r="J21" s="2">
        <f>'[5]Table 7.2'!AW117</f>
        <v>3.28</v>
      </c>
      <c r="K21" s="2">
        <f>'[5]Table 7.2'!AX117</f>
        <v>8.08</v>
      </c>
      <c r="L21" s="2">
        <f>'[5]Table 7.2'!AY117</f>
        <v>13.98</v>
      </c>
      <c r="M21" s="2">
        <f>'[5]Table 7.2'!AZ117</f>
        <v>6.93</v>
      </c>
      <c r="N21" s="2">
        <f>'[5]Table 7.2'!BA117</f>
        <v>3.19</v>
      </c>
      <c r="O21" s="2">
        <f>'[5]Table 7.2'!BB117</f>
        <v>11.37</v>
      </c>
      <c r="Q21" s="3">
        <f>48096</f>
        <v>48096</v>
      </c>
      <c r="R21" s="3">
        <f t="shared" si="0"/>
        <v>7849</v>
      </c>
      <c r="S21" s="3">
        <v>40247</v>
      </c>
      <c r="U21">
        <f>2913-499</f>
        <v>2414</v>
      </c>
      <c r="V21" s="3">
        <f t="shared" si="1"/>
        <v>0</v>
      </c>
      <c r="W21">
        <v>2414</v>
      </c>
      <c r="Y21" s="4">
        <f t="shared" si="2"/>
        <v>19.92377796188898</v>
      </c>
      <c r="Z21" s="4" t="e">
        <f t="shared" si="3"/>
        <v>#DIV/0!</v>
      </c>
      <c r="AA21" s="4">
        <f t="shared" si="4"/>
        <v>9.39</v>
      </c>
      <c r="AC21" s="5">
        <f>'[6]Table 7.6'!AR114</f>
        <v>0</v>
      </c>
      <c r="AD21" s="5">
        <f>'[6]Table 7.6'!AS114</f>
        <v>0</v>
      </c>
      <c r="AE21" s="5">
        <f t="shared" si="5"/>
        <v>0</v>
      </c>
    </row>
    <row r="22" spans="3:31" x14ac:dyDescent="0.2">
      <c r="C22" s="1" t="str">
        <f>'[5]Table 7.2'!AP118</f>
        <v>326</v>
      </c>
      <c r="D22" s="1" t="str">
        <f>'[5]Table 7.2'!AQ118</f>
        <v>Plastics and Rubber Products</v>
      </c>
      <c r="E22" s="2">
        <f>'[5]Table 7.2'!AR118</f>
        <v>16.04</v>
      </c>
      <c r="F22" s="2">
        <f>'[5]Table 7.2'!AS118</f>
        <v>22.68</v>
      </c>
      <c r="G22" s="2">
        <f>'[5]Table 7.2'!AT118</f>
        <v>6.45</v>
      </c>
      <c r="H22" s="2">
        <f>'[5]Table 7.2'!AU118</f>
        <v>22.73</v>
      </c>
      <c r="I22" s="2">
        <f>'[5]Table 7.2'!AV118</f>
        <v>12.8</v>
      </c>
      <c r="J22" s="2">
        <f>'[5]Table 7.2'!AW118</f>
        <v>6.1</v>
      </c>
      <c r="K22" s="2">
        <f>'[5]Table 7.2'!AX118</f>
        <v>0</v>
      </c>
      <c r="L22" s="2">
        <f>'[5]Table 7.2'!AY118</f>
        <v>18.12</v>
      </c>
      <c r="M22" s="2">
        <f>'[5]Table 7.2'!AZ118</f>
        <v>4.4000000000000004</v>
      </c>
      <c r="N22" s="2">
        <f>'[5]Table 7.2'!BA118</f>
        <v>0</v>
      </c>
      <c r="O22" s="2">
        <f>'[5]Table 7.2'!BB118</f>
        <v>0</v>
      </c>
      <c r="Q22" s="3">
        <f>4371</f>
        <v>4371</v>
      </c>
      <c r="R22" s="3">
        <f t="shared" si="0"/>
        <v>3541</v>
      </c>
      <c r="S22" s="3">
        <v>830</v>
      </c>
      <c r="U22">
        <f>271</f>
        <v>271</v>
      </c>
      <c r="V22" s="3">
        <f t="shared" si="1"/>
        <v>156</v>
      </c>
      <c r="W22">
        <v>115</v>
      </c>
      <c r="Y22" s="4">
        <f t="shared" si="2"/>
        <v>16.129151291512915</v>
      </c>
      <c r="Z22" s="4" t="e">
        <f t="shared" si="3"/>
        <v>#DIV/0!</v>
      </c>
      <c r="AA22" s="4">
        <f t="shared" si="4"/>
        <v>16.04</v>
      </c>
      <c r="AC22" s="5">
        <f>'[6]Table 7.6'!AR115</f>
        <v>0</v>
      </c>
      <c r="AD22" s="5">
        <f>'[6]Table 7.6'!AS115</f>
        <v>0</v>
      </c>
      <c r="AE22" s="5">
        <f t="shared" si="5"/>
        <v>0</v>
      </c>
    </row>
    <row r="23" spans="3:31" x14ac:dyDescent="0.2">
      <c r="C23" s="1" t="str">
        <f>'[5]Table 7.2'!AP119</f>
        <v>327</v>
      </c>
      <c r="D23" s="1" t="str">
        <f>'[5]Table 7.2'!AQ119</f>
        <v>Nonmetallic Mineral Products</v>
      </c>
      <c r="E23" s="2">
        <f>'[5]Table 7.2'!AR119</f>
        <v>7.41</v>
      </c>
      <c r="F23" s="2">
        <f>'[5]Table 7.2'!AS119</f>
        <v>20.67</v>
      </c>
      <c r="G23" s="2">
        <f>'[5]Table 7.2'!AT119</f>
        <v>5.9</v>
      </c>
      <c r="H23" s="2">
        <f>'[5]Table 7.2'!AU119</f>
        <v>16.7</v>
      </c>
      <c r="I23" s="2">
        <f>'[5]Table 7.2'!AV119</f>
        <v>11.6</v>
      </c>
      <c r="J23" s="2">
        <f>'[5]Table 7.2'!AW119</f>
        <v>3.07</v>
      </c>
      <c r="K23" s="2">
        <f>'[5]Table 7.2'!AX119</f>
        <v>8.6999999999999993</v>
      </c>
      <c r="L23" s="2">
        <f>'[5]Table 7.2'!AY119</f>
        <v>18.91</v>
      </c>
      <c r="M23" s="2">
        <f>'[5]Table 7.2'!AZ119</f>
        <v>0</v>
      </c>
      <c r="N23" s="2">
        <f>'[5]Table 7.2'!BA119</f>
        <v>1.71</v>
      </c>
      <c r="O23" s="2">
        <f>'[5]Table 7.2'!BB119</f>
        <v>0.36</v>
      </c>
      <c r="Q23" s="3">
        <f>5291</f>
        <v>5291</v>
      </c>
      <c r="R23" s="3">
        <f t="shared" si="0"/>
        <v>2292</v>
      </c>
      <c r="S23" s="3">
        <v>2999</v>
      </c>
      <c r="U23">
        <f>709</f>
        <v>709</v>
      </c>
      <c r="V23" s="3">
        <f t="shared" si="1"/>
        <v>111</v>
      </c>
      <c r="W23">
        <v>598</v>
      </c>
      <c r="Y23" s="4">
        <f t="shared" si="2"/>
        <v>7.4626234132581102</v>
      </c>
      <c r="Z23" s="4" t="e">
        <f t="shared" si="3"/>
        <v>#DIV/0!</v>
      </c>
      <c r="AA23" s="4">
        <f t="shared" si="4"/>
        <v>7.41</v>
      </c>
      <c r="AC23" s="5">
        <f>'[6]Table 7.6'!AR116</f>
        <v>0</v>
      </c>
      <c r="AD23" s="5">
        <f>'[6]Table 7.6'!AS116</f>
        <v>0</v>
      </c>
      <c r="AE23" s="5">
        <f t="shared" si="5"/>
        <v>0</v>
      </c>
    </row>
    <row r="24" spans="3:31" x14ac:dyDescent="0.2">
      <c r="C24" s="1" t="str">
        <f>'[5]Table 7.2'!AP120</f>
        <v>331</v>
      </c>
      <c r="D24" s="1" t="str">
        <f>'[5]Table 7.2'!AQ120</f>
        <v>Primary Metals</v>
      </c>
      <c r="E24" s="2">
        <f>'[5]Table 7.2'!AR120</f>
        <v>7.97</v>
      </c>
      <c r="F24" s="2">
        <f>'[5]Table 7.2'!AS120</f>
        <v>14.28</v>
      </c>
      <c r="G24" s="2">
        <f>'[5]Table 7.2'!AT120</f>
        <v>5.37</v>
      </c>
      <c r="H24" s="2">
        <f>'[5]Table 7.2'!AU120</f>
        <v>15.01</v>
      </c>
      <c r="I24" s="2">
        <f>'[5]Table 7.2'!AV120</f>
        <v>10.37</v>
      </c>
      <c r="J24" s="2">
        <f>'[5]Table 7.2'!AW120</f>
        <v>4.79</v>
      </c>
      <c r="K24" s="2">
        <f>'[5]Table 7.2'!AX120</f>
        <v>10.4</v>
      </c>
      <c r="L24" s="2">
        <f>'[5]Table 7.2'!AY120</f>
        <v>16.53</v>
      </c>
      <c r="M24" s="2">
        <f>'[5]Table 7.2'!AZ120</f>
        <v>7</v>
      </c>
      <c r="N24" s="2">
        <f>'[5]Table 7.2'!BA120</f>
        <v>3.46</v>
      </c>
      <c r="O24" s="2">
        <f>'[5]Table 7.2'!BB120</f>
        <v>30.34</v>
      </c>
      <c r="Q24" s="3">
        <f>14498</f>
        <v>14498</v>
      </c>
      <c r="R24" s="3">
        <f t="shared" si="0"/>
        <v>5878</v>
      </c>
      <c r="S24" s="3">
        <v>8620</v>
      </c>
      <c r="U24">
        <f>1328</f>
        <v>1328</v>
      </c>
      <c r="V24" s="3">
        <f t="shared" si="1"/>
        <v>412</v>
      </c>
      <c r="W24">
        <v>916</v>
      </c>
      <c r="Y24" s="4">
        <f t="shared" si="2"/>
        <v>10.917168674698795</v>
      </c>
      <c r="Z24" s="4" t="e">
        <f t="shared" si="3"/>
        <v>#DIV/0!</v>
      </c>
      <c r="AA24" s="4">
        <f t="shared" si="4"/>
        <v>7.97</v>
      </c>
      <c r="AC24" s="5">
        <f>'[6]Table 7.6'!AR117</f>
        <v>0</v>
      </c>
      <c r="AD24" s="5">
        <f>'[6]Table 7.6'!AS117</f>
        <v>0</v>
      </c>
      <c r="AE24" s="5">
        <f t="shared" si="5"/>
        <v>0</v>
      </c>
    </row>
    <row r="25" spans="3:31" x14ac:dyDescent="0.2">
      <c r="C25" s="1" t="str">
        <f>'[5]Table 7.2'!AP121</f>
        <v>332</v>
      </c>
      <c r="D25" s="1" t="str">
        <f>'[5]Table 7.2'!AQ121</f>
        <v>Fabricated Metal Products</v>
      </c>
      <c r="E25" s="2">
        <f>'[5]Table 7.2'!AR121</f>
        <v>14.86</v>
      </c>
      <c r="F25" s="2">
        <f>'[5]Table 7.2'!AS121</f>
        <v>24.6</v>
      </c>
      <c r="G25" s="2">
        <f>'[5]Table 7.2'!AT121</f>
        <v>6.73</v>
      </c>
      <c r="H25" s="2">
        <f>'[5]Table 7.2'!AU121</f>
        <v>21.39</v>
      </c>
      <c r="I25" s="2">
        <f>'[5]Table 7.2'!AV121</f>
        <v>6.36</v>
      </c>
      <c r="J25" s="2">
        <f>'[5]Table 7.2'!AW121</f>
        <v>4.8499999999999996</v>
      </c>
      <c r="K25" s="2">
        <f>'[5]Table 7.2'!AX121</f>
        <v>8.06</v>
      </c>
      <c r="L25" s="2">
        <f>'[5]Table 7.2'!AY121</f>
        <v>22.17</v>
      </c>
      <c r="M25" s="2">
        <f>'[5]Table 7.2'!AZ121</f>
        <v>0</v>
      </c>
      <c r="N25" s="2">
        <f>'[5]Table 7.2'!BA121</f>
        <v>0</v>
      </c>
      <c r="O25" s="2">
        <f>'[5]Table 7.2'!BB121</f>
        <v>0</v>
      </c>
      <c r="Q25" s="3">
        <f>4457</f>
        <v>4457</v>
      </c>
      <c r="R25" s="3">
        <f t="shared" si="0"/>
        <v>3139</v>
      </c>
      <c r="S25" s="3">
        <v>1318</v>
      </c>
      <c r="U25">
        <f>300</f>
        <v>300</v>
      </c>
      <c r="V25" s="3">
        <f t="shared" si="1"/>
        <v>128</v>
      </c>
      <c r="W25">
        <v>172</v>
      </c>
      <c r="Y25" s="4">
        <f t="shared" si="2"/>
        <v>14.856666666666667</v>
      </c>
      <c r="Z25" s="4" t="e">
        <f t="shared" si="3"/>
        <v>#DIV/0!</v>
      </c>
      <c r="AA25" s="4">
        <f t="shared" si="4"/>
        <v>14.86</v>
      </c>
      <c r="AC25" s="5">
        <f>'[6]Table 7.6'!AR118</f>
        <v>0</v>
      </c>
      <c r="AD25" s="5">
        <f>'[6]Table 7.6'!AS118</f>
        <v>0</v>
      </c>
      <c r="AE25" s="5">
        <f t="shared" si="5"/>
        <v>0</v>
      </c>
    </row>
    <row r="26" spans="3:31" x14ac:dyDescent="0.2">
      <c r="C26" s="1" t="str">
        <f>'[5]Table 7.2'!AP122</f>
        <v>333</v>
      </c>
      <c r="D26" s="1" t="str">
        <f>'[5]Table 7.2'!AQ122</f>
        <v>Machinery</v>
      </c>
      <c r="E26" s="2">
        <f>'[5]Table 7.2'!AR122</f>
        <v>16.100000000000001</v>
      </c>
      <c r="F26" s="2">
        <f>'[5]Table 7.2'!AS122</f>
        <v>24.94</v>
      </c>
      <c r="G26" s="2">
        <f>'[5]Table 7.2'!AT122</f>
        <v>7.06</v>
      </c>
      <c r="H26" s="2">
        <f>'[5]Table 7.2'!AU122</f>
        <v>19.73</v>
      </c>
      <c r="I26" s="2">
        <f>'[5]Table 7.2'!AV122</f>
        <v>7.7</v>
      </c>
      <c r="J26" s="2">
        <f>'[5]Table 7.2'!AW122</f>
        <v>0</v>
      </c>
      <c r="K26" s="2">
        <f>'[5]Table 7.2'!AX122</f>
        <v>0</v>
      </c>
      <c r="L26" s="2">
        <f>'[5]Table 7.2'!AY122</f>
        <v>20.82</v>
      </c>
      <c r="M26" s="2">
        <f>'[5]Table 7.2'!AZ122</f>
        <v>7.1</v>
      </c>
      <c r="N26" s="2">
        <f>'[5]Table 7.2'!BA122</f>
        <v>0</v>
      </c>
      <c r="O26" s="2">
        <f>'[5]Table 7.2'!BB122</f>
        <v>0</v>
      </c>
      <c r="Q26" s="3">
        <f>2379</f>
        <v>2379</v>
      </c>
      <c r="R26" s="3">
        <f t="shared" si="0"/>
        <v>1735</v>
      </c>
      <c r="S26" s="3">
        <v>644</v>
      </c>
      <c r="U26">
        <f>148-70</f>
        <v>78</v>
      </c>
      <c r="V26" s="3">
        <f t="shared" si="1"/>
        <v>0</v>
      </c>
      <c r="W26">
        <v>78</v>
      </c>
      <c r="Y26" s="4">
        <f t="shared" si="2"/>
        <v>30.5</v>
      </c>
      <c r="Z26" s="4" t="e">
        <f t="shared" si="3"/>
        <v>#DIV/0!</v>
      </c>
      <c r="AA26" s="4">
        <f t="shared" si="4"/>
        <v>16.100000000000001</v>
      </c>
      <c r="AC26" s="5">
        <f>'[6]Table 7.6'!AR119</f>
        <v>0</v>
      </c>
      <c r="AD26" s="5">
        <f>'[6]Table 7.6'!AS119</f>
        <v>0</v>
      </c>
      <c r="AE26" s="5">
        <f t="shared" si="5"/>
        <v>0</v>
      </c>
    </row>
    <row r="27" spans="3:31" x14ac:dyDescent="0.2">
      <c r="C27" s="1" t="str">
        <f>'[5]Table 7.2'!AP123</f>
        <v>334</v>
      </c>
      <c r="D27" s="1" t="str">
        <f>'[5]Table 7.2'!AQ123</f>
        <v>Computer and Electronic Products</v>
      </c>
      <c r="E27" s="2">
        <f>'[5]Table 7.2'!AR123</f>
        <v>18.27</v>
      </c>
      <c r="F27" s="2">
        <f>'[5]Table 7.2'!AS123</f>
        <v>23.29</v>
      </c>
      <c r="G27" s="2">
        <f>'[5]Table 7.2'!AT123</f>
        <v>6.56</v>
      </c>
      <c r="H27" s="2">
        <f>'[5]Table 7.2'!AU123</f>
        <v>19.8</v>
      </c>
      <c r="I27" s="2">
        <f>'[5]Table 7.2'!AV123</f>
        <v>14.32</v>
      </c>
      <c r="J27" s="2">
        <f>'[5]Table 7.2'!AW123</f>
        <v>0</v>
      </c>
      <c r="K27" s="2">
        <f>'[5]Table 7.2'!AX123</f>
        <v>0</v>
      </c>
      <c r="L27" s="2">
        <f>'[5]Table 7.2'!AY123</f>
        <v>24.93</v>
      </c>
      <c r="M27" s="2">
        <f>'[5]Table 7.2'!AZ123</f>
        <v>7.67</v>
      </c>
      <c r="N27" s="2">
        <f>'[5]Table 7.2'!BA123</f>
        <v>0</v>
      </c>
      <c r="O27" s="2">
        <f>'[5]Table 7.2'!BB123</f>
        <v>0</v>
      </c>
      <c r="Q27" s="3">
        <f>2655</f>
        <v>2655</v>
      </c>
      <c r="R27" s="3">
        <f t="shared" si="0"/>
        <v>2343</v>
      </c>
      <c r="S27" s="3">
        <v>312</v>
      </c>
      <c r="U27">
        <f>144</f>
        <v>144</v>
      </c>
      <c r="V27" s="3">
        <f t="shared" si="1"/>
        <v>101</v>
      </c>
      <c r="W27">
        <v>43</v>
      </c>
      <c r="Y27" s="4">
        <f t="shared" si="2"/>
        <v>18.4375</v>
      </c>
      <c r="Z27" s="4" t="e">
        <f t="shared" si="3"/>
        <v>#DIV/0!</v>
      </c>
      <c r="AA27" s="4">
        <f t="shared" si="4"/>
        <v>18.27</v>
      </c>
      <c r="AC27" s="5">
        <f>'[6]Table 7.6'!AR120</f>
        <v>0</v>
      </c>
      <c r="AD27" s="5">
        <f>'[6]Table 7.6'!AS120</f>
        <v>0</v>
      </c>
      <c r="AE27" s="5">
        <f t="shared" si="5"/>
        <v>0</v>
      </c>
    </row>
    <row r="28" spans="3:31" x14ac:dyDescent="0.2">
      <c r="C28" s="1" t="str">
        <f>'[5]Table 7.2'!AP124</f>
        <v>335</v>
      </c>
      <c r="D28" s="1" t="str">
        <f>'[5]Table 7.2'!AQ124</f>
        <v>Electrical Equip., Appliances, and Components</v>
      </c>
      <c r="E28" s="2">
        <f>'[5]Table 7.2'!AR124</f>
        <v>13.24</v>
      </c>
      <c r="F28" s="2">
        <f>'[5]Table 7.2'!AS124</f>
        <v>22.75</v>
      </c>
      <c r="G28" s="2">
        <f>'[5]Table 7.2'!AT124</f>
        <v>6.78</v>
      </c>
      <c r="H28" s="2">
        <f>'[5]Table 7.2'!AU124</f>
        <v>18.37</v>
      </c>
      <c r="I28" s="2">
        <f>'[5]Table 7.2'!AV124</f>
        <v>12.64</v>
      </c>
      <c r="J28" s="2">
        <f>'[5]Table 7.2'!AW124</f>
        <v>0</v>
      </c>
      <c r="K28" s="2">
        <f>'[5]Table 7.2'!AX124</f>
        <v>18.75</v>
      </c>
      <c r="L28" s="2">
        <f>'[5]Table 7.2'!AY124</f>
        <v>18.22</v>
      </c>
      <c r="M28" s="2">
        <f>'[5]Table 7.2'!AZ124</f>
        <v>0</v>
      </c>
      <c r="N28" s="2">
        <f>'[5]Table 7.2'!BA124</f>
        <v>0</v>
      </c>
      <c r="O28" s="2">
        <f>'[5]Table 7.2'!BB124</f>
        <v>0</v>
      </c>
      <c r="Q28" s="3">
        <f>1291</f>
        <v>1291</v>
      </c>
      <c r="R28" s="3">
        <f t="shared" si="0"/>
        <v>830</v>
      </c>
      <c r="S28" s="3">
        <v>461</v>
      </c>
      <c r="U28">
        <f>74</f>
        <v>74</v>
      </c>
      <c r="V28" s="3">
        <f t="shared" si="1"/>
        <v>36</v>
      </c>
      <c r="W28">
        <v>38</v>
      </c>
      <c r="Y28" s="4">
        <f t="shared" si="2"/>
        <v>17.445945945945947</v>
      </c>
      <c r="Z28" s="4" t="e">
        <f t="shared" si="3"/>
        <v>#DIV/0!</v>
      </c>
      <c r="AA28" s="4">
        <f t="shared" si="4"/>
        <v>13.24</v>
      </c>
      <c r="AC28" s="5">
        <f>'[6]Table 7.6'!AR121</f>
        <v>0</v>
      </c>
      <c r="AD28" s="5">
        <f>'[6]Table 7.6'!AS121</f>
        <v>0</v>
      </c>
      <c r="AE28" s="5">
        <f t="shared" si="5"/>
        <v>0</v>
      </c>
    </row>
    <row r="29" spans="3:31" x14ac:dyDescent="0.2">
      <c r="C29" s="1" t="str">
        <f>'[5]Table 7.2'!AP125</f>
        <v>336</v>
      </c>
      <c r="D29" s="1" t="str">
        <f>'[5]Table 7.2'!AQ125</f>
        <v>Transportation Equipment</v>
      </c>
      <c r="E29" s="2">
        <f>'[5]Table 7.2'!AR125</f>
        <v>14.3</v>
      </c>
      <c r="F29" s="2">
        <f>'[5]Table 7.2'!AS125</f>
        <v>21.84</v>
      </c>
      <c r="G29" s="2">
        <f>'[5]Table 7.2'!AT125</f>
        <v>6.63</v>
      </c>
      <c r="H29" s="2">
        <f>'[5]Table 7.2'!AU125</f>
        <v>21.58</v>
      </c>
      <c r="I29" s="2">
        <f>'[5]Table 7.2'!AV125</f>
        <v>9.23</v>
      </c>
      <c r="J29" s="2">
        <f>'[5]Table 7.2'!AW125</f>
        <v>5.0599999999999996</v>
      </c>
      <c r="K29" s="2">
        <f>'[5]Table 7.2'!AX125</f>
        <v>0</v>
      </c>
      <c r="L29" s="2">
        <f>'[5]Table 7.2'!AY125</f>
        <v>20.86</v>
      </c>
      <c r="M29" s="2">
        <f>'[5]Table 7.2'!AZ125</f>
        <v>13.88</v>
      </c>
      <c r="N29" s="2">
        <f>'[5]Table 7.2'!BA125</f>
        <v>0</v>
      </c>
      <c r="O29" s="2">
        <f>'[5]Table 7.2'!BB125</f>
        <v>16.03</v>
      </c>
      <c r="Q29" s="3">
        <f>3981</f>
        <v>3981</v>
      </c>
      <c r="R29" s="3">
        <f t="shared" si="0"/>
        <v>2884</v>
      </c>
      <c r="S29" s="3">
        <v>1097</v>
      </c>
      <c r="U29">
        <f>276</f>
        <v>276</v>
      </c>
      <c r="V29" s="3">
        <f t="shared" si="1"/>
        <v>133</v>
      </c>
      <c r="W29">
        <v>143</v>
      </c>
      <c r="Y29" s="4">
        <f t="shared" si="2"/>
        <v>14.423913043478262</v>
      </c>
      <c r="Z29" s="4" t="e">
        <f t="shared" si="3"/>
        <v>#DIV/0!</v>
      </c>
      <c r="AA29" s="4">
        <f t="shared" si="4"/>
        <v>14.3</v>
      </c>
      <c r="AC29" s="5">
        <f>'[6]Table 7.6'!AR122</f>
        <v>0</v>
      </c>
      <c r="AD29" s="5">
        <f>'[6]Table 7.6'!AS122</f>
        <v>0</v>
      </c>
      <c r="AE29" s="5">
        <f t="shared" si="5"/>
        <v>0</v>
      </c>
    </row>
    <row r="30" spans="3:31" x14ac:dyDescent="0.2">
      <c r="C30" s="1" t="str">
        <f>'[5]Table 7.2'!AP126</f>
        <v>337</v>
      </c>
      <c r="D30" s="1" t="str">
        <f>'[5]Table 7.2'!AQ126</f>
        <v>Furniture and Related Products</v>
      </c>
      <c r="E30" s="2">
        <f>'[5]Table 7.2'!AR126</f>
        <v>17.86</v>
      </c>
      <c r="F30" s="2">
        <f>'[5]Table 7.2'!AS126</f>
        <v>27.47</v>
      </c>
      <c r="G30" s="2">
        <f>'[5]Table 7.2'!AT126</f>
        <v>8.61</v>
      </c>
      <c r="H30" s="2">
        <f>'[5]Table 7.2'!AU126</f>
        <v>20.07</v>
      </c>
      <c r="I30" s="2">
        <f>'[5]Table 7.2'!AV126</f>
        <v>0</v>
      </c>
      <c r="J30" s="2">
        <f>'[5]Table 7.2'!AW126</f>
        <v>2.64</v>
      </c>
      <c r="K30" s="2">
        <f>'[5]Table 7.2'!AX126</f>
        <v>0</v>
      </c>
      <c r="L30" s="2">
        <f>'[5]Table 7.2'!AY126</f>
        <v>20.91</v>
      </c>
      <c r="M30" s="2">
        <f>'[5]Table 7.2'!AZ126</f>
        <v>0</v>
      </c>
      <c r="N30" s="2">
        <f>'[5]Table 7.2'!BA126</f>
        <v>2.0299999999999998</v>
      </c>
      <c r="O30" s="2">
        <f>'[5]Table 7.2'!BB126</f>
        <v>0</v>
      </c>
      <c r="Q30" s="3">
        <f>607</f>
        <v>607</v>
      </c>
      <c r="R30" s="3">
        <f t="shared" si="0"/>
        <v>465</v>
      </c>
      <c r="S30" s="3">
        <v>142</v>
      </c>
      <c r="U30">
        <f>33</f>
        <v>33</v>
      </c>
      <c r="V30" s="3">
        <f t="shared" si="1"/>
        <v>17</v>
      </c>
      <c r="W30">
        <v>16</v>
      </c>
      <c r="Y30" s="4">
        <f t="shared" si="2"/>
        <v>18.393939393939394</v>
      </c>
      <c r="Z30" s="4" t="e">
        <f t="shared" si="3"/>
        <v>#DIV/0!</v>
      </c>
      <c r="AA30" s="4">
        <f t="shared" si="4"/>
        <v>17.86</v>
      </c>
      <c r="AC30" s="5">
        <f>'[6]Table 7.6'!AR123</f>
        <v>0</v>
      </c>
      <c r="AD30" s="5">
        <f>'[6]Table 7.6'!AS123</f>
        <v>0</v>
      </c>
      <c r="AE30" s="5">
        <f t="shared" si="5"/>
        <v>0</v>
      </c>
    </row>
    <row r="31" spans="3:31" x14ac:dyDescent="0.2">
      <c r="C31" s="1" t="str">
        <f>'[5]Table 7.2'!AP127</f>
        <v>339</v>
      </c>
      <c r="D31" s="1" t="str">
        <f>'[5]Table 7.2'!AQ127</f>
        <v>Miscellaneous</v>
      </c>
      <c r="E31" s="2">
        <f>'[5]Table 7.2'!AR127</f>
        <v>20.56</v>
      </c>
      <c r="F31" s="2">
        <f>'[5]Table 7.2'!AS127</f>
        <v>28.28</v>
      </c>
      <c r="G31" s="2">
        <f>'[5]Table 7.2'!AT127</f>
        <v>8.32</v>
      </c>
      <c r="H31" s="2">
        <f>'[5]Table 7.2'!AU127</f>
        <v>18.23</v>
      </c>
      <c r="I31" s="2">
        <f>'[5]Table 7.2'!AV127</f>
        <v>19.88</v>
      </c>
      <c r="J31" s="2">
        <f>'[5]Table 7.2'!AW127</f>
        <v>3.63</v>
      </c>
      <c r="K31" s="2">
        <f>'[5]Table 7.2'!AX127</f>
        <v>0</v>
      </c>
      <c r="L31" s="2">
        <f>'[5]Table 7.2'!AY127</f>
        <v>23.65</v>
      </c>
      <c r="M31" s="2">
        <f>'[5]Table 7.2'!AZ127</f>
        <v>0</v>
      </c>
      <c r="N31" s="2">
        <f>'[5]Table 7.2'!BA127</f>
        <v>0</v>
      </c>
      <c r="O31" s="2">
        <f>'[5]Table 7.2'!BB127</f>
        <v>0</v>
      </c>
      <c r="Q31" s="3">
        <f>892</f>
        <v>892</v>
      </c>
      <c r="R31" s="3">
        <f t="shared" si="0"/>
        <v>730</v>
      </c>
      <c r="S31" s="3">
        <v>162</v>
      </c>
      <c r="U31">
        <f>43</f>
        <v>43</v>
      </c>
      <c r="V31" s="3">
        <f t="shared" si="1"/>
        <v>26</v>
      </c>
      <c r="W31">
        <v>17</v>
      </c>
      <c r="Y31" s="4">
        <f t="shared" si="2"/>
        <v>20.744186046511629</v>
      </c>
      <c r="Z31" s="4" t="e">
        <f t="shared" si="3"/>
        <v>#DIV/0!</v>
      </c>
      <c r="AA31" s="4">
        <f t="shared" si="4"/>
        <v>20.56</v>
      </c>
      <c r="AC31" s="5">
        <f>'[6]Table 7.6'!AR124</f>
        <v>0</v>
      </c>
      <c r="AD31" s="5">
        <f>'[6]Table 7.6'!AS124</f>
        <v>0</v>
      </c>
      <c r="AE31" s="5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P141"/>
  <sheetViews>
    <sheetView tabSelected="1" topLeftCell="L113" workbookViewId="0">
      <selection activeCell="R115" sqref="R115"/>
    </sheetView>
  </sheetViews>
  <sheetFormatPr defaultRowHeight="12.75" x14ac:dyDescent="0.2"/>
  <cols>
    <col min="2" max="2" width="10" customWidth="1"/>
    <col min="3" max="3" width="47.5703125" customWidth="1"/>
    <col min="4" max="4" width="10.7109375" customWidth="1"/>
    <col min="5" max="5" width="10.5703125" customWidth="1"/>
    <col min="6" max="6" width="10" customWidth="1"/>
    <col min="10" max="10" width="10.42578125" customWidth="1"/>
    <col min="12" max="12" width="11.7109375" customWidth="1"/>
    <col min="13" max="13" width="11.5703125" customWidth="1"/>
    <col min="14" max="16" width="10" customWidth="1"/>
    <col min="18" max="18" width="12" bestFit="1" customWidth="1"/>
    <col min="25" max="25" width="11.5703125" bestFit="1" customWidth="1"/>
    <col min="26" max="26" width="11.5703125" customWidth="1"/>
    <col min="28" max="28" width="9.7109375" customWidth="1"/>
    <col min="29" max="29" width="10.85546875" customWidth="1"/>
    <col min="30" max="30" width="11.42578125" customWidth="1"/>
    <col min="31" max="31" width="9.85546875" customWidth="1"/>
    <col min="32" max="32" width="11.5703125" bestFit="1" customWidth="1"/>
    <col min="35" max="35" width="28.42578125" customWidth="1"/>
    <col min="40" max="40" width="9.5703125" bestFit="1" customWidth="1"/>
    <col min="53" max="53" width="9.5703125" bestFit="1" customWidth="1"/>
    <col min="54" max="58" width="10.5703125" bestFit="1" customWidth="1"/>
    <col min="68" max="68" width="9.5703125" bestFit="1" customWidth="1"/>
  </cols>
  <sheetData>
    <row r="1" spans="2:68" x14ac:dyDescent="0.2">
      <c r="B1" s="33" t="s">
        <v>280</v>
      </c>
    </row>
    <row r="2" spans="2:68" x14ac:dyDescent="0.2">
      <c r="R2" t="s">
        <v>79</v>
      </c>
      <c r="U2" t="s">
        <v>81</v>
      </c>
    </row>
    <row r="3" spans="2:68" ht="25.5" x14ac:dyDescent="0.2">
      <c r="B3" s="13">
        <v>1998</v>
      </c>
      <c r="C3" t="s">
        <v>78</v>
      </c>
      <c r="F3" t="s">
        <v>53</v>
      </c>
      <c r="G3" t="s">
        <v>54</v>
      </c>
      <c r="I3" t="s">
        <v>55</v>
      </c>
      <c r="K3" t="s">
        <v>56</v>
      </c>
      <c r="AR3" s="11" t="s">
        <v>85</v>
      </c>
      <c r="AS3">
        <v>1998</v>
      </c>
      <c r="BA3" t="s">
        <v>174</v>
      </c>
      <c r="BH3" t="s">
        <v>175</v>
      </c>
      <c r="BN3" t="s">
        <v>180</v>
      </c>
    </row>
    <row r="4" spans="2:68" ht="39" x14ac:dyDescent="0.25">
      <c r="D4" t="s">
        <v>0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182</v>
      </c>
      <c r="R4" t="s">
        <v>2</v>
      </c>
      <c r="S4" t="s">
        <v>53</v>
      </c>
      <c r="T4" t="s">
        <v>54</v>
      </c>
      <c r="U4" t="s">
        <v>67</v>
      </c>
      <c r="V4" t="s">
        <v>68</v>
      </c>
      <c r="W4" t="s">
        <v>71</v>
      </c>
      <c r="X4" t="s">
        <v>56</v>
      </c>
      <c r="Y4" t="s">
        <v>69</v>
      </c>
      <c r="AH4" s="20">
        <v>1998</v>
      </c>
      <c r="AJ4" s="11" t="s">
        <v>76</v>
      </c>
      <c r="AK4" s="11" t="s">
        <v>72</v>
      </c>
      <c r="AL4" s="11" t="s">
        <v>73</v>
      </c>
      <c r="AM4" s="11" t="s">
        <v>74</v>
      </c>
      <c r="AN4" s="11" t="s">
        <v>91</v>
      </c>
      <c r="AO4" s="11" t="s">
        <v>77</v>
      </c>
      <c r="AR4" t="s">
        <v>53</v>
      </c>
      <c r="AS4" t="s">
        <v>54</v>
      </c>
      <c r="AT4" t="s">
        <v>67</v>
      </c>
      <c r="AU4" t="s">
        <v>68</v>
      </c>
      <c r="AV4" t="s">
        <v>71</v>
      </c>
      <c r="AW4" t="s">
        <v>56</v>
      </c>
      <c r="AX4" t="s">
        <v>69</v>
      </c>
      <c r="BB4" t="s">
        <v>53</v>
      </c>
      <c r="BC4" t="s">
        <v>54</v>
      </c>
      <c r="BD4" t="s">
        <v>67</v>
      </c>
      <c r="BE4" t="s">
        <v>68</v>
      </c>
      <c r="BF4" t="s">
        <v>71</v>
      </c>
      <c r="BH4" t="s">
        <v>53</v>
      </c>
      <c r="BI4" t="s">
        <v>54</v>
      </c>
      <c r="BJ4" t="s">
        <v>67</v>
      </c>
      <c r="BK4" t="s">
        <v>68</v>
      </c>
      <c r="BL4" t="s">
        <v>71</v>
      </c>
      <c r="BP4" t="s">
        <v>183</v>
      </c>
    </row>
    <row r="5" spans="2:68" ht="15" x14ac:dyDescent="0.25">
      <c r="B5" s="6" t="s">
        <v>10</v>
      </c>
      <c r="C5" s="7" t="s">
        <v>11</v>
      </c>
      <c r="D5" s="21">
        <f>[7]M98_01p1!C39</f>
        <v>992</v>
      </c>
      <c r="E5" s="21">
        <f>[7]M98_01p1!D39</f>
        <v>215</v>
      </c>
      <c r="F5" s="21">
        <f>[7]M98_01p1!E39</f>
        <v>14</v>
      </c>
      <c r="G5" s="21">
        <f>[7]M98_01p1!F39</f>
        <v>16</v>
      </c>
      <c r="H5" s="21">
        <f>[7]M98_01p1!G39</f>
        <v>568</v>
      </c>
      <c r="I5" s="21">
        <f>[7]M98_01p1!H39</f>
        <v>5</v>
      </c>
      <c r="J5" s="21">
        <f>[7]M98_01p1!I39</f>
        <v>129</v>
      </c>
      <c r="K5" s="21">
        <f>[7]M98_01p1!J39</f>
        <v>2</v>
      </c>
      <c r="L5" s="21">
        <f>[7]M98_01p1!K39</f>
        <v>44</v>
      </c>
      <c r="M5" s="16">
        <f>[7]M98_01p1!L39</f>
        <v>778</v>
      </c>
      <c r="N5" s="16">
        <f>[7]M98_01p1!M39</f>
        <v>777</v>
      </c>
      <c r="O5" s="16">
        <f>M5-K5-L5</f>
        <v>732</v>
      </c>
      <c r="P5" s="16"/>
      <c r="R5" s="5">
        <f>[8]M98_01p1!AT80</f>
        <v>14.84</v>
      </c>
      <c r="S5" s="5">
        <f>[8]M98_01p1!AV80</f>
        <v>2.7</v>
      </c>
      <c r="T5" s="5">
        <f>[8]M98_01p1!AU80</f>
        <v>4.0999999999999996</v>
      </c>
      <c r="U5" s="5">
        <f>[8]M98_01p1!AW80</f>
        <v>2.95</v>
      </c>
      <c r="V5" s="24">
        <f>[8]M98_01p1!AX80</f>
        <v>7.47</v>
      </c>
      <c r="W5" s="5">
        <f>[8]M98_01p1!AY80</f>
        <v>1.43</v>
      </c>
      <c r="X5" s="5">
        <f>[8]M98_01p1!AZ80</f>
        <v>6.6</v>
      </c>
      <c r="Y5" s="4">
        <f>[9]M98_01p1!N76</f>
        <v>2.4883720930232558</v>
      </c>
      <c r="Z5" s="4"/>
      <c r="AH5" t="str">
        <f>B5</f>
        <v>311</v>
      </c>
      <c r="AI5" s="9" t="str">
        <f>C5</f>
        <v>Food</v>
      </c>
      <c r="AJ5" s="4">
        <f>'[6]Table 7.6'!BG19</f>
        <v>0</v>
      </c>
      <c r="AK5" s="4">
        <f>'[6]Table 7.6'!BH19</f>
        <v>0</v>
      </c>
      <c r="AL5">
        <f>E5*R5</f>
        <v>3190.6</v>
      </c>
      <c r="AM5" s="4">
        <f>AJ5-AK5</f>
        <v>0</v>
      </c>
      <c r="AN5" s="14">
        <f>SUMPRODUCT(F5:L5,S5:Y5)</f>
        <v>2123.5083720930234</v>
      </c>
      <c r="AO5" s="4">
        <f>AN5/M5</f>
        <v>2.7294452083457883</v>
      </c>
      <c r="AR5" s="117">
        <f t="shared" ref="AR5:AX5" si="0">F5/$M5</f>
        <v>1.7994858611825194E-2</v>
      </c>
      <c r="AS5" s="117">
        <f t="shared" si="0"/>
        <v>2.056555269922879E-2</v>
      </c>
      <c r="AT5" s="117">
        <f t="shared" si="0"/>
        <v>0.73007712082262211</v>
      </c>
      <c r="AU5" s="117">
        <f t="shared" si="0"/>
        <v>6.4267352185089976E-3</v>
      </c>
      <c r="AV5" s="117">
        <f t="shared" si="0"/>
        <v>0.16580976863753213</v>
      </c>
      <c r="AW5" s="117">
        <f t="shared" si="0"/>
        <v>2.5706940874035988E-3</v>
      </c>
      <c r="AX5" s="117">
        <f t="shared" si="0"/>
        <v>5.6555269922879174E-2</v>
      </c>
      <c r="AY5">
        <f>SUM(AR5:AX5)</f>
        <v>1</v>
      </c>
      <c r="BA5" s="17">
        <f>SUM(AR5:AV5)</f>
        <v>0.94087403598971731</v>
      </c>
      <c r="BB5" s="17">
        <f>AR5/$BA5</f>
        <v>1.912568306010929E-2</v>
      </c>
      <c r="BC5" s="17">
        <f t="shared" ref="BC5:BF5" si="1">AS5/$BA5</f>
        <v>2.1857923497267756E-2</v>
      </c>
      <c r="BD5" s="17">
        <f t="shared" si="1"/>
        <v>0.77595628415300544</v>
      </c>
      <c r="BE5" s="17">
        <f t="shared" si="1"/>
        <v>6.8306010928961746E-3</v>
      </c>
      <c r="BF5" s="17">
        <f t="shared" si="1"/>
        <v>0.17622950819672129</v>
      </c>
      <c r="BH5" s="17">
        <f>MECS_data_SIC!BP118</f>
        <v>3.398993485001732E-2</v>
      </c>
      <c r="BI5" s="17">
        <f>MECS_data_SIC!BQ118</f>
        <v>2.2703956372616699E-2</v>
      </c>
      <c r="BJ5" s="17">
        <f>MECS_data_SIC!BR118</f>
        <v>0.75016514531009415</v>
      </c>
      <c r="BK5" s="17">
        <f>MECS_data_SIC!BS118</f>
        <v>7.6592498405155971E-3</v>
      </c>
      <c r="BL5" s="17">
        <f>MECS_data_SIC!BT118</f>
        <v>0.18548171362675617</v>
      </c>
      <c r="BN5" s="14">
        <f t="shared" ref="BN5:BN17" si="2">SUMPRODUCT(F5:J5,S5:W5)</f>
        <v>2000.8200000000002</v>
      </c>
      <c r="BP5" s="4">
        <f>BN5/O5</f>
        <v>2.7333606557377053</v>
      </c>
    </row>
    <row r="6" spans="2:68" ht="15" x14ac:dyDescent="0.25">
      <c r="B6" s="6" t="s">
        <v>12</v>
      </c>
      <c r="C6" s="7" t="s">
        <v>13</v>
      </c>
      <c r="D6" s="21">
        <f>[7]M98_01p1!C40</f>
        <v>109</v>
      </c>
      <c r="E6" s="21">
        <f>[7]M98_01p1!D40</f>
        <v>26</v>
      </c>
      <c r="F6" s="21">
        <f>[7]M98_01p1!E40</f>
        <v>2</v>
      </c>
      <c r="G6" s="21">
        <f>[7]M98_01p1!F40</f>
        <v>2</v>
      </c>
      <c r="H6" s="21">
        <f>[7]M98_01p1!G40</f>
        <v>45</v>
      </c>
      <c r="I6" s="21">
        <f>[7]M98_01p1!H40</f>
        <v>1</v>
      </c>
      <c r="J6" s="21">
        <f>[7]M98_01p1!I40</f>
        <v>29</v>
      </c>
      <c r="K6" s="21">
        <f>[7]M98_01p1!J40</f>
        <v>0</v>
      </c>
      <c r="L6" s="21">
        <f>[7]M98_01p1!K40</f>
        <v>3</v>
      </c>
      <c r="M6" s="16">
        <f>[7]M98_01p1!L40</f>
        <v>82</v>
      </c>
      <c r="N6" s="16">
        <f>[7]M98_01p1!M40</f>
        <v>83</v>
      </c>
      <c r="O6" s="16">
        <f t="shared" ref="O6:O25" si="3">M6-K6-L6</f>
        <v>79</v>
      </c>
      <c r="P6" s="16"/>
      <c r="R6" s="5">
        <f>[8]M98_01p1!AT81</f>
        <v>15.3</v>
      </c>
      <c r="S6" s="5">
        <f>[8]M98_01p1!AV81</f>
        <v>2.68</v>
      </c>
      <c r="T6" s="5">
        <f>[8]M98_01p1!AU81</f>
        <v>5.38</v>
      </c>
      <c r="U6" s="5">
        <f>[8]M98_01p1!AW81</f>
        <v>3.22</v>
      </c>
      <c r="V6" s="24">
        <f>[8]M98_01p1!AX81</f>
        <v>6.77</v>
      </c>
      <c r="W6" s="5">
        <f>[8]M98_01p1!AY81</f>
        <v>1.71</v>
      </c>
      <c r="X6" s="5">
        <f>[8]M98_01p1!AZ81</f>
        <v>0</v>
      </c>
      <c r="Y6" s="4">
        <f>[9]M98_01p1!N77</f>
        <v>2</v>
      </c>
      <c r="Z6" s="4"/>
      <c r="AH6" t="str">
        <f t="shared" ref="AH6:AH25" si="4">B6</f>
        <v>312</v>
      </c>
      <c r="AI6" s="9" t="str">
        <f t="shared" ref="AI6:AI25" si="5">C6</f>
        <v>Beverage and Tobacco Products</v>
      </c>
      <c r="AJ6" s="4">
        <f>'[6]Table 7.6'!BG20</f>
        <v>0</v>
      </c>
      <c r="AK6" s="4">
        <f>'[6]Table 7.6'!BH20</f>
        <v>0</v>
      </c>
      <c r="AL6">
        <f t="shared" ref="AL6:AL25" si="6">E6*R6</f>
        <v>397.8</v>
      </c>
      <c r="AM6" s="4">
        <f t="shared" ref="AM6:AM25" si="7">AJ6-AK6</f>
        <v>0</v>
      </c>
      <c r="AN6" s="14">
        <f t="shared" ref="AN6:AN25" si="8">SUMPRODUCT(F6:L6,S6:Y6)</f>
        <v>223.38000000000002</v>
      </c>
      <c r="AO6" s="4">
        <f t="shared" ref="AO6:AO25" si="9">AN6/M6</f>
        <v>2.7241463414634151</v>
      </c>
      <c r="AR6" s="117">
        <f t="shared" ref="AR6:AR25" si="10">F6/$M6</f>
        <v>2.4390243902439025E-2</v>
      </c>
      <c r="AS6" s="117">
        <f t="shared" ref="AS6:AS25" si="11">G6/$M6</f>
        <v>2.4390243902439025E-2</v>
      </c>
      <c r="AT6" s="117">
        <f t="shared" ref="AT6:AT25" si="12">H6/$M6</f>
        <v>0.54878048780487809</v>
      </c>
      <c r="AU6" s="117">
        <f t="shared" ref="AU6:AU25" si="13">I6/$M6</f>
        <v>1.2195121951219513E-2</v>
      </c>
      <c r="AV6" s="117">
        <f t="shared" ref="AV6:AV25" si="14">J6/$M6</f>
        <v>0.35365853658536583</v>
      </c>
      <c r="AW6" s="117">
        <f t="shared" ref="AW6:AW25" si="15">K6/$M6</f>
        <v>0</v>
      </c>
      <c r="AX6" s="117">
        <f t="shared" ref="AX6:AX25" si="16">L6/$M6</f>
        <v>3.6585365853658534E-2</v>
      </c>
      <c r="AY6">
        <f t="shared" ref="AY6:AY25" si="17">SUM(AR6:AX6)</f>
        <v>1</v>
      </c>
      <c r="BA6" s="17">
        <f t="shared" ref="BA6:BA25" si="18">SUM(AR6:AV6)</f>
        <v>0.96341463414634154</v>
      </c>
      <c r="BB6" s="17">
        <f t="shared" ref="BB6:BB25" si="19">AR6/$BA6</f>
        <v>2.5316455696202531E-2</v>
      </c>
      <c r="BC6" s="17">
        <f t="shared" ref="BC6:BC25" si="20">AS6/$BA6</f>
        <v>2.5316455696202531E-2</v>
      </c>
      <c r="BD6" s="17">
        <f t="shared" ref="BD6:BD25" si="21">AT6/$BA6</f>
        <v>0.569620253164557</v>
      </c>
      <c r="BE6" s="17">
        <f t="shared" ref="BE6:BE25" si="22">AU6/$BA6</f>
        <v>1.2658227848101266E-2</v>
      </c>
      <c r="BF6" s="17">
        <f t="shared" ref="BF6:BF25" si="23">AV6/$BA6</f>
        <v>0.36708860759493667</v>
      </c>
      <c r="BH6" s="17">
        <f>MECS_data_SIC!BP119</f>
        <v>5.8295457747440813E-2</v>
      </c>
      <c r="BI6" s="17">
        <f>MECS_data_SIC!BQ119</f>
        <v>8.4944441562257618E-3</v>
      </c>
      <c r="BJ6" s="17">
        <f>MECS_data_SIC!BR119</f>
        <v>0.48183897249975921</v>
      </c>
      <c r="BK6" s="17">
        <f>MECS_data_SIC!BS119</f>
        <v>1.5592057633595517E-3</v>
      </c>
      <c r="BL6" s="17">
        <f>MECS_data_SIC!BT119</f>
        <v>0.44981191983321461</v>
      </c>
      <c r="BN6" s="14">
        <f t="shared" si="2"/>
        <v>217.38000000000002</v>
      </c>
      <c r="BP6" s="4">
        <f t="shared" ref="BP6:BP25" si="24">BN6/O6</f>
        <v>2.7516455696202535</v>
      </c>
    </row>
    <row r="7" spans="2:68" ht="15" x14ac:dyDescent="0.25">
      <c r="B7" s="6" t="s">
        <v>14</v>
      </c>
      <c r="C7" s="7" t="s">
        <v>15</v>
      </c>
      <c r="D7" s="21">
        <f>[7]M98_01p1!C41</f>
        <v>255</v>
      </c>
      <c r="E7" s="21">
        <f>[7]M98_01p1!D41</f>
        <v>101</v>
      </c>
      <c r="F7" s="21">
        <f>[7]M98_01p1!E41</f>
        <v>12</v>
      </c>
      <c r="G7" s="21">
        <f>[7]M98_01p1!F41</f>
        <v>4</v>
      </c>
      <c r="H7" s="21">
        <f>[7]M98_01p1!G41</f>
        <v>102</v>
      </c>
      <c r="I7" s="21">
        <f>[7]M98_01p1!H41</f>
        <v>2</v>
      </c>
      <c r="J7" s="21">
        <f>[7]M98_01p1!I41</f>
        <v>20</v>
      </c>
      <c r="K7" s="21">
        <f>[7]M98_01p1!J41</f>
        <v>0</v>
      </c>
      <c r="L7" s="21">
        <f>[7]M98_01p1!K41</f>
        <v>15</v>
      </c>
      <c r="M7" s="16">
        <f>[7]M98_01p1!L41</f>
        <v>155</v>
      </c>
      <c r="N7" s="16">
        <f>[7]M98_01p1!M41</f>
        <v>154</v>
      </c>
      <c r="O7" s="16">
        <f t="shared" si="3"/>
        <v>140</v>
      </c>
      <c r="P7" s="16"/>
      <c r="R7" s="5">
        <f>[8]M98_01p1!AT82</f>
        <v>12.8</v>
      </c>
      <c r="S7" s="5">
        <f>[8]M98_01p1!AV82</f>
        <v>2.82</v>
      </c>
      <c r="T7" s="5">
        <f>[8]M98_01p1!AU82</f>
        <v>3.64</v>
      </c>
      <c r="U7" s="5">
        <f>[8]M98_01p1!AW82</f>
        <v>3.33</v>
      </c>
      <c r="V7" s="24">
        <f>[8]M98_01p1!AX82</f>
        <v>5.93</v>
      </c>
      <c r="W7" s="5">
        <f>[8]M98_01p1!AY82</f>
        <v>2.06</v>
      </c>
      <c r="X7" s="5">
        <f>[8]M98_01p1!AZ82</f>
        <v>0</v>
      </c>
      <c r="Y7" s="4">
        <f>[9]M98_01p1!N78</f>
        <v>2.3333333333333335</v>
      </c>
      <c r="Z7" s="4"/>
      <c r="AH7" t="str">
        <f t="shared" si="4"/>
        <v>313</v>
      </c>
      <c r="AI7" s="9" t="str">
        <f t="shared" si="5"/>
        <v>Textile Mills</v>
      </c>
      <c r="AJ7" s="4">
        <f>'[6]Table 7.6'!BG21</f>
        <v>0</v>
      </c>
      <c r="AK7" s="4">
        <f>'[6]Table 7.6'!BH21</f>
        <v>0</v>
      </c>
      <c r="AL7">
        <f t="shared" si="6"/>
        <v>1292.8000000000002</v>
      </c>
      <c r="AM7" s="4">
        <f t="shared" si="7"/>
        <v>0</v>
      </c>
      <c r="AN7" s="14">
        <f t="shared" si="8"/>
        <v>476.12</v>
      </c>
      <c r="AO7" s="4">
        <f t="shared" si="9"/>
        <v>3.0717419354838711</v>
      </c>
      <c r="AR7" s="117">
        <f t="shared" si="10"/>
        <v>7.7419354838709681E-2</v>
      </c>
      <c r="AS7" s="117">
        <f t="shared" si="11"/>
        <v>2.5806451612903226E-2</v>
      </c>
      <c r="AT7" s="117">
        <f t="shared" si="12"/>
        <v>0.65806451612903227</v>
      </c>
      <c r="AU7" s="117">
        <f t="shared" si="13"/>
        <v>1.2903225806451613E-2</v>
      </c>
      <c r="AV7" s="117">
        <f t="shared" si="14"/>
        <v>0.12903225806451613</v>
      </c>
      <c r="AW7" s="117">
        <f t="shared" si="15"/>
        <v>0</v>
      </c>
      <c r="AX7" s="117">
        <f t="shared" si="16"/>
        <v>9.6774193548387094E-2</v>
      </c>
      <c r="AY7">
        <f t="shared" si="17"/>
        <v>1</v>
      </c>
      <c r="BA7" s="17">
        <f t="shared" si="18"/>
        <v>0.90322580645161299</v>
      </c>
      <c r="BB7" s="17">
        <f t="shared" si="19"/>
        <v>8.5714285714285715E-2</v>
      </c>
      <c r="BC7" s="17">
        <f t="shared" si="20"/>
        <v>2.8571428571428567E-2</v>
      </c>
      <c r="BD7" s="17">
        <f t="shared" si="21"/>
        <v>0.72857142857142854</v>
      </c>
      <c r="BE7" s="17">
        <f t="shared" si="22"/>
        <v>1.4285714285714284E-2</v>
      </c>
      <c r="BF7" s="17">
        <f t="shared" si="23"/>
        <v>0.14285714285714285</v>
      </c>
      <c r="BH7" s="17">
        <f>MECS_data_SIC!BP120</f>
        <v>9.1980370667815892E-2</v>
      </c>
      <c r="BI7" s="17">
        <f>MECS_data_SIC!BQ120</f>
        <v>3.94017479800821E-2</v>
      </c>
      <c r="BJ7" s="17">
        <f>MECS_data_SIC!BR120</f>
        <v>0.63537857923048346</v>
      </c>
      <c r="BK7" s="17">
        <f>MECS_data_SIC!BS120</f>
        <v>1.4419636051982111E-2</v>
      </c>
      <c r="BL7" s="17">
        <f>MECS_data_SIC!BT120</f>
        <v>0.21881966606963635</v>
      </c>
      <c r="BN7" s="14">
        <f t="shared" si="2"/>
        <v>441.12</v>
      </c>
      <c r="BP7" s="4">
        <f t="shared" si="24"/>
        <v>3.1508571428571428</v>
      </c>
    </row>
    <row r="8" spans="2:68" ht="15" x14ac:dyDescent="0.25">
      <c r="B8" s="6" t="s">
        <v>16</v>
      </c>
      <c r="C8" s="7" t="s">
        <v>17</v>
      </c>
      <c r="D8" s="21">
        <f>[7]M98_01p1!C42</f>
        <v>49</v>
      </c>
      <c r="E8" s="21">
        <f>[7]M98_01p1!D42</f>
        <v>18</v>
      </c>
      <c r="F8" s="21">
        <f>[7]M98_01p1!E42</f>
        <v>3</v>
      </c>
      <c r="G8" s="22">
        <f>[7]M98_01p1!F42</f>
        <v>1.5</v>
      </c>
      <c r="H8" s="21">
        <f>[7]M98_01p1!G42</f>
        <v>24</v>
      </c>
      <c r="I8" s="22">
        <f>[7]M98_01p1!H42</f>
        <v>0.3</v>
      </c>
      <c r="J8" s="21">
        <f>[7]M98_01p1!I42</f>
        <v>3</v>
      </c>
      <c r="K8" s="21">
        <f>[7]M98_01p1!J42</f>
        <v>0</v>
      </c>
      <c r="L8" s="22">
        <f>[7]M98_01p1!K42</f>
        <v>0.1</v>
      </c>
      <c r="M8" s="16">
        <f>[7]M98_01p1!L42</f>
        <v>31.900000000000002</v>
      </c>
      <c r="N8" s="16">
        <f>[7]M98_01p1!M42</f>
        <v>31</v>
      </c>
      <c r="O8" s="16">
        <f t="shared" si="3"/>
        <v>31.8</v>
      </c>
      <c r="P8" s="16"/>
      <c r="R8" s="23">
        <f>[8]M98_01p1!AT83</f>
        <v>14.33</v>
      </c>
      <c r="S8" s="23">
        <f>[8]M98_01p1!AV83</f>
        <v>2.8</v>
      </c>
      <c r="T8" s="23">
        <f>[8]M98_01p1!AU83</f>
        <v>4.5</v>
      </c>
      <c r="U8" s="5">
        <f>[8]M98_01p1!AW83</f>
        <v>3.5</v>
      </c>
      <c r="V8" s="24">
        <f>[8]M98_01p1!AX83</f>
        <v>8.35</v>
      </c>
      <c r="W8" s="23">
        <f>[8]M98_01p1!AY83</f>
        <v>2</v>
      </c>
      <c r="X8" s="5">
        <f>[8]M98_01p1!AZ83</f>
        <v>0</v>
      </c>
      <c r="Y8" s="4">
        <f>[9]M98_01p1!N79</f>
        <v>2.33</v>
      </c>
      <c r="Z8" s="4"/>
      <c r="AH8" t="str">
        <f t="shared" si="4"/>
        <v>314</v>
      </c>
      <c r="AI8" s="9" t="str">
        <f t="shared" si="5"/>
        <v>Textile Product Mills</v>
      </c>
      <c r="AJ8" s="4">
        <f>'[6]Table 7.6'!BG22</f>
        <v>0</v>
      </c>
      <c r="AK8" s="4">
        <f>'[6]Table 7.6'!BH22</f>
        <v>0</v>
      </c>
      <c r="AL8">
        <f t="shared" si="6"/>
        <v>257.94</v>
      </c>
      <c r="AM8" s="4">
        <f t="shared" si="7"/>
        <v>0</v>
      </c>
      <c r="AN8" s="14">
        <f t="shared" si="8"/>
        <v>107.88800000000001</v>
      </c>
      <c r="AO8" s="4">
        <f t="shared" si="9"/>
        <v>3.3820689655172411</v>
      </c>
      <c r="AR8" s="117">
        <f t="shared" si="10"/>
        <v>9.4043887147335414E-2</v>
      </c>
      <c r="AS8" s="117">
        <f t="shared" si="11"/>
        <v>4.7021943573667707E-2</v>
      </c>
      <c r="AT8" s="117">
        <f t="shared" si="12"/>
        <v>0.75235109717868331</v>
      </c>
      <c r="AU8" s="117">
        <f t="shared" si="13"/>
        <v>9.4043887147335411E-3</v>
      </c>
      <c r="AV8" s="117">
        <f t="shared" si="14"/>
        <v>9.4043887147335414E-2</v>
      </c>
      <c r="AW8" s="117">
        <f t="shared" si="15"/>
        <v>0</v>
      </c>
      <c r="AX8" s="117">
        <f t="shared" si="16"/>
        <v>3.134796238244514E-3</v>
      </c>
      <c r="AY8">
        <f t="shared" si="17"/>
        <v>0.99999999999999989</v>
      </c>
      <c r="BA8" s="17">
        <f t="shared" si="18"/>
        <v>0.99686520376175536</v>
      </c>
      <c r="BB8" s="17">
        <f t="shared" si="19"/>
        <v>9.4339622641509441E-2</v>
      </c>
      <c r="BC8" s="17">
        <f t="shared" si="20"/>
        <v>4.716981132075472E-2</v>
      </c>
      <c r="BD8" s="17">
        <f t="shared" si="21"/>
        <v>0.75471698113207553</v>
      </c>
      <c r="BE8" s="17">
        <f t="shared" si="22"/>
        <v>9.433962264150943E-3</v>
      </c>
      <c r="BF8" s="17">
        <f t="shared" si="23"/>
        <v>9.4339622641509441E-2</v>
      </c>
      <c r="BH8" s="17">
        <f>MECS_data_SIC!BP121</f>
        <v>9.1980370667815892E-2</v>
      </c>
      <c r="BI8" s="17">
        <f>MECS_data_SIC!BQ121</f>
        <v>3.94017479800821E-2</v>
      </c>
      <c r="BJ8" s="17">
        <f>MECS_data_SIC!BR121</f>
        <v>0.63537857923048346</v>
      </c>
      <c r="BK8" s="17">
        <f>MECS_data_SIC!BS121</f>
        <v>1.4419636051982111E-2</v>
      </c>
      <c r="BL8" s="17">
        <f>MECS_data_SIC!BT121</f>
        <v>0.21881966606963635</v>
      </c>
      <c r="BN8" s="14">
        <f t="shared" si="2"/>
        <v>107.655</v>
      </c>
      <c r="BP8" s="4">
        <f t="shared" si="24"/>
        <v>3.3853773584905662</v>
      </c>
    </row>
    <row r="9" spans="2:68" ht="15" x14ac:dyDescent="0.25">
      <c r="B9" s="6" t="s">
        <v>18</v>
      </c>
      <c r="C9" s="7" t="s">
        <v>19</v>
      </c>
      <c r="D9" s="21">
        <f>[7]M98_01p1!C43</f>
        <v>48</v>
      </c>
      <c r="E9" s="21">
        <f>[7]M98_01p1!D43</f>
        <v>18</v>
      </c>
      <c r="F9" s="21">
        <f>[7]M98_01p1!E43</f>
        <v>2</v>
      </c>
      <c r="G9" s="21">
        <f>[7]M98_01p1!F43</f>
        <v>1</v>
      </c>
      <c r="H9" s="21">
        <f>[7]M98_01p1!G43</f>
        <v>23</v>
      </c>
      <c r="I9" s="21">
        <f>[7]M98_01p1!H43</f>
        <v>1</v>
      </c>
      <c r="J9" s="21">
        <f>[7]M98_01p1!I43</f>
        <v>1</v>
      </c>
      <c r="K9" s="21">
        <f>[7]M98_01p1!J43</f>
        <v>0</v>
      </c>
      <c r="L9" s="21">
        <f>[7]M98_01p1!K43</f>
        <v>3</v>
      </c>
      <c r="M9" s="16">
        <f>[7]M98_01p1!L43</f>
        <v>31</v>
      </c>
      <c r="N9" s="16">
        <f>[7]M98_01p1!M43</f>
        <v>30</v>
      </c>
      <c r="O9" s="16">
        <f t="shared" si="3"/>
        <v>28</v>
      </c>
      <c r="P9" s="16"/>
      <c r="R9" s="5">
        <f>[8]M98_01p1!AT84</f>
        <v>20.309999999999999</v>
      </c>
      <c r="S9" s="5">
        <f>[8]M98_01p1!AV84</f>
        <v>2.77</v>
      </c>
      <c r="T9" s="5">
        <f>[8]M98_01p1!AU84</f>
        <v>5.14</v>
      </c>
      <c r="U9" s="5">
        <f>[8]M98_01p1!AW84</f>
        <v>3.81</v>
      </c>
      <c r="V9" s="24">
        <f>[8]M98_01p1!AX84</f>
        <v>6.62</v>
      </c>
      <c r="W9" s="23">
        <f>[8]M98_01p1!AY84</f>
        <v>2</v>
      </c>
      <c r="X9" s="5">
        <f>[8]M98_01p1!AZ84</f>
        <v>0</v>
      </c>
      <c r="Y9" s="4">
        <f>[9]M98_01p1!N80</f>
        <v>0</v>
      </c>
      <c r="Z9" s="4"/>
      <c r="AH9" t="str">
        <f t="shared" si="4"/>
        <v>315</v>
      </c>
      <c r="AI9" s="9" t="str">
        <f t="shared" si="5"/>
        <v>Apparel</v>
      </c>
      <c r="AJ9" s="4">
        <f>'[6]Table 7.6'!BG23</f>
        <v>0</v>
      </c>
      <c r="AK9" s="4">
        <f>'[6]Table 7.6'!BH23</f>
        <v>0</v>
      </c>
      <c r="AL9">
        <f t="shared" si="6"/>
        <v>365.58</v>
      </c>
      <c r="AM9" s="4">
        <f t="shared" si="7"/>
        <v>0</v>
      </c>
      <c r="AN9" s="14">
        <f t="shared" si="8"/>
        <v>106.93</v>
      </c>
      <c r="AO9" s="4">
        <f t="shared" si="9"/>
        <v>3.4493548387096777</v>
      </c>
      <c r="AR9" s="117">
        <f t="shared" si="10"/>
        <v>6.4516129032258063E-2</v>
      </c>
      <c r="AS9" s="117">
        <f t="shared" si="11"/>
        <v>3.2258064516129031E-2</v>
      </c>
      <c r="AT9" s="117">
        <f t="shared" si="12"/>
        <v>0.74193548387096775</v>
      </c>
      <c r="AU9" s="117">
        <f t="shared" si="13"/>
        <v>3.2258064516129031E-2</v>
      </c>
      <c r="AV9" s="117">
        <f t="shared" si="14"/>
        <v>3.2258064516129031E-2</v>
      </c>
      <c r="AW9" s="117">
        <f t="shared" si="15"/>
        <v>0</v>
      </c>
      <c r="AX9" s="117">
        <f t="shared" si="16"/>
        <v>9.6774193548387094E-2</v>
      </c>
      <c r="AY9">
        <f t="shared" si="17"/>
        <v>1</v>
      </c>
      <c r="BA9" s="17">
        <f t="shared" si="18"/>
        <v>0.90322580645161288</v>
      </c>
      <c r="BB9" s="17">
        <f t="shared" si="19"/>
        <v>7.1428571428571425E-2</v>
      </c>
      <c r="BC9" s="17">
        <f t="shared" si="20"/>
        <v>3.5714285714285712E-2</v>
      </c>
      <c r="BD9" s="17">
        <f t="shared" si="21"/>
        <v>0.82142857142857151</v>
      </c>
      <c r="BE9" s="17">
        <f t="shared" si="22"/>
        <v>3.5714285714285712E-2</v>
      </c>
      <c r="BF9" s="17">
        <f t="shared" si="23"/>
        <v>3.5714285714285712E-2</v>
      </c>
      <c r="BH9" s="17">
        <f>MECS_data_SIC!BP122</f>
        <v>3.4091154524803442E-2</v>
      </c>
      <c r="BI9" s="17">
        <f>MECS_data_SIC!BQ122</f>
        <v>2.1049583361339885E-2</v>
      </c>
      <c r="BJ9" s="17">
        <f>MECS_data_SIC!BR122</f>
        <v>0.84273333985314114</v>
      </c>
      <c r="BK9" s="17">
        <f>MECS_data_SIC!BS122</f>
        <v>2.3211244260100999E-2</v>
      </c>
      <c r="BL9" s="17">
        <f>MECS_data_SIC!BT122</f>
        <v>7.8914678000614649E-2</v>
      </c>
      <c r="BN9" s="14">
        <f t="shared" si="2"/>
        <v>106.93</v>
      </c>
      <c r="BP9" s="4">
        <f t="shared" si="24"/>
        <v>3.8189285714285717</v>
      </c>
    </row>
    <row r="10" spans="2:68" ht="15" x14ac:dyDescent="0.25">
      <c r="B10" s="6" t="s">
        <v>20</v>
      </c>
      <c r="C10" s="7" t="s">
        <v>21</v>
      </c>
      <c r="D10" s="21">
        <f>[7]M98_01p1!C44</f>
        <v>8</v>
      </c>
      <c r="E10" s="21">
        <f>[7]M98_01p1!D44</f>
        <v>3</v>
      </c>
      <c r="F10" s="22">
        <f>[7]M98_01p1!E44</f>
        <v>0.2</v>
      </c>
      <c r="G10" s="22">
        <f>[7]M98_01p1!F44</f>
        <v>0.4</v>
      </c>
      <c r="H10" s="21">
        <f>[7]M98_01p1!G44</f>
        <v>4</v>
      </c>
      <c r="I10" s="22">
        <f>[7]M98_01p1!H44</f>
        <v>0.3</v>
      </c>
      <c r="J10" s="21">
        <f>[7]M98_01p1!I44</f>
        <v>0</v>
      </c>
      <c r="K10" s="21">
        <f>[7]M98_01p1!J44</f>
        <v>0</v>
      </c>
      <c r="L10" s="22">
        <f>[7]M98_01p1!K44</f>
        <v>0.1</v>
      </c>
      <c r="M10" s="16">
        <f>[7]M98_01p1!L44</f>
        <v>4.9999999999999991</v>
      </c>
      <c r="N10" s="16">
        <f>[7]M98_01p1!M44</f>
        <v>5</v>
      </c>
      <c r="O10" s="16">
        <f t="shared" si="3"/>
        <v>4.8999999999999995</v>
      </c>
      <c r="P10" s="16"/>
      <c r="R10" s="5">
        <f>[8]M98_01p1!AT85</f>
        <v>19.57</v>
      </c>
      <c r="S10" s="23">
        <f>[8]M98_01p1!AV85</f>
        <v>2.6</v>
      </c>
      <c r="T10" s="5">
        <f>[8]M98_01p1!AU85</f>
        <v>4.63</v>
      </c>
      <c r="U10" s="5">
        <f>[8]M98_01p1!AW85</f>
        <v>3.64</v>
      </c>
      <c r="V10" s="24">
        <f>[8]M98_01p1!AX85</f>
        <v>8.25</v>
      </c>
      <c r="W10" s="5">
        <f>[8]M98_01p1!AY85</f>
        <v>0</v>
      </c>
      <c r="X10" s="5">
        <f>[8]M98_01p1!AZ85</f>
        <v>0</v>
      </c>
      <c r="Y10" s="4">
        <f>[9]M98_01p1!N81</f>
        <v>2.5</v>
      </c>
      <c r="Z10" s="4"/>
      <c r="AH10" t="str">
        <f t="shared" si="4"/>
        <v>316</v>
      </c>
      <c r="AI10" s="9" t="str">
        <f t="shared" si="5"/>
        <v>Leather and Allied Products</v>
      </c>
      <c r="AJ10" s="4">
        <f>'[6]Table 7.6'!BG24</f>
        <v>0</v>
      </c>
      <c r="AK10" s="4">
        <f>'[6]Table 7.6'!BH24</f>
        <v>0</v>
      </c>
      <c r="AL10">
        <f t="shared" si="6"/>
        <v>58.71</v>
      </c>
      <c r="AM10" s="4">
        <f t="shared" si="7"/>
        <v>0</v>
      </c>
      <c r="AN10" s="14">
        <f t="shared" si="8"/>
        <v>19.657000000000004</v>
      </c>
      <c r="AO10" s="4">
        <f t="shared" si="9"/>
        <v>3.9314000000000013</v>
      </c>
      <c r="AR10" s="117">
        <f t="shared" si="10"/>
        <v>4.0000000000000008E-2</v>
      </c>
      <c r="AS10" s="117">
        <f t="shared" si="11"/>
        <v>8.0000000000000016E-2</v>
      </c>
      <c r="AT10" s="117">
        <f t="shared" si="12"/>
        <v>0.80000000000000016</v>
      </c>
      <c r="AU10" s="117">
        <f t="shared" si="13"/>
        <v>6.0000000000000012E-2</v>
      </c>
      <c r="AV10" s="117">
        <f t="shared" si="14"/>
        <v>0</v>
      </c>
      <c r="AW10" s="117">
        <f t="shared" si="15"/>
        <v>0</v>
      </c>
      <c r="AX10" s="117">
        <f t="shared" si="16"/>
        <v>2.0000000000000004E-2</v>
      </c>
      <c r="AY10">
        <f t="shared" si="17"/>
        <v>1.0000000000000002</v>
      </c>
      <c r="BA10" s="17">
        <f t="shared" si="18"/>
        <v>0.9800000000000002</v>
      </c>
      <c r="BB10" s="17">
        <f t="shared" si="19"/>
        <v>4.0816326530612242E-2</v>
      </c>
      <c r="BC10" s="17">
        <f t="shared" si="20"/>
        <v>8.1632653061224483E-2</v>
      </c>
      <c r="BD10" s="17">
        <f t="shared" si="21"/>
        <v>0.81632653061224492</v>
      </c>
      <c r="BE10" s="17">
        <f t="shared" si="22"/>
        <v>6.1224489795918366E-2</v>
      </c>
      <c r="BF10" s="17">
        <f t="shared" si="23"/>
        <v>0</v>
      </c>
      <c r="BH10" s="17">
        <f>MECS_data_SIC!BP123</f>
        <v>0.23581132045734779</v>
      </c>
      <c r="BI10" s="17">
        <f>MECS_data_SIC!BQ123</f>
        <v>0.14860142977229532</v>
      </c>
      <c r="BJ10" s="17">
        <f>MECS_data_SIC!BR123</f>
        <v>0.59718873455116728</v>
      </c>
      <c r="BK10" s="17">
        <f>MECS_data_SIC!BS123</f>
        <v>1.8398515219189594E-2</v>
      </c>
      <c r="BL10" s="17">
        <f>MECS_data_SIC!BT123</f>
        <v>0</v>
      </c>
      <c r="BN10" s="14">
        <f t="shared" si="2"/>
        <v>19.407000000000004</v>
      </c>
      <c r="BP10" s="4">
        <f t="shared" si="24"/>
        <v>3.9606122448979604</v>
      </c>
    </row>
    <row r="11" spans="2:68" ht="15" x14ac:dyDescent="0.25">
      <c r="B11" s="6" t="s">
        <v>22</v>
      </c>
      <c r="C11" s="7" t="s">
        <v>23</v>
      </c>
      <c r="D11" s="21">
        <f>[7]M98_01p1!C45</f>
        <v>285</v>
      </c>
      <c r="E11" s="21">
        <f>[7]M98_01p1!D45</f>
        <v>75</v>
      </c>
      <c r="F11" s="21">
        <f>[7]M98_01p1!E45</f>
        <v>1</v>
      </c>
      <c r="G11" s="21">
        <f>[7]M98_01p1!F45</f>
        <v>12</v>
      </c>
      <c r="H11" s="21">
        <f>[7]M98_01p1!G45</f>
        <v>73</v>
      </c>
      <c r="I11" s="21">
        <f>[7]M98_01p1!H45</f>
        <v>4</v>
      </c>
      <c r="J11" s="21">
        <f>[7]M98_01p1!I45</f>
        <v>2</v>
      </c>
      <c r="K11" s="21">
        <f>[7]M98_01p1!J45</f>
        <v>0</v>
      </c>
      <c r="L11" s="21">
        <f>[7]M98_01p1!K45</f>
        <v>118</v>
      </c>
      <c r="M11" s="16">
        <f>[7]M98_01p1!L45</f>
        <v>210</v>
      </c>
      <c r="N11" s="16">
        <f>[7]M98_01p1!M45</f>
        <v>210</v>
      </c>
      <c r="O11" s="16">
        <f t="shared" si="3"/>
        <v>92</v>
      </c>
      <c r="P11" s="16"/>
      <c r="R11" s="5">
        <f>[8]M98_01p1!AT86</f>
        <v>15.11</v>
      </c>
      <c r="S11" s="23">
        <f>[8]M98_01p1!AV86</f>
        <v>2.6</v>
      </c>
      <c r="T11" s="5">
        <f>[8]M98_01p1!AU86</f>
        <v>4.5999999999999996</v>
      </c>
      <c r="U11" s="5">
        <f>[8]M98_01p1!AW86</f>
        <v>2.97</v>
      </c>
      <c r="V11" s="24">
        <f>[8]M98_01p1!AX86</f>
        <v>7.18</v>
      </c>
      <c r="W11" s="23">
        <f>[8]M98_01p1!AY86</f>
        <v>2</v>
      </c>
      <c r="X11" s="5">
        <f>[8]M98_01p1!AZ86</f>
        <v>0</v>
      </c>
      <c r="Y11" s="4">
        <f>[9]M98_01p1!N82</f>
        <v>2.129032258064516</v>
      </c>
      <c r="Z11" s="4"/>
      <c r="AH11" t="str">
        <f t="shared" si="4"/>
        <v>321</v>
      </c>
      <c r="AI11" s="9" t="str">
        <f t="shared" si="5"/>
        <v>Wood Products</v>
      </c>
      <c r="AJ11" s="4">
        <f>'[6]Table 7.6'!BG25</f>
        <v>0</v>
      </c>
      <c r="AK11" s="4">
        <f>'[6]Table 7.6'!BH25</f>
        <v>0</v>
      </c>
      <c r="AL11">
        <f t="shared" si="6"/>
        <v>1133.25</v>
      </c>
      <c r="AM11" s="4">
        <f t="shared" si="7"/>
        <v>0</v>
      </c>
      <c r="AN11" s="14">
        <f t="shared" si="8"/>
        <v>558.55580645161297</v>
      </c>
      <c r="AO11" s="4">
        <f t="shared" si="9"/>
        <v>2.6597895545314905</v>
      </c>
      <c r="AR11" s="117">
        <f t="shared" si="10"/>
        <v>4.7619047619047623E-3</v>
      </c>
      <c r="AS11" s="117">
        <f t="shared" si="11"/>
        <v>5.7142857142857141E-2</v>
      </c>
      <c r="AT11" s="117">
        <f t="shared" si="12"/>
        <v>0.34761904761904761</v>
      </c>
      <c r="AU11" s="117">
        <f t="shared" si="13"/>
        <v>1.9047619047619049E-2</v>
      </c>
      <c r="AV11" s="117">
        <f t="shared" si="14"/>
        <v>9.5238095238095247E-3</v>
      </c>
      <c r="AW11" s="117">
        <f t="shared" si="15"/>
        <v>0</v>
      </c>
      <c r="AX11" s="117">
        <f t="shared" si="16"/>
        <v>0.56190476190476191</v>
      </c>
      <c r="AY11">
        <f t="shared" si="17"/>
        <v>1</v>
      </c>
      <c r="BA11" s="17">
        <f t="shared" si="18"/>
        <v>0.43809523809523809</v>
      </c>
      <c r="BB11" s="17">
        <f t="shared" si="19"/>
        <v>1.0869565217391306E-2</v>
      </c>
      <c r="BC11" s="17">
        <f t="shared" si="20"/>
        <v>0.13043478260869565</v>
      </c>
      <c r="BD11" s="17">
        <f t="shared" si="21"/>
        <v>0.79347826086956519</v>
      </c>
      <c r="BE11" s="17">
        <f t="shared" si="22"/>
        <v>4.3478260869565223E-2</v>
      </c>
      <c r="BF11" s="17">
        <f t="shared" si="23"/>
        <v>2.1739130434782612E-2</v>
      </c>
      <c r="BH11" s="17">
        <f>MECS_data_SIC!BP124</f>
        <v>2.5473795897408419E-2</v>
      </c>
      <c r="BI11" s="17">
        <f>MECS_data_SIC!BQ124</f>
        <v>0.28141188908070924</v>
      </c>
      <c r="BJ11" s="17">
        <f>MECS_data_SIC!BR124</f>
        <v>0.61659322969677088</v>
      </c>
      <c r="BK11" s="17">
        <f>MECS_data_SIC!BS124</f>
        <v>4.9001942369089883E-2</v>
      </c>
      <c r="BL11" s="17">
        <f>MECS_data_SIC!BT124</f>
        <v>2.7519142956021467E-2</v>
      </c>
      <c r="BN11" s="14">
        <f t="shared" si="2"/>
        <v>307.33000000000004</v>
      </c>
      <c r="BP11" s="4">
        <f t="shared" si="24"/>
        <v>3.3405434782608698</v>
      </c>
    </row>
    <row r="12" spans="2:68" ht="15" x14ac:dyDescent="0.25">
      <c r="B12" s="6" t="s">
        <v>24</v>
      </c>
      <c r="C12" s="7" t="s">
        <v>25</v>
      </c>
      <c r="D12" s="21">
        <f>[7]M98_01p1!C46</f>
        <v>1648</v>
      </c>
      <c r="E12" s="21">
        <f>[7]M98_01p1!D46</f>
        <v>253</v>
      </c>
      <c r="F12" s="21">
        <f>[7]M98_01p1!E46</f>
        <v>151</v>
      </c>
      <c r="G12" s="21">
        <f>[7]M98_01p1!F46</f>
        <v>9</v>
      </c>
      <c r="H12" s="21">
        <f>[7]M98_01p1!G46</f>
        <v>586</v>
      </c>
      <c r="I12" s="21">
        <f>[7]M98_01p1!H46</f>
        <v>5</v>
      </c>
      <c r="J12" s="21">
        <f>[7]M98_01p1!I46</f>
        <v>277</v>
      </c>
      <c r="K12" s="21">
        <f>[7]M98_01p1!J46</f>
        <v>0</v>
      </c>
      <c r="L12" s="21">
        <f>[7]M98_01p1!K46</f>
        <v>368</v>
      </c>
      <c r="M12" s="16">
        <f>[7]M98_01p1!L46</f>
        <v>1396</v>
      </c>
      <c r="N12" s="16">
        <f>[7]M98_01p1!M46</f>
        <v>1395</v>
      </c>
      <c r="O12" s="16">
        <f t="shared" si="3"/>
        <v>1028</v>
      </c>
      <c r="P12" s="16"/>
      <c r="R12" s="5">
        <f>[8]M98_01p1!AT87</f>
        <v>11.49</v>
      </c>
      <c r="S12" s="5">
        <f>[8]M98_01p1!AV87</f>
        <v>2.37</v>
      </c>
      <c r="T12" s="5">
        <f>[8]M98_01p1!AU87</f>
        <v>4.29</v>
      </c>
      <c r="U12" s="5">
        <f>[8]M98_01p1!AW87</f>
        <v>2.7</v>
      </c>
      <c r="V12" s="24">
        <f>[8]M98_01p1!AX87</f>
        <v>7.28</v>
      </c>
      <c r="W12" s="5">
        <f>[8]M98_01p1!AY87</f>
        <v>1.75</v>
      </c>
      <c r="X12" s="5">
        <f>[8]M98_01p1!AZ87</f>
        <v>0</v>
      </c>
      <c r="Y12" s="4">
        <f>[9]M98_01p1!N83</f>
        <v>2.1297468354430378</v>
      </c>
      <c r="Z12" s="4"/>
      <c r="AH12" t="str">
        <f t="shared" si="4"/>
        <v>322</v>
      </c>
      <c r="AI12" s="9" t="str">
        <f t="shared" si="5"/>
        <v>Paper</v>
      </c>
      <c r="AJ12" s="4">
        <f>'[6]Table 7.6'!BG26</f>
        <v>0</v>
      </c>
      <c r="AK12" s="4">
        <f>'[6]Table 7.6'!BH26</f>
        <v>0</v>
      </c>
      <c r="AL12">
        <f t="shared" si="6"/>
        <v>2906.9700000000003</v>
      </c>
      <c r="AM12" s="4">
        <f t="shared" si="7"/>
        <v>0</v>
      </c>
      <c r="AN12" s="14">
        <f t="shared" si="8"/>
        <v>3283.5768354430379</v>
      </c>
      <c r="AO12" s="4">
        <f t="shared" si="9"/>
        <v>2.3521324036124915</v>
      </c>
      <c r="AR12" s="117">
        <f t="shared" si="10"/>
        <v>0.10816618911174786</v>
      </c>
      <c r="AS12" s="117">
        <f t="shared" si="11"/>
        <v>6.4469914040114614E-3</v>
      </c>
      <c r="AT12" s="117">
        <f t="shared" si="12"/>
        <v>0.41977077363896848</v>
      </c>
      <c r="AU12" s="117">
        <f t="shared" si="13"/>
        <v>3.5816618911174787E-3</v>
      </c>
      <c r="AV12" s="117">
        <f t="shared" si="14"/>
        <v>0.1984240687679083</v>
      </c>
      <c r="AW12" s="117">
        <f t="shared" si="15"/>
        <v>0</v>
      </c>
      <c r="AX12" s="117">
        <f t="shared" si="16"/>
        <v>0.26361031518624639</v>
      </c>
      <c r="AY12">
        <f t="shared" si="17"/>
        <v>1</v>
      </c>
      <c r="BA12" s="17">
        <f t="shared" si="18"/>
        <v>0.73638968481375366</v>
      </c>
      <c r="BB12" s="17">
        <f t="shared" si="19"/>
        <v>0.14688715953307391</v>
      </c>
      <c r="BC12" s="17">
        <f t="shared" si="20"/>
        <v>8.7548638132295704E-3</v>
      </c>
      <c r="BD12" s="17">
        <f t="shared" si="21"/>
        <v>0.57003891050583655</v>
      </c>
      <c r="BE12" s="17">
        <f t="shared" si="22"/>
        <v>4.8638132295719845E-3</v>
      </c>
      <c r="BF12" s="17">
        <f t="shared" si="23"/>
        <v>0.26945525291828792</v>
      </c>
      <c r="BH12" s="17">
        <f>MECS_data_SIC!BP125</f>
        <v>0.16199041171611495</v>
      </c>
      <c r="BI12" s="17">
        <f>MECS_data_SIC!BQ125</f>
        <v>8.5204360508937867E-3</v>
      </c>
      <c r="BJ12" s="17">
        <f>MECS_data_SIC!BR125</f>
        <v>0.53959741672670425</v>
      </c>
      <c r="BK12" s="17">
        <f>MECS_data_SIC!BS125</f>
        <v>4.4519462616177596E-3</v>
      </c>
      <c r="BL12" s="17">
        <f>MECS_data_SIC!BT125</f>
        <v>0.28543978924466923</v>
      </c>
      <c r="BN12" s="14">
        <f t="shared" si="2"/>
        <v>2499.83</v>
      </c>
      <c r="BP12" s="4">
        <f t="shared" si="24"/>
        <v>2.4317412451361866</v>
      </c>
    </row>
    <row r="13" spans="2:68" ht="15" x14ac:dyDescent="0.25">
      <c r="B13" s="6" t="s">
        <v>26</v>
      </c>
      <c r="C13" s="7" t="s">
        <v>27</v>
      </c>
      <c r="D13" s="21">
        <f>[7]M98_01p1!C47</f>
        <v>97</v>
      </c>
      <c r="E13" s="21">
        <f>[7]M98_01p1!D47</f>
        <v>51</v>
      </c>
      <c r="F13" s="22">
        <f>[7]M98_01p1!E47</f>
        <v>0.4</v>
      </c>
      <c r="G13" s="22">
        <f>[7]M98_01p1!F47</f>
        <v>0.5</v>
      </c>
      <c r="H13" s="21">
        <f>[7]M98_01p1!G47</f>
        <v>43</v>
      </c>
      <c r="I13" s="21">
        <f>[7]M98_01p1!H47</f>
        <v>1</v>
      </c>
      <c r="J13" s="22">
        <f>[7]M98_01p1!I47</f>
        <v>0.05</v>
      </c>
      <c r="K13" s="21">
        <f>[7]M98_01p1!J47</f>
        <v>0</v>
      </c>
      <c r="L13" s="22">
        <f>[7]M98_01p1!K47</f>
        <v>1.3</v>
      </c>
      <c r="M13" s="16">
        <f>[7]M98_01p1!L47</f>
        <v>46.249999999999993</v>
      </c>
      <c r="N13" s="16">
        <f>[7]M98_01p1!M47</f>
        <v>46</v>
      </c>
      <c r="O13" s="16">
        <f t="shared" si="3"/>
        <v>44.949999999999996</v>
      </c>
      <c r="P13" s="16"/>
      <c r="R13" s="5">
        <f>[8]M98_01p1!AT88</f>
        <v>19.21</v>
      </c>
      <c r="S13" s="23">
        <f>[8]M98_01p1!AV88</f>
        <v>2.6</v>
      </c>
      <c r="T13" s="5">
        <f>[8]M98_01p1!AU88</f>
        <v>4.2699999999999996</v>
      </c>
      <c r="U13" s="5">
        <f>[8]M98_01p1!AW88</f>
        <v>3.87</v>
      </c>
      <c r="V13" s="24">
        <f>[8]M98_01p1!AX88</f>
        <v>8.6</v>
      </c>
      <c r="W13" s="23">
        <f>[8]M98_01p1!AY88</f>
        <v>2</v>
      </c>
      <c r="X13" s="5">
        <f>[8]M98_01p1!AZ88</f>
        <v>0</v>
      </c>
      <c r="Y13" s="4">
        <f>[9]M98_01p1!N84</f>
        <v>2.5</v>
      </c>
      <c r="Z13" s="4"/>
      <c r="AH13" t="str">
        <f t="shared" si="4"/>
        <v>323</v>
      </c>
      <c r="AI13" s="9" t="str">
        <f t="shared" si="5"/>
        <v>Printing and Related Support</v>
      </c>
      <c r="AJ13" s="4">
        <f>'[6]Table 7.6'!BG27</f>
        <v>0</v>
      </c>
      <c r="AK13" s="4">
        <f>'[6]Table 7.6'!BH27</f>
        <v>0</v>
      </c>
      <c r="AL13">
        <f t="shared" si="6"/>
        <v>979.71</v>
      </c>
      <c r="AM13" s="4">
        <f t="shared" si="7"/>
        <v>0</v>
      </c>
      <c r="AN13" s="14">
        <f t="shared" si="8"/>
        <v>181.535</v>
      </c>
      <c r="AO13" s="4">
        <f t="shared" si="9"/>
        <v>3.9250810810810814</v>
      </c>
      <c r="AR13" s="117">
        <f t="shared" si="10"/>
        <v>8.6486486486486505E-3</v>
      </c>
      <c r="AS13" s="117">
        <f t="shared" si="11"/>
        <v>1.0810810810810813E-2</v>
      </c>
      <c r="AT13" s="117">
        <f t="shared" si="12"/>
        <v>0.92972972972972989</v>
      </c>
      <c r="AU13" s="117">
        <f t="shared" si="13"/>
        <v>2.1621621621621626E-2</v>
      </c>
      <c r="AV13" s="117">
        <f t="shared" si="14"/>
        <v>1.0810810810810813E-3</v>
      </c>
      <c r="AW13" s="117">
        <f t="shared" si="15"/>
        <v>0</v>
      </c>
      <c r="AX13" s="117">
        <f t="shared" si="16"/>
        <v>2.8108108108108112E-2</v>
      </c>
      <c r="AY13">
        <f t="shared" si="17"/>
        <v>1.0000000000000002</v>
      </c>
      <c r="BA13" s="17">
        <f t="shared" si="18"/>
        <v>0.97189189189189207</v>
      </c>
      <c r="BB13" s="17">
        <f t="shared" si="19"/>
        <v>8.8987764182424916E-3</v>
      </c>
      <c r="BC13" s="17">
        <f t="shared" si="20"/>
        <v>1.1123470522803115E-2</v>
      </c>
      <c r="BD13" s="17">
        <f t="shared" si="21"/>
        <v>0.95661846496106784</v>
      </c>
      <c r="BE13" s="17">
        <f t="shared" si="22"/>
        <v>2.224694104560623E-2</v>
      </c>
      <c r="BF13" s="17">
        <f t="shared" si="23"/>
        <v>1.1123470522803114E-3</v>
      </c>
      <c r="BH13" s="17">
        <f>MECS_data_SIC!BP126</f>
        <v>5.933740300948627E-3</v>
      </c>
      <c r="BI13" s="17">
        <f>MECS_data_SIC!BQ126</f>
        <v>3.4195691381234322E-2</v>
      </c>
      <c r="BJ13" s="17">
        <f>MECS_data_SIC!BR126</f>
        <v>0.94768645797261419</v>
      </c>
      <c r="BK13" s="17">
        <f>MECS_data_SIC!BS126</f>
        <v>1.2184110345202845E-2</v>
      </c>
      <c r="BL13" s="17">
        <f>MECS_data_SIC!BT126</f>
        <v>0</v>
      </c>
      <c r="BN13" s="14">
        <f t="shared" si="2"/>
        <v>178.285</v>
      </c>
      <c r="BP13" s="4">
        <f t="shared" si="24"/>
        <v>3.9662958843159069</v>
      </c>
    </row>
    <row r="14" spans="2:68" ht="15" x14ac:dyDescent="0.25">
      <c r="B14" s="6" t="s">
        <v>28</v>
      </c>
      <c r="C14" s="7" t="s">
        <v>29</v>
      </c>
      <c r="D14" s="21">
        <f>[7]M98_01p1!C48</f>
        <v>1475</v>
      </c>
      <c r="E14" s="21">
        <f>[7]M98_01p1!D48</f>
        <v>133</v>
      </c>
      <c r="F14" s="21">
        <f>[7]M98_01p1!E48</f>
        <v>29</v>
      </c>
      <c r="G14" s="21">
        <f>[7]M98_01p1!F48</f>
        <v>20</v>
      </c>
      <c r="H14" s="21">
        <f>[7]M98_01p1!G48</f>
        <v>994</v>
      </c>
      <c r="I14" s="21">
        <f>[7]M98_01p1!H48</f>
        <v>17</v>
      </c>
      <c r="J14" s="22">
        <f>[7]M98_01p1!I48</f>
        <v>0.1</v>
      </c>
      <c r="K14" s="21">
        <f>[7]M98_01p1!J48</f>
        <v>0</v>
      </c>
      <c r="L14" s="21">
        <f>[7]M98_01p1!K48</f>
        <v>281</v>
      </c>
      <c r="M14" s="16">
        <f>[7]M98_01p1!L48</f>
        <v>1341.1</v>
      </c>
      <c r="N14" s="16">
        <f>[7]M98_01p1!M48</f>
        <v>1342</v>
      </c>
      <c r="O14" s="16">
        <f t="shared" si="3"/>
        <v>1060.0999999999999</v>
      </c>
      <c r="P14" s="16"/>
      <c r="R14" s="5">
        <f>[8]M98_01p1!AT89</f>
        <v>11.34</v>
      </c>
      <c r="S14" s="23">
        <f>[8]M98_01p1!AV89</f>
        <v>2.2999999999999998</v>
      </c>
      <c r="T14" s="5">
        <f>[8]M98_01p1!AU89</f>
        <v>3.85</v>
      </c>
      <c r="U14" s="5">
        <f>[8]M98_01p1!AW89</f>
        <v>2.4700000000000002</v>
      </c>
      <c r="V14" s="24">
        <f>[8]M98_01p1!AX89</f>
        <v>4.29</v>
      </c>
      <c r="W14" s="23">
        <f>[8]M98_01p1!AY89</f>
        <v>2</v>
      </c>
      <c r="X14" s="5">
        <f>[8]M98_01p1!AZ89</f>
        <v>0</v>
      </c>
      <c r="Y14" s="4">
        <f>[9]M98_01p1!N85</f>
        <v>2.9220779220779223</v>
      </c>
      <c r="Z14" s="4"/>
      <c r="AH14" t="str">
        <f t="shared" si="4"/>
        <v>324</v>
      </c>
      <c r="AI14" s="9" t="str">
        <f t="shared" si="5"/>
        <v>Petroleum and Coal Products</v>
      </c>
      <c r="AJ14" s="4">
        <f>'[6]Table 7.6'!BG28</f>
        <v>0</v>
      </c>
      <c r="AK14" s="4">
        <f>'[6]Table 7.6'!BH28</f>
        <v>0</v>
      </c>
      <c r="AL14">
        <f t="shared" si="6"/>
        <v>1508.22</v>
      </c>
      <c r="AM14" s="4">
        <f t="shared" si="7"/>
        <v>0</v>
      </c>
      <c r="AN14" s="14">
        <f t="shared" si="8"/>
        <v>3493.113896103896</v>
      </c>
      <c r="AO14" s="4">
        <f t="shared" si="9"/>
        <v>2.604663258596597</v>
      </c>
      <c r="AR14" s="117">
        <f t="shared" si="10"/>
        <v>2.1624039967191113E-2</v>
      </c>
      <c r="AS14" s="117">
        <f t="shared" si="11"/>
        <v>1.4913131011855939E-2</v>
      </c>
      <c r="AT14" s="117">
        <f t="shared" si="12"/>
        <v>0.74118261128924023</v>
      </c>
      <c r="AU14" s="117">
        <f t="shared" si="13"/>
        <v>1.2676161360077549E-2</v>
      </c>
      <c r="AV14" s="117">
        <f t="shared" si="14"/>
        <v>7.4565655059279703E-5</v>
      </c>
      <c r="AW14" s="117">
        <f t="shared" si="15"/>
        <v>0</v>
      </c>
      <c r="AX14" s="117">
        <f t="shared" si="16"/>
        <v>0.20952949071657595</v>
      </c>
      <c r="AY14">
        <f t="shared" si="17"/>
        <v>1</v>
      </c>
      <c r="BA14" s="17">
        <f t="shared" si="18"/>
        <v>0.79047050928342411</v>
      </c>
      <c r="BB14" s="17">
        <f t="shared" si="19"/>
        <v>2.7355909819828318E-2</v>
      </c>
      <c r="BC14" s="17">
        <f t="shared" si="20"/>
        <v>1.8866144703329875E-2</v>
      </c>
      <c r="BD14" s="17">
        <f t="shared" si="21"/>
        <v>0.93764739175549483</v>
      </c>
      <c r="BE14" s="17">
        <f t="shared" si="22"/>
        <v>1.6036222997830394E-2</v>
      </c>
      <c r="BF14" s="17">
        <f t="shared" si="23"/>
        <v>9.433072351664937E-5</v>
      </c>
      <c r="BH14" s="17">
        <f>MECS_data_SIC!BP127</f>
        <v>3.3626490271465061E-2</v>
      </c>
      <c r="BI14" s="17">
        <f>MECS_data_SIC!BQ127</f>
        <v>1.9706265584757691E-2</v>
      </c>
      <c r="BJ14" s="17">
        <f>MECS_data_SIC!BR127</f>
        <v>0.91615760244045497</v>
      </c>
      <c r="BK14" s="17">
        <f>MECS_data_SIC!BS127</f>
        <v>2.581585067204192E-2</v>
      </c>
      <c r="BL14" s="17">
        <f>MECS_data_SIC!BT127</f>
        <v>4.6937910312803491E-3</v>
      </c>
      <c r="BN14" s="14">
        <f t="shared" si="2"/>
        <v>2672.0099999999998</v>
      </c>
      <c r="BP14" s="4">
        <f t="shared" si="24"/>
        <v>2.520526365437223</v>
      </c>
    </row>
    <row r="15" spans="2:68" ht="15" x14ac:dyDescent="0.25">
      <c r="B15" s="6" t="s">
        <v>30</v>
      </c>
      <c r="C15" s="7" t="s">
        <v>31</v>
      </c>
      <c r="D15" s="21">
        <f>[7]M98_01p1!C49</f>
        <v>3377</v>
      </c>
      <c r="E15" s="21">
        <f>[7]M98_01p1!D49</f>
        <v>602</v>
      </c>
      <c r="F15" s="21">
        <f>[7]M98_01p1!E49</f>
        <v>40</v>
      </c>
      <c r="G15" s="21">
        <f>[7]M98_01p1!F49</f>
        <v>9</v>
      </c>
      <c r="H15" s="21">
        <f>[7]M98_01p1!G49</f>
        <v>1983</v>
      </c>
      <c r="I15" s="21">
        <f>[7]M98_01p1!H49</f>
        <v>50</v>
      </c>
      <c r="J15" s="21">
        <f>[7]M98_01p1!I49</f>
        <v>284</v>
      </c>
      <c r="K15" s="21">
        <f>[7]M98_01p1!J49</f>
        <v>2</v>
      </c>
      <c r="L15" s="21">
        <f>[7]M98_01p1!K49</f>
        <v>407</v>
      </c>
      <c r="M15" s="16">
        <f>[7]M98_01p1!L49</f>
        <v>2775</v>
      </c>
      <c r="N15" s="16">
        <f>[7]M98_01p1!M49</f>
        <v>2775</v>
      </c>
      <c r="O15" s="16">
        <f t="shared" si="3"/>
        <v>2366</v>
      </c>
      <c r="P15" s="16"/>
      <c r="R15" s="5">
        <f>[8]M98_01p1!AT90</f>
        <v>10.53</v>
      </c>
      <c r="S15" s="5">
        <f>[8]M98_01p1!AV90</f>
        <v>2.67</v>
      </c>
      <c r="T15" s="5">
        <f>[8]M98_01p1!AU90</f>
        <v>4.68</v>
      </c>
      <c r="U15" s="5">
        <f>[8]M98_01p1!AW90</f>
        <v>2.38</v>
      </c>
      <c r="V15" s="24">
        <f>[8]M98_01p1!AX90</f>
        <v>4.4400000000000004</v>
      </c>
      <c r="W15" s="5">
        <f>[8]M98_01p1!AY90</f>
        <v>1.66</v>
      </c>
      <c r="X15" s="5">
        <f>[8]M98_01p1!AZ90</f>
        <v>4.51</v>
      </c>
      <c r="Y15" s="4">
        <f>[9]M98_01p1!N86</f>
        <v>3.5084427767354596</v>
      </c>
      <c r="Z15" s="4"/>
      <c r="AH15" t="str">
        <f t="shared" si="4"/>
        <v>325</v>
      </c>
      <c r="AI15" s="9" t="str">
        <f t="shared" si="5"/>
        <v>Chemicals</v>
      </c>
      <c r="AJ15" s="4">
        <f>'[6]Table 7.6'!BG29</f>
        <v>0</v>
      </c>
      <c r="AK15" s="4">
        <f>'[6]Table 7.6'!BH29</f>
        <v>0</v>
      </c>
      <c r="AL15">
        <f t="shared" si="6"/>
        <v>6339.0599999999995</v>
      </c>
      <c r="AM15" s="4">
        <f t="shared" si="7"/>
        <v>0</v>
      </c>
      <c r="AN15" s="14">
        <f t="shared" si="8"/>
        <v>6998.8562101313319</v>
      </c>
      <c r="AO15" s="4">
        <f t="shared" si="9"/>
        <v>2.5221103459932728</v>
      </c>
      <c r="AR15" s="117">
        <f t="shared" si="10"/>
        <v>1.4414414414414415E-2</v>
      </c>
      <c r="AS15" s="117">
        <f t="shared" si="11"/>
        <v>3.2432432432432431E-3</v>
      </c>
      <c r="AT15" s="117">
        <f t="shared" si="12"/>
        <v>0.71459459459459462</v>
      </c>
      <c r="AU15" s="117">
        <f t="shared" si="13"/>
        <v>1.8018018018018018E-2</v>
      </c>
      <c r="AV15" s="117">
        <f t="shared" si="14"/>
        <v>0.10234234234234234</v>
      </c>
      <c r="AW15" s="117">
        <f t="shared" si="15"/>
        <v>7.2072072072072073E-4</v>
      </c>
      <c r="AX15" s="117">
        <f t="shared" si="16"/>
        <v>0.14666666666666667</v>
      </c>
      <c r="AY15">
        <f t="shared" si="17"/>
        <v>1</v>
      </c>
      <c r="BA15" s="17">
        <f t="shared" si="18"/>
        <v>0.85261261261261267</v>
      </c>
      <c r="BB15" s="17">
        <f t="shared" si="19"/>
        <v>1.6906170752324597E-2</v>
      </c>
      <c r="BC15" s="17">
        <f t="shared" si="20"/>
        <v>3.8038884192730343E-3</v>
      </c>
      <c r="BD15" s="17">
        <f t="shared" si="21"/>
        <v>0.8381234150464919</v>
      </c>
      <c r="BE15" s="17">
        <f t="shared" si="22"/>
        <v>2.1132713440405747E-2</v>
      </c>
      <c r="BF15" s="17">
        <f t="shared" si="23"/>
        <v>0.12003381234150463</v>
      </c>
      <c r="BH15" s="17">
        <f>MECS_data_SIC!BP128</f>
        <v>2.7015301141058337E-2</v>
      </c>
      <c r="BI15" s="17">
        <f>MECS_data_SIC!BQ128</f>
        <v>5.8262714675155654E-3</v>
      </c>
      <c r="BJ15" s="17">
        <f>MECS_data_SIC!BR128</f>
        <v>0.85076483872497455</v>
      </c>
      <c r="BK15" s="17">
        <f>MECS_data_SIC!BS128</f>
        <v>1.7378649450991953E-3</v>
      </c>
      <c r="BL15" s="17">
        <f>MECS_data_SIC!BT128</f>
        <v>0.11465572372135234</v>
      </c>
      <c r="BN15" s="14">
        <f t="shared" si="2"/>
        <v>5561.9</v>
      </c>
      <c r="BP15" s="4">
        <f t="shared" si="24"/>
        <v>2.3507607776838544</v>
      </c>
    </row>
    <row r="16" spans="2:68" ht="15" x14ac:dyDescent="0.25">
      <c r="B16" s="6" t="s">
        <v>32</v>
      </c>
      <c r="C16" s="7" t="s">
        <v>33</v>
      </c>
      <c r="D16" s="21">
        <f>[7]M98_01p1!C50</f>
        <v>327</v>
      </c>
      <c r="E16" s="21">
        <f>[7]M98_01p1!D50</f>
        <v>183</v>
      </c>
      <c r="F16" s="21">
        <f>[7]M98_01p1!E50</f>
        <v>5</v>
      </c>
      <c r="G16" s="21">
        <f>[7]M98_01p1!F50</f>
        <v>1</v>
      </c>
      <c r="H16" s="21">
        <f>[7]M98_01p1!G50</f>
        <v>126</v>
      </c>
      <c r="I16" s="21">
        <f>[7]M98_01p1!H50</f>
        <v>4</v>
      </c>
      <c r="J16" s="21">
        <f>[7]M98_01p1!I50</f>
        <v>3</v>
      </c>
      <c r="K16" s="21">
        <f>[7]M98_01p1!J50</f>
        <v>0</v>
      </c>
      <c r="L16" s="21">
        <f>[7]M98_01p1!K50</f>
        <v>5</v>
      </c>
      <c r="M16" s="16">
        <f>[7]M98_01p1!L50</f>
        <v>144</v>
      </c>
      <c r="N16" s="16">
        <f>[7]M98_01p1!M50</f>
        <v>144</v>
      </c>
      <c r="O16" s="16">
        <f t="shared" si="3"/>
        <v>139</v>
      </c>
      <c r="P16" s="16"/>
      <c r="R16" s="5">
        <f>[8]M98_01p1!AT91</f>
        <v>15.48</v>
      </c>
      <c r="S16" s="5">
        <f>[8]M98_01p1!AV91</f>
        <v>2.5499999999999998</v>
      </c>
      <c r="T16" s="5">
        <f>[8]M98_01p1!AU91</f>
        <v>5.59</v>
      </c>
      <c r="U16" s="5">
        <f>[8]M98_01p1!AW91</f>
        <v>3.48</v>
      </c>
      <c r="V16" s="24">
        <f>[8]M98_01p1!AX91</f>
        <v>9.06</v>
      </c>
      <c r="W16" s="5">
        <f>[8]M98_01p1!AY91</f>
        <v>2.5</v>
      </c>
      <c r="X16" s="5">
        <f>[8]M98_01p1!AZ91</f>
        <v>0</v>
      </c>
      <c r="Y16" s="4">
        <f>[9]M98_01p1!N87</f>
        <v>4.2</v>
      </c>
      <c r="Z16" s="4"/>
      <c r="AH16" t="str">
        <f t="shared" si="4"/>
        <v>326</v>
      </c>
      <c r="AI16" s="9" t="str">
        <f t="shared" si="5"/>
        <v>Plastics and Rubber Products</v>
      </c>
      <c r="AJ16" s="4">
        <f>'[6]Table 7.6'!BG30</f>
        <v>0</v>
      </c>
      <c r="AK16" s="4">
        <f>'[6]Table 7.6'!BH30</f>
        <v>0</v>
      </c>
      <c r="AL16">
        <f t="shared" si="6"/>
        <v>2832.84</v>
      </c>
      <c r="AM16" s="4">
        <f t="shared" si="7"/>
        <v>0</v>
      </c>
      <c r="AN16" s="14">
        <f t="shared" si="8"/>
        <v>521.55999999999995</v>
      </c>
      <c r="AO16" s="4">
        <f t="shared" si="9"/>
        <v>3.621944444444444</v>
      </c>
      <c r="AR16" s="117">
        <f t="shared" si="10"/>
        <v>3.4722222222222224E-2</v>
      </c>
      <c r="AS16" s="117">
        <f t="shared" si="11"/>
        <v>6.9444444444444441E-3</v>
      </c>
      <c r="AT16" s="117">
        <f t="shared" si="12"/>
        <v>0.875</v>
      </c>
      <c r="AU16" s="117">
        <f t="shared" si="13"/>
        <v>2.7777777777777776E-2</v>
      </c>
      <c r="AV16" s="117">
        <f t="shared" si="14"/>
        <v>2.0833333333333332E-2</v>
      </c>
      <c r="AW16" s="117">
        <f t="shared" si="15"/>
        <v>0</v>
      </c>
      <c r="AX16" s="117">
        <f t="shared" si="16"/>
        <v>3.4722222222222224E-2</v>
      </c>
      <c r="AY16">
        <f t="shared" si="17"/>
        <v>1</v>
      </c>
      <c r="BA16" s="17">
        <f t="shared" si="18"/>
        <v>0.96527777777777779</v>
      </c>
      <c r="BB16" s="17">
        <f t="shared" si="19"/>
        <v>3.5971223021582732E-2</v>
      </c>
      <c r="BC16" s="17">
        <f t="shared" si="20"/>
        <v>7.1942446043165463E-3</v>
      </c>
      <c r="BD16" s="17">
        <f t="shared" si="21"/>
        <v>0.90647482014388492</v>
      </c>
      <c r="BE16" s="17">
        <f t="shared" si="22"/>
        <v>2.8776978417266185E-2</v>
      </c>
      <c r="BF16" s="17">
        <f t="shared" si="23"/>
        <v>2.1582733812949638E-2</v>
      </c>
      <c r="BH16" s="17">
        <f>MECS_data_SIC!BP129</f>
        <v>7.6666832918374742E-2</v>
      </c>
      <c r="BI16" s="17">
        <f>MECS_data_SIC!BQ129</f>
        <v>2.397362841426234E-2</v>
      </c>
      <c r="BJ16" s="17">
        <f>MECS_data_SIC!BR129</f>
        <v>0.83997252822630841</v>
      </c>
      <c r="BK16" s="17">
        <f>MECS_data_SIC!BS129</f>
        <v>2.2646287377824804E-2</v>
      </c>
      <c r="BL16" s="17">
        <f>MECS_data_SIC!BT129</f>
        <v>3.6740723063229584E-2</v>
      </c>
      <c r="BN16" s="14">
        <f t="shared" si="2"/>
        <v>500.56</v>
      </c>
      <c r="BP16" s="4">
        <f t="shared" si="24"/>
        <v>3.6011510791366907</v>
      </c>
    </row>
    <row r="17" spans="2:68" ht="15" x14ac:dyDescent="0.25">
      <c r="B17" s="6" t="s">
        <v>34</v>
      </c>
      <c r="C17" s="7" t="s">
        <v>35</v>
      </c>
      <c r="D17" s="21">
        <f>[7]M98_01p1!C51</f>
        <v>921</v>
      </c>
      <c r="E17" s="21">
        <f>[7]M98_01p1!D51</f>
        <v>135</v>
      </c>
      <c r="F17" s="21">
        <f>[7]M98_01p1!E51</f>
        <v>4</v>
      </c>
      <c r="G17" s="21">
        <f>[7]M98_01p1!F51</f>
        <v>16</v>
      </c>
      <c r="H17" s="21">
        <f>[7]M98_01p1!G51</f>
        <v>438</v>
      </c>
      <c r="I17" s="21">
        <f>[7]M98_01p1!H51</f>
        <v>3</v>
      </c>
      <c r="J17" s="21">
        <f>[7]M98_01p1!I51</f>
        <v>283</v>
      </c>
      <c r="K17" s="21">
        <f>[7]M98_01p1!J51</f>
        <v>10</v>
      </c>
      <c r="L17" s="21">
        <f>[7]M98_01p1!K51</f>
        <v>31</v>
      </c>
      <c r="M17" s="16">
        <f>[7]M98_01p1!L51</f>
        <v>785</v>
      </c>
      <c r="N17" s="16">
        <f>[7]M98_01p1!M51</f>
        <v>786</v>
      </c>
      <c r="O17" s="16">
        <f t="shared" si="3"/>
        <v>744</v>
      </c>
      <c r="P17" s="16"/>
      <c r="R17" s="5">
        <f>[8]M98_01p1!AT92</f>
        <v>13.33</v>
      </c>
      <c r="S17" s="5">
        <f>[8]M98_01p1!AV92</f>
        <v>2.92</v>
      </c>
      <c r="T17" s="5">
        <f>[8]M98_01p1!AU92</f>
        <v>4.7699999999999996</v>
      </c>
      <c r="U17" s="5">
        <f>[8]M98_01p1!AW92</f>
        <v>2.95</v>
      </c>
      <c r="V17" s="24">
        <f>[8]M98_01p1!AX92</f>
        <v>8.57</v>
      </c>
      <c r="W17" s="5">
        <f>[8]M98_01p1!AY92</f>
        <v>1.6</v>
      </c>
      <c r="X17" s="5">
        <f>[8]M98_01p1!AZ92</f>
        <v>2.48</v>
      </c>
      <c r="Y17" s="4">
        <f>[9]M98_01p1!N88</f>
        <v>1.3571428571428572</v>
      </c>
      <c r="Z17" s="4"/>
      <c r="AH17" t="str">
        <f t="shared" si="4"/>
        <v>327</v>
      </c>
      <c r="AI17" s="9" t="str">
        <f t="shared" si="5"/>
        <v>Nonmetallic Mineral Products</v>
      </c>
      <c r="AJ17" s="4">
        <f>'[6]Table 7.6'!BG31</f>
        <v>0</v>
      </c>
      <c r="AK17" s="4">
        <f>'[6]Table 7.6'!BH31</f>
        <v>0</v>
      </c>
      <c r="AL17">
        <f t="shared" si="6"/>
        <v>1799.55</v>
      </c>
      <c r="AM17" s="4">
        <f t="shared" si="7"/>
        <v>0</v>
      </c>
      <c r="AN17" s="14">
        <f t="shared" si="8"/>
        <v>1925.4814285714288</v>
      </c>
      <c r="AO17" s="4">
        <f t="shared" si="9"/>
        <v>2.4528425841674251</v>
      </c>
      <c r="AR17" s="117">
        <f t="shared" si="10"/>
        <v>5.0955414012738851E-3</v>
      </c>
      <c r="AS17" s="117">
        <f t="shared" si="11"/>
        <v>2.038216560509554E-2</v>
      </c>
      <c r="AT17" s="117">
        <f t="shared" si="12"/>
        <v>0.55796178343949043</v>
      </c>
      <c r="AU17" s="117">
        <f t="shared" si="13"/>
        <v>3.821656050955414E-3</v>
      </c>
      <c r="AV17" s="117">
        <f t="shared" si="14"/>
        <v>0.36050955414012736</v>
      </c>
      <c r="AW17" s="117">
        <f t="shared" si="15"/>
        <v>1.2738853503184714E-2</v>
      </c>
      <c r="AX17" s="117">
        <f t="shared" si="16"/>
        <v>3.949044585987261E-2</v>
      </c>
      <c r="AY17">
        <f t="shared" si="17"/>
        <v>1</v>
      </c>
      <c r="BA17" s="17">
        <f t="shared" si="18"/>
        <v>0.94777070063694269</v>
      </c>
      <c r="BB17" s="17">
        <f t="shared" si="19"/>
        <v>5.3763440860215049E-3</v>
      </c>
      <c r="BC17" s="17">
        <f t="shared" si="20"/>
        <v>2.150537634408602E-2</v>
      </c>
      <c r="BD17" s="17">
        <f t="shared" si="21"/>
        <v>0.58870967741935487</v>
      </c>
      <c r="BE17" s="17">
        <f t="shared" si="22"/>
        <v>4.0322580645161289E-3</v>
      </c>
      <c r="BF17" s="17">
        <f t="shared" si="23"/>
        <v>0.3803763440860215</v>
      </c>
      <c r="BH17" s="17">
        <f>MECS_data_SIC!BP130</f>
        <v>1.0097052633914668E-2</v>
      </c>
      <c r="BI17" s="17">
        <f>MECS_data_SIC!BQ130</f>
        <v>3.0870946285843553E-2</v>
      </c>
      <c r="BJ17" s="17">
        <f>MECS_data_SIC!BR130</f>
        <v>0.58391776524170547</v>
      </c>
      <c r="BK17" s="17">
        <f>MECS_data_SIC!BS130</f>
        <v>5.1570477252007793E-3</v>
      </c>
      <c r="BL17" s="17">
        <f>MECS_data_SIC!BT130</f>
        <v>0.36995718811333556</v>
      </c>
      <c r="BN17" s="14">
        <f t="shared" si="2"/>
        <v>1858.6100000000001</v>
      </c>
      <c r="BP17" s="4">
        <f t="shared" si="24"/>
        <v>2.4981317204301079</v>
      </c>
    </row>
    <row r="18" spans="2:68" ht="15" x14ac:dyDescent="0.25">
      <c r="B18" s="6" t="s">
        <v>36</v>
      </c>
      <c r="C18" s="7" t="s">
        <v>37</v>
      </c>
      <c r="D18" s="21">
        <f>[7]M98_01p1!C52</f>
        <v>2010</v>
      </c>
      <c r="E18" s="21">
        <f>[7]M98_01p1!D52</f>
        <v>558</v>
      </c>
      <c r="F18" s="21">
        <f>[7]M98_01p1!E52</f>
        <v>30</v>
      </c>
      <c r="G18" s="21">
        <f>[7]M98_01p1!F52</f>
        <v>8</v>
      </c>
      <c r="H18" s="21">
        <f>[7]M98_01p1!G52</f>
        <v>888</v>
      </c>
      <c r="I18" s="21">
        <f>[7]M98_01p1!H52</f>
        <v>3</v>
      </c>
      <c r="J18" s="21">
        <f>[7]M98_01p1!I52</f>
        <v>72</v>
      </c>
      <c r="K18" s="21">
        <f>[7]M98_01p1!J52</f>
        <v>421</v>
      </c>
      <c r="L18" s="21">
        <f>[7]M98_01p1!K52</f>
        <v>29</v>
      </c>
      <c r="M18" s="16">
        <f>[7]M98_01p1!L52</f>
        <v>1451</v>
      </c>
      <c r="N18" s="16">
        <f>[7]M98_01p1!M52</f>
        <v>1452</v>
      </c>
      <c r="O18" s="16">
        <f>M18-L18</f>
        <v>1422</v>
      </c>
      <c r="P18" s="16" t="s">
        <v>203</v>
      </c>
      <c r="Q18" t="s">
        <v>201</v>
      </c>
      <c r="R18" s="5">
        <f>[8]M98_01p1!AT93</f>
        <v>9.34</v>
      </c>
      <c r="S18" s="5">
        <f>[8]M98_01p1!AV93</f>
        <v>2.2200000000000002</v>
      </c>
      <c r="T18" s="5">
        <f>[8]M98_01p1!AU93</f>
        <v>5.0999999999999996</v>
      </c>
      <c r="U18" s="5">
        <f>[8]M98_01p1!AW93</f>
        <v>2.89</v>
      </c>
      <c r="V18" s="24">
        <f>[8]M98_01p1!AX93</f>
        <v>7.5</v>
      </c>
      <c r="W18" s="5">
        <f>[8]M98_01p1!AY93</f>
        <v>1.42</v>
      </c>
      <c r="X18" s="5">
        <f>[8]M98_01p1!AZ93</f>
        <v>4.93</v>
      </c>
      <c r="Y18" s="4">
        <f>[9]M98_01p1!N89</f>
        <v>5.3417721518987342</v>
      </c>
      <c r="Z18" s="4"/>
      <c r="AH18" t="str">
        <f t="shared" si="4"/>
        <v>331</v>
      </c>
      <c r="AI18" s="9" t="str">
        <f t="shared" si="5"/>
        <v>Primary Metals</v>
      </c>
      <c r="AJ18" s="4">
        <f>'[6]Table 7.6'!BG32</f>
        <v>0</v>
      </c>
      <c r="AK18" s="4">
        <f>'[6]Table 7.6'!BH32</f>
        <v>0</v>
      </c>
      <c r="AL18">
        <f t="shared" si="6"/>
        <v>5211.72</v>
      </c>
      <c r="AM18" s="4">
        <f t="shared" si="7"/>
        <v>0</v>
      </c>
      <c r="AN18" s="14">
        <f t="shared" si="8"/>
        <v>5028.9013924050632</v>
      </c>
      <c r="AO18" s="4">
        <f t="shared" si="9"/>
        <v>3.4658176377705465</v>
      </c>
      <c r="AR18" s="117">
        <f t="shared" si="10"/>
        <v>2.0675396278428671E-2</v>
      </c>
      <c r="AS18" s="117">
        <f t="shared" si="11"/>
        <v>5.5134390075809786E-3</v>
      </c>
      <c r="AT18" s="117">
        <f t="shared" si="12"/>
        <v>0.61199172984148864</v>
      </c>
      <c r="AU18" s="117">
        <f t="shared" si="13"/>
        <v>2.0675396278428669E-3</v>
      </c>
      <c r="AV18" s="117">
        <f t="shared" si="14"/>
        <v>4.9620951068228808E-2</v>
      </c>
      <c r="AW18" s="117">
        <f t="shared" si="15"/>
        <v>0.29014472777394901</v>
      </c>
      <c r="AX18" s="117">
        <f t="shared" si="16"/>
        <v>1.9986216402481046E-2</v>
      </c>
      <c r="AY18">
        <f t="shared" si="17"/>
        <v>1.0000000000000002</v>
      </c>
      <c r="BA18" s="17">
        <f>SUM(AR18:AW18)</f>
        <v>0.98001378359751912</v>
      </c>
      <c r="BB18" s="17">
        <f t="shared" si="19"/>
        <v>2.1097046413502109E-2</v>
      </c>
      <c r="BC18" s="17">
        <f t="shared" si="20"/>
        <v>5.6258790436005618E-3</v>
      </c>
      <c r="BD18" s="17">
        <f t="shared" si="21"/>
        <v>0.62447257383966237</v>
      </c>
      <c r="BE18" s="17">
        <f t="shared" si="22"/>
        <v>2.1097046413502104E-3</v>
      </c>
      <c r="BF18" s="17">
        <f t="shared" si="23"/>
        <v>5.0632911392405056E-2</v>
      </c>
      <c r="BG18" s="17">
        <f>AW18/BA18</f>
        <v>0.29606188466947958</v>
      </c>
      <c r="BH18" s="17">
        <f>MECS_data_SIC!BP131</f>
        <v>3.2636527883263662E-2</v>
      </c>
      <c r="BI18" s="17">
        <f>MECS_data_SIC!BQ131</f>
        <v>9.3575669180794505E-3</v>
      </c>
      <c r="BJ18" s="17">
        <f>MECS_data_SIC!BR131</f>
        <v>0.60473066995652969</v>
      </c>
      <c r="BK18" s="17">
        <f>MECS_data_SIC!BS131</f>
        <v>4.0108579769223152E-3</v>
      </c>
      <c r="BL18" s="17">
        <f>MECS_data_SIC!BT131</f>
        <v>3.8704337590411766E-2</v>
      </c>
      <c r="BN18" s="14">
        <f>SUMPRODUCT(F18:K18,S18:X18)</f>
        <v>4873.99</v>
      </c>
      <c r="BO18" t="s">
        <v>181</v>
      </c>
      <c r="BP18" s="4">
        <f t="shared" si="24"/>
        <v>3.4275597749648381</v>
      </c>
    </row>
    <row r="19" spans="2:68" ht="15" x14ac:dyDescent="0.25">
      <c r="B19" s="6" t="s">
        <v>38</v>
      </c>
      <c r="C19" s="7" t="s">
        <v>39</v>
      </c>
      <c r="D19" s="21">
        <f>[7]M98_01p1!C53</f>
        <v>441</v>
      </c>
      <c r="E19" s="21">
        <f>[7]M98_01p1!D53</f>
        <v>176</v>
      </c>
      <c r="F19" s="21">
        <f>[7]M98_01p1!E53</f>
        <v>2</v>
      </c>
      <c r="G19" s="21">
        <f>[7]M98_01p1!F53</f>
        <v>6</v>
      </c>
      <c r="H19" s="21">
        <f>[7]M98_01p1!G53</f>
        <v>241</v>
      </c>
      <c r="I19" s="21">
        <f>[7]M98_01p1!H53</f>
        <v>5</v>
      </c>
      <c r="J19" s="21">
        <f>[7]M98_01p1!I53</f>
        <v>3</v>
      </c>
      <c r="K19" s="21">
        <f>[7]M98_01p1!J53</f>
        <v>2</v>
      </c>
      <c r="L19" s="21">
        <f>[7]M98_01p1!K53</f>
        <v>6</v>
      </c>
      <c r="M19" s="16">
        <f>[7]M98_01p1!L53</f>
        <v>265</v>
      </c>
      <c r="N19" s="16">
        <f>[7]M98_01p1!M53</f>
        <v>265</v>
      </c>
      <c r="O19" s="16">
        <f t="shared" si="3"/>
        <v>257</v>
      </c>
      <c r="P19" s="16"/>
      <c r="Q19" t="s">
        <v>202</v>
      </c>
      <c r="R19" s="5">
        <f>[8]M98_01p1!AT94</f>
        <v>16.66</v>
      </c>
      <c r="S19" s="5">
        <f>[8]M98_01p1!AV94</f>
        <v>2.85</v>
      </c>
      <c r="T19" s="5">
        <f>[8]M98_01p1!AU94</f>
        <v>5.0599999999999996</v>
      </c>
      <c r="U19" s="5">
        <f>[8]M98_01p1!AW94</f>
        <v>3.49</v>
      </c>
      <c r="V19" s="24">
        <f>[8]M98_01p1!AX94</f>
        <v>8.83</v>
      </c>
      <c r="W19" s="5">
        <f>[8]M98_01p1!AY94</f>
        <v>2.61</v>
      </c>
      <c r="X19" s="5">
        <f>[8]M98_01p1!AZ94</f>
        <v>7.35</v>
      </c>
      <c r="Y19" s="4">
        <f>[9]M98_01p1!N90</f>
        <v>12.925925925925926</v>
      </c>
      <c r="Z19" s="4"/>
      <c r="AH19" t="str">
        <f t="shared" si="4"/>
        <v>332</v>
      </c>
      <c r="AI19" s="9" t="str">
        <f t="shared" si="5"/>
        <v>Fabricated Metal Products</v>
      </c>
      <c r="AJ19" s="4">
        <f>'[6]Table 7.6'!BG33</f>
        <v>0</v>
      </c>
      <c r="AK19" s="4">
        <f>'[6]Table 7.6'!BH33</f>
        <v>0</v>
      </c>
      <c r="AL19">
        <f t="shared" si="6"/>
        <v>2932.16</v>
      </c>
      <c r="AM19" s="4">
        <f t="shared" si="7"/>
        <v>0</v>
      </c>
      <c r="AN19" s="14">
        <f t="shared" si="8"/>
        <v>1021.3855555555557</v>
      </c>
      <c r="AO19" s="4">
        <f t="shared" si="9"/>
        <v>3.8542851153039837</v>
      </c>
      <c r="AR19" s="117">
        <f t="shared" si="10"/>
        <v>7.5471698113207548E-3</v>
      </c>
      <c r="AS19" s="117">
        <f t="shared" si="11"/>
        <v>2.2641509433962263E-2</v>
      </c>
      <c r="AT19" s="117">
        <f t="shared" si="12"/>
        <v>0.90943396226415096</v>
      </c>
      <c r="AU19" s="117">
        <f t="shared" si="13"/>
        <v>1.8867924528301886E-2</v>
      </c>
      <c r="AV19" s="117">
        <f t="shared" si="14"/>
        <v>1.1320754716981131E-2</v>
      </c>
      <c r="AW19" s="117">
        <f t="shared" si="15"/>
        <v>7.5471698113207548E-3</v>
      </c>
      <c r="AX19" s="117">
        <f t="shared" si="16"/>
        <v>2.2641509433962263E-2</v>
      </c>
      <c r="AY19">
        <f t="shared" si="17"/>
        <v>1</v>
      </c>
      <c r="BA19" s="17">
        <f t="shared" si="18"/>
        <v>0.96981132075471699</v>
      </c>
      <c r="BB19" s="17">
        <f t="shared" si="19"/>
        <v>7.7821011673151752E-3</v>
      </c>
      <c r="BC19" s="17">
        <f t="shared" si="20"/>
        <v>2.3346303501945522E-2</v>
      </c>
      <c r="BD19" s="17">
        <f t="shared" si="21"/>
        <v>0.9377431906614786</v>
      </c>
      <c r="BE19" s="17">
        <f t="shared" si="22"/>
        <v>1.9455252918287938E-2</v>
      </c>
      <c r="BF19" s="17">
        <f t="shared" si="23"/>
        <v>1.1673151750972761E-2</v>
      </c>
      <c r="BH19" s="17">
        <f>MECS_data_SIC!BP132</f>
        <v>1.2938078292857374E-2</v>
      </c>
      <c r="BI19" s="17">
        <f>MECS_data_SIC!BQ132</f>
        <v>1.9636604435458459E-2</v>
      </c>
      <c r="BJ19" s="17">
        <f>MECS_data_SIC!BR132</f>
        <v>0.91278285669835257</v>
      </c>
      <c r="BK19" s="17">
        <f>MECS_data_SIC!BS132</f>
        <v>2.0701044198340211E-2</v>
      </c>
      <c r="BL19" s="17">
        <f>MECS_data_SIC!BT132</f>
        <v>3.3941416374991429E-2</v>
      </c>
      <c r="BN19" s="14">
        <f t="shared" ref="BN19:BN25" si="25">SUMPRODUCT(F19:J19,S19:W19)</f>
        <v>929.13000000000011</v>
      </c>
      <c r="BP19" s="4">
        <f t="shared" si="24"/>
        <v>3.6152918287937745</v>
      </c>
    </row>
    <row r="20" spans="2:68" ht="15" x14ac:dyDescent="0.25">
      <c r="B20" s="6" t="s">
        <v>40</v>
      </c>
      <c r="C20" s="7" t="s">
        <v>41</v>
      </c>
      <c r="D20" s="21">
        <f>[7]M98_01p1!C54</f>
        <v>213</v>
      </c>
      <c r="E20" s="21">
        <f>[7]M98_01p1!D54</f>
        <v>96</v>
      </c>
      <c r="F20" s="21">
        <f>[7]M98_01p1!E54</f>
        <v>1</v>
      </c>
      <c r="G20" s="21">
        <f>[7]M98_01p1!F54</f>
        <v>3</v>
      </c>
      <c r="H20" s="21">
        <f>[7]M98_01p1!G54</f>
        <v>99</v>
      </c>
      <c r="I20" s="21">
        <f>[7]M98_01p1!H54</f>
        <v>3</v>
      </c>
      <c r="J20" s="21">
        <f>[7]M98_01p1!I54</f>
        <v>6</v>
      </c>
      <c r="K20" s="21">
        <f>[7]M98_01p1!J54</f>
        <v>0</v>
      </c>
      <c r="L20" s="21">
        <f>[7]M98_01p1!K54</f>
        <v>4</v>
      </c>
      <c r="M20" s="16">
        <f>[7]M98_01p1!L54</f>
        <v>116</v>
      </c>
      <c r="N20" s="16">
        <f>[7]M98_01p1!M54</f>
        <v>117</v>
      </c>
      <c r="O20" s="16">
        <f t="shared" si="3"/>
        <v>112</v>
      </c>
      <c r="P20" s="16"/>
      <c r="R20" s="5">
        <f>[8]M98_01p1!AT95</f>
        <v>17.329999999999998</v>
      </c>
      <c r="S20" s="5">
        <f>[8]M98_01p1!AV95</f>
        <v>2.36</v>
      </c>
      <c r="T20" s="5">
        <f>[8]M98_01p1!AU95</f>
        <v>5.13</v>
      </c>
      <c r="U20" s="5">
        <f>[8]M98_01p1!AW95</f>
        <v>3.66</v>
      </c>
      <c r="V20" s="24">
        <f>[8]M98_01p1!AX95</f>
        <v>7.65</v>
      </c>
      <c r="W20" s="5">
        <f>[8]M98_01p1!AY95</f>
        <v>1.57</v>
      </c>
      <c r="X20" s="5">
        <f>[8]M98_01p1!AZ95</f>
        <v>0</v>
      </c>
      <c r="Y20" s="4">
        <f>[9]M98_01p1!N91</f>
        <v>7.8571428571428568</v>
      </c>
      <c r="Z20" s="4"/>
      <c r="AH20" t="str">
        <f t="shared" si="4"/>
        <v>333</v>
      </c>
      <c r="AI20" s="9" t="str">
        <f t="shared" si="5"/>
        <v>Machinery</v>
      </c>
      <c r="AJ20" s="4">
        <f>'[6]Table 7.6'!BG34</f>
        <v>0</v>
      </c>
      <c r="AK20" s="4">
        <f>'[6]Table 7.6'!BH34</f>
        <v>0</v>
      </c>
      <c r="AL20">
        <f t="shared" si="6"/>
        <v>1663.6799999999998</v>
      </c>
      <c r="AM20" s="4">
        <f t="shared" si="7"/>
        <v>0</v>
      </c>
      <c r="AN20" s="14">
        <f t="shared" si="8"/>
        <v>443.88857142857148</v>
      </c>
      <c r="AO20" s="4">
        <f t="shared" si="9"/>
        <v>3.8266256157635472</v>
      </c>
      <c r="AR20" s="117">
        <f t="shared" si="10"/>
        <v>8.6206896551724137E-3</v>
      </c>
      <c r="AS20" s="117">
        <f t="shared" si="11"/>
        <v>2.5862068965517241E-2</v>
      </c>
      <c r="AT20" s="117">
        <f t="shared" si="12"/>
        <v>0.85344827586206895</v>
      </c>
      <c r="AU20" s="117">
        <f t="shared" si="13"/>
        <v>2.5862068965517241E-2</v>
      </c>
      <c r="AV20" s="117">
        <f t="shared" si="14"/>
        <v>5.1724137931034482E-2</v>
      </c>
      <c r="AW20" s="117">
        <f t="shared" si="15"/>
        <v>0</v>
      </c>
      <c r="AX20" s="117">
        <f t="shared" si="16"/>
        <v>3.4482758620689655E-2</v>
      </c>
      <c r="AY20">
        <f t="shared" si="17"/>
        <v>0.99999999999999989</v>
      </c>
      <c r="BA20" s="17">
        <f t="shared" si="18"/>
        <v>0.96551724137931028</v>
      </c>
      <c r="BB20" s="17">
        <f t="shared" si="19"/>
        <v>8.9285714285714298E-3</v>
      </c>
      <c r="BC20" s="17">
        <f t="shared" si="20"/>
        <v>2.6785714285714288E-2</v>
      </c>
      <c r="BD20" s="17">
        <f t="shared" si="21"/>
        <v>0.88392857142857151</v>
      </c>
      <c r="BE20" s="17">
        <f t="shared" si="22"/>
        <v>2.6785714285714288E-2</v>
      </c>
      <c r="BF20" s="17">
        <f t="shared" si="23"/>
        <v>5.3571428571428575E-2</v>
      </c>
      <c r="BH20" s="17">
        <f>MECS_data_SIC!BP133</f>
        <v>2.3414579889570963E-2</v>
      </c>
      <c r="BI20" s="17">
        <f>MECS_data_SIC!BQ133</f>
        <v>2.8147961723835966E-2</v>
      </c>
      <c r="BJ20" s="17">
        <f>MECS_data_SIC!BR133</f>
        <v>0.7944446721281424</v>
      </c>
      <c r="BK20" s="17">
        <f>MECS_data_SIC!BS133</f>
        <v>2.0641299599920719E-2</v>
      </c>
      <c r="BL20" s="17">
        <f>MECS_data_SIC!BT133</f>
        <v>0.13335148665852994</v>
      </c>
      <c r="BN20" s="14">
        <f t="shared" si="25"/>
        <v>412.46000000000004</v>
      </c>
      <c r="BP20" s="4">
        <f t="shared" si="24"/>
        <v>3.6826785714285717</v>
      </c>
    </row>
    <row r="21" spans="2:68" ht="15" x14ac:dyDescent="0.25">
      <c r="B21" s="6" t="s">
        <v>42</v>
      </c>
      <c r="C21" s="7" t="s">
        <v>43</v>
      </c>
      <c r="D21" s="21">
        <f>[7]M98_01p1!C55</f>
        <v>205</v>
      </c>
      <c r="E21" s="21">
        <f>[7]M98_01p1!D55</f>
        <v>137</v>
      </c>
      <c r="F21" s="21">
        <f>[7]M98_01p1!E55</f>
        <v>1</v>
      </c>
      <c r="G21" s="21">
        <f>[7]M98_01p1!F55</f>
        <v>1</v>
      </c>
      <c r="H21" s="21">
        <f>[7]M98_01p1!G55</f>
        <v>64</v>
      </c>
      <c r="I21" s="22">
        <f>[7]M98_01p1!H55</f>
        <v>0.4</v>
      </c>
      <c r="J21" s="22">
        <f>[7]M98_01p1!I55</f>
        <v>0.2</v>
      </c>
      <c r="K21" s="21">
        <f>[7]M98_01p1!J55</f>
        <v>0</v>
      </c>
      <c r="L21" s="21">
        <f>[7]M98_01p1!K55</f>
        <v>1</v>
      </c>
      <c r="M21" s="16">
        <f>[7]M98_01p1!L55</f>
        <v>67.600000000000009</v>
      </c>
      <c r="N21" s="16">
        <f>[7]M98_01p1!M55</f>
        <v>68</v>
      </c>
      <c r="O21" s="16">
        <f t="shared" si="3"/>
        <v>66.600000000000009</v>
      </c>
      <c r="P21" s="16"/>
      <c r="R21" s="5">
        <f>[8]M98_01p1!AT96</f>
        <v>16.14</v>
      </c>
      <c r="S21" s="23">
        <f>[8]M98_01p1!AV96</f>
        <v>2.5</v>
      </c>
      <c r="T21" s="5">
        <f>[8]M98_01p1!AU96</f>
        <v>4.6900000000000004</v>
      </c>
      <c r="U21" s="5">
        <f>[8]M98_01p1!AW96</f>
        <v>3.71</v>
      </c>
      <c r="V21" s="24">
        <f>[8]M98_01p1!AX96</f>
        <v>7.9</v>
      </c>
      <c r="W21" s="23">
        <f>[8]M98_01p1!AY96</f>
        <v>2</v>
      </c>
      <c r="X21" s="5">
        <f>[8]M98_01p1!AZ96</f>
        <v>0</v>
      </c>
      <c r="Y21" s="4">
        <f>[9]M98_01p1!N92</f>
        <v>22</v>
      </c>
      <c r="Z21" s="4"/>
      <c r="AH21" t="str">
        <f t="shared" si="4"/>
        <v>334</v>
      </c>
      <c r="AI21" s="9" t="str">
        <f t="shared" si="5"/>
        <v>Computer and Electronic Products</v>
      </c>
      <c r="AJ21" s="4">
        <f>'[6]Table 7.6'!BG35</f>
        <v>0</v>
      </c>
      <c r="AK21" s="4">
        <f>'[6]Table 7.6'!BH35</f>
        <v>0</v>
      </c>
      <c r="AL21">
        <f t="shared" si="6"/>
        <v>2211.1800000000003</v>
      </c>
      <c r="AM21" s="4">
        <f t="shared" si="7"/>
        <v>0</v>
      </c>
      <c r="AN21" s="14">
        <f t="shared" si="8"/>
        <v>270.19</v>
      </c>
      <c r="AO21" s="4">
        <f t="shared" si="9"/>
        <v>3.99689349112426</v>
      </c>
      <c r="AR21" s="117">
        <f t="shared" si="10"/>
        <v>1.4792899408284021E-2</v>
      </c>
      <c r="AS21" s="117">
        <f t="shared" si="11"/>
        <v>1.4792899408284021E-2</v>
      </c>
      <c r="AT21" s="117">
        <f t="shared" si="12"/>
        <v>0.94674556213017735</v>
      </c>
      <c r="AU21" s="117">
        <f t="shared" si="13"/>
        <v>5.9171597633136093E-3</v>
      </c>
      <c r="AV21" s="117">
        <f t="shared" si="14"/>
        <v>2.9585798816568047E-3</v>
      </c>
      <c r="AW21" s="117">
        <f t="shared" si="15"/>
        <v>0</v>
      </c>
      <c r="AX21" s="117">
        <f t="shared" si="16"/>
        <v>1.4792899408284021E-2</v>
      </c>
      <c r="AY21">
        <f t="shared" si="17"/>
        <v>0.99999999999999989</v>
      </c>
      <c r="BA21" s="17">
        <f t="shared" si="18"/>
        <v>0.9852071005917159</v>
      </c>
      <c r="BB21" s="17">
        <f t="shared" si="19"/>
        <v>1.5015015015015013E-2</v>
      </c>
      <c r="BC21" s="17">
        <f t="shared" si="20"/>
        <v>1.5015015015015013E-2</v>
      </c>
      <c r="BD21" s="17">
        <f t="shared" si="21"/>
        <v>0.96096096096096084</v>
      </c>
      <c r="BE21" s="17">
        <f t="shared" si="22"/>
        <v>6.006006006006006E-3</v>
      </c>
      <c r="BF21" s="17">
        <f t="shared" si="23"/>
        <v>3.003003003003003E-3</v>
      </c>
      <c r="BH21" s="17">
        <f>MECS_data_SIC!BP134</f>
        <v>4.0126291469879734E-2</v>
      </c>
      <c r="BI21" s="17">
        <f>MECS_data_SIC!BQ134</f>
        <v>1.9408796633118619E-2</v>
      </c>
      <c r="BJ21" s="17">
        <f>MECS_data_SIC!BR134</f>
        <v>0.76665938761969021</v>
      </c>
      <c r="BK21" s="17">
        <f>MECS_data_SIC!BS134</f>
        <v>1.5372763544744459E-2</v>
      </c>
      <c r="BL21" s="17">
        <f>MECS_data_SIC!BT134</f>
        <v>0.15843276073256668</v>
      </c>
      <c r="BN21" s="14">
        <f t="shared" si="25"/>
        <v>248.19</v>
      </c>
      <c r="BP21" s="4">
        <f t="shared" si="24"/>
        <v>3.7265765765765759</v>
      </c>
    </row>
    <row r="22" spans="2:68" ht="15" x14ac:dyDescent="0.25">
      <c r="B22" s="6" t="s">
        <v>44</v>
      </c>
      <c r="C22" s="7" t="s">
        <v>45</v>
      </c>
      <c r="D22" s="21">
        <f>[7]M98_01p1!C56</f>
        <v>115</v>
      </c>
      <c r="E22" s="21">
        <f>[7]M98_01p1!D56</f>
        <v>55</v>
      </c>
      <c r="F22" s="21">
        <f>[7]M98_01p1!E56</f>
        <v>1</v>
      </c>
      <c r="G22" s="21">
        <f>[7]M98_01p1!F56</f>
        <v>1</v>
      </c>
      <c r="H22" s="21">
        <f>[7]M98_01p1!G56</f>
        <v>52</v>
      </c>
      <c r="I22" s="21">
        <f>[7]M98_01p1!H56</f>
        <v>2</v>
      </c>
      <c r="J22" s="22">
        <f>[7]M98_01p1!I56</f>
        <v>0.2</v>
      </c>
      <c r="K22" s="21">
        <f>[7]M98_01p1!J56</f>
        <v>0</v>
      </c>
      <c r="L22" s="21">
        <f>[7]M98_01p1!K56</f>
        <v>3</v>
      </c>
      <c r="M22" s="16">
        <f>[7]M98_01p1!L56</f>
        <v>59.2</v>
      </c>
      <c r="N22" s="16">
        <f>[7]M98_01p1!M56</f>
        <v>60</v>
      </c>
      <c r="O22" s="16">
        <f t="shared" si="3"/>
        <v>56.2</v>
      </c>
      <c r="P22" s="16"/>
      <c r="R22" s="5">
        <f>[8]M98_01p1!AT97</f>
        <v>15.25</v>
      </c>
      <c r="S22" s="5">
        <f>[8]M98_01p1!AV97</f>
        <v>2.93</v>
      </c>
      <c r="T22" s="5">
        <f>[8]M98_01p1!AU97</f>
        <v>5.49</v>
      </c>
      <c r="U22" s="5">
        <f>[8]M98_01p1!AW97</f>
        <v>3.4</v>
      </c>
      <c r="V22" s="25">
        <f>[8]M98_01p1!AX97</f>
        <v>8</v>
      </c>
      <c r="W22" s="23">
        <f>[8]M98_01p1!AY97</f>
        <v>2</v>
      </c>
      <c r="X22" s="23">
        <f>[8]M98_01p1!AZ97</f>
        <v>5</v>
      </c>
      <c r="Y22" s="4">
        <f>[9]M98_01p1!N93</f>
        <v>0.41514360313315929</v>
      </c>
      <c r="Z22" s="4"/>
      <c r="AH22" t="str">
        <f t="shared" si="4"/>
        <v>335</v>
      </c>
      <c r="AI22" s="9" t="str">
        <f t="shared" si="5"/>
        <v>Electrical Equip., Appliances, and Components</v>
      </c>
      <c r="AJ22" s="4">
        <f>'[6]Table 7.6'!BG36</f>
        <v>0</v>
      </c>
      <c r="AK22" s="4">
        <f>'[6]Table 7.6'!BH36</f>
        <v>0</v>
      </c>
      <c r="AL22">
        <f t="shared" si="6"/>
        <v>838.75</v>
      </c>
      <c r="AM22" s="4">
        <f t="shared" si="7"/>
        <v>0</v>
      </c>
      <c r="AN22" s="14">
        <f t="shared" si="8"/>
        <v>202.86543080939944</v>
      </c>
      <c r="AO22" s="4">
        <f t="shared" si="9"/>
        <v>3.4267809258344499</v>
      </c>
      <c r="AR22" s="117">
        <f t="shared" si="10"/>
        <v>1.6891891891891889E-2</v>
      </c>
      <c r="AS22" s="117">
        <f t="shared" si="11"/>
        <v>1.6891891891891889E-2</v>
      </c>
      <c r="AT22" s="117">
        <f t="shared" si="12"/>
        <v>0.87837837837837829</v>
      </c>
      <c r="AU22" s="117">
        <f t="shared" si="13"/>
        <v>3.3783783783783779E-2</v>
      </c>
      <c r="AV22" s="117">
        <f t="shared" si="14"/>
        <v>3.3783783783783786E-3</v>
      </c>
      <c r="AW22" s="117">
        <f t="shared" si="15"/>
        <v>0</v>
      </c>
      <c r="AX22" s="117">
        <f t="shared" si="16"/>
        <v>5.0675675675675672E-2</v>
      </c>
      <c r="AY22">
        <f t="shared" si="17"/>
        <v>0.99999999999999989</v>
      </c>
      <c r="BA22" s="17">
        <f t="shared" si="18"/>
        <v>0.94932432432432423</v>
      </c>
      <c r="BB22" s="17">
        <f t="shared" si="19"/>
        <v>1.779359430604982E-2</v>
      </c>
      <c r="BC22" s="17">
        <f t="shared" si="20"/>
        <v>1.779359430604982E-2</v>
      </c>
      <c r="BD22" s="17">
        <f t="shared" si="21"/>
        <v>0.92526690391459077</v>
      </c>
      <c r="BE22" s="17">
        <f t="shared" si="22"/>
        <v>3.5587188612099641E-2</v>
      </c>
      <c r="BF22" s="17">
        <f t="shared" si="23"/>
        <v>3.5587188612099651E-3</v>
      </c>
      <c r="BH22" s="17">
        <f>MECS_data_SIC!BP135</f>
        <v>2.8039926689880586E-2</v>
      </c>
      <c r="BI22" s="17">
        <f>MECS_data_SIC!BQ135</f>
        <v>1.8029086991494657E-2</v>
      </c>
      <c r="BJ22" s="17">
        <f>MECS_data_SIC!BR135</f>
        <v>0.9298263033524784</v>
      </c>
      <c r="BK22" s="17">
        <f>MECS_data_SIC!BS135</f>
        <v>2.4104682966146335E-2</v>
      </c>
      <c r="BL22" s="17">
        <f>MECS_data_SIC!BT135</f>
        <v>0</v>
      </c>
      <c r="BN22" s="14">
        <f t="shared" si="25"/>
        <v>201.61999999999998</v>
      </c>
      <c r="BP22" s="4">
        <f t="shared" si="24"/>
        <v>3.5875444839857646</v>
      </c>
    </row>
    <row r="23" spans="2:68" ht="15" x14ac:dyDescent="0.25">
      <c r="B23" s="6" t="s">
        <v>46</v>
      </c>
      <c r="C23" s="7" t="s">
        <v>47</v>
      </c>
      <c r="D23" s="21">
        <f>[7]M98_01p1!C57</f>
        <v>491</v>
      </c>
      <c r="E23" s="21">
        <f>[7]M98_01p1!D57</f>
        <v>197</v>
      </c>
      <c r="F23" s="21">
        <f>[7]M98_01p1!E57</f>
        <v>5</v>
      </c>
      <c r="G23" s="21">
        <f>[7]M98_01p1!F57</f>
        <v>15</v>
      </c>
      <c r="H23" s="21">
        <f>[7]M98_01p1!G57</f>
        <v>211</v>
      </c>
      <c r="I23" s="21">
        <f>[7]M98_01p1!H57</f>
        <v>4</v>
      </c>
      <c r="J23" s="21">
        <f>[7]M98_01p1!I57</f>
        <v>29</v>
      </c>
      <c r="K23" s="21">
        <f>[7]M98_01p1!J57</f>
        <v>1</v>
      </c>
      <c r="L23" s="21">
        <f>[7]M98_01p1!K57</f>
        <v>30</v>
      </c>
      <c r="M23" s="16">
        <f>[7]M98_01p1!L57</f>
        <v>295</v>
      </c>
      <c r="N23" s="16">
        <f>[7]M98_01p1!M57</f>
        <v>294</v>
      </c>
      <c r="O23" s="16">
        <f t="shared" si="3"/>
        <v>264</v>
      </c>
      <c r="P23" s="16"/>
      <c r="R23" s="5">
        <f>[8]M98_01p1!AT98</f>
        <v>14.44</v>
      </c>
      <c r="S23" s="5">
        <f>[8]M98_01p1!AV98</f>
        <v>2.79</v>
      </c>
      <c r="T23" s="5">
        <f>[8]M98_01p1!AU98</f>
        <v>4.84</v>
      </c>
      <c r="U23" s="5">
        <f>[8]M98_01p1!AW98</f>
        <v>3.24</v>
      </c>
      <c r="V23" s="24">
        <f>[8]M98_01p1!AX98</f>
        <v>8.0500000000000007</v>
      </c>
      <c r="W23" s="5">
        <f>[8]M98_01p1!AY98</f>
        <v>1.79</v>
      </c>
      <c r="X23" s="23">
        <f>[8]M98_01p1!AZ98</f>
        <v>5</v>
      </c>
      <c r="Y23" s="4">
        <f>[9]M98_01p1!N94</f>
        <v>3.8518518518518516</v>
      </c>
      <c r="Z23" s="4"/>
      <c r="AH23" t="str">
        <f t="shared" si="4"/>
        <v>336</v>
      </c>
      <c r="AI23" s="9" t="str">
        <f t="shared" si="5"/>
        <v>Transportation Equipment</v>
      </c>
      <c r="AJ23" s="4">
        <f>'[6]Table 7.6'!BG37</f>
        <v>0</v>
      </c>
      <c r="AK23" s="4">
        <f>'[6]Table 7.6'!BH37</f>
        <v>0</v>
      </c>
      <c r="AL23">
        <f t="shared" si="6"/>
        <v>2844.68</v>
      </c>
      <c r="AM23" s="4">
        <f t="shared" si="7"/>
        <v>0</v>
      </c>
      <c r="AN23" s="14">
        <f t="shared" si="8"/>
        <v>974.85555555555561</v>
      </c>
      <c r="AO23" s="4">
        <f t="shared" si="9"/>
        <v>3.3045951035781544</v>
      </c>
      <c r="AR23" s="117">
        <f t="shared" si="10"/>
        <v>1.6949152542372881E-2</v>
      </c>
      <c r="AS23" s="117">
        <f t="shared" si="11"/>
        <v>5.0847457627118647E-2</v>
      </c>
      <c r="AT23" s="117">
        <f t="shared" si="12"/>
        <v>0.71525423728813564</v>
      </c>
      <c r="AU23" s="117">
        <f t="shared" si="13"/>
        <v>1.3559322033898305E-2</v>
      </c>
      <c r="AV23" s="117">
        <f t="shared" si="14"/>
        <v>9.8305084745762716E-2</v>
      </c>
      <c r="AW23" s="117">
        <f t="shared" si="15"/>
        <v>3.3898305084745762E-3</v>
      </c>
      <c r="AX23" s="117">
        <f t="shared" si="16"/>
        <v>0.10169491525423729</v>
      </c>
      <c r="AY23">
        <f t="shared" si="17"/>
        <v>1</v>
      </c>
      <c r="BA23" s="17">
        <f t="shared" si="18"/>
        <v>0.89491525423728824</v>
      </c>
      <c r="BB23" s="17">
        <f t="shared" si="19"/>
        <v>1.8939393939393936E-2</v>
      </c>
      <c r="BC23" s="17">
        <f t="shared" si="20"/>
        <v>5.6818181818181816E-2</v>
      </c>
      <c r="BD23" s="17">
        <f t="shared" si="21"/>
        <v>0.7992424242424242</v>
      </c>
      <c r="BE23" s="17">
        <f t="shared" si="22"/>
        <v>1.515151515151515E-2</v>
      </c>
      <c r="BF23" s="17">
        <f t="shared" si="23"/>
        <v>0.10984848484848483</v>
      </c>
      <c r="BH23" s="17">
        <f>MECS_data_SIC!BP136</f>
        <v>5.1418723174162372E-2</v>
      </c>
      <c r="BI23" s="17">
        <f>MECS_data_SIC!BQ136</f>
        <v>3.0601222409537925E-2</v>
      </c>
      <c r="BJ23" s="17">
        <f>MECS_data_SIC!BR136</f>
        <v>0.78126998119204616</v>
      </c>
      <c r="BK23" s="17">
        <f>MECS_data_SIC!BS136</f>
        <v>1.1726315598173056E-2</v>
      </c>
      <c r="BL23" s="17">
        <f>MECS_data_SIC!BT136</f>
        <v>0.12498375762608058</v>
      </c>
      <c r="BN23" s="14">
        <f t="shared" si="25"/>
        <v>854.30000000000007</v>
      </c>
      <c r="BP23" s="4">
        <f t="shared" si="24"/>
        <v>3.2359848484848488</v>
      </c>
    </row>
    <row r="24" spans="2:68" ht="15" x14ac:dyDescent="0.25">
      <c r="B24" s="6" t="s">
        <v>48</v>
      </c>
      <c r="C24" s="7" t="s">
        <v>49</v>
      </c>
      <c r="D24" s="21">
        <f>[7]M98_01p1!C58</f>
        <v>75</v>
      </c>
      <c r="E24" s="21">
        <f>[7]M98_01p1!D58</f>
        <v>30</v>
      </c>
      <c r="F24" s="22">
        <f>[7]M98_01p1!E58</f>
        <v>0.4</v>
      </c>
      <c r="G24" s="21">
        <f>[7]M98_01p1!F58</f>
        <v>1</v>
      </c>
      <c r="H24" s="21">
        <f>[7]M98_01p1!G58</f>
        <v>27</v>
      </c>
      <c r="I24" s="21">
        <f>[7]M98_01p1!H58</f>
        <v>1</v>
      </c>
      <c r="J24" s="21">
        <f>[7]M98_01p1!I58</f>
        <v>2</v>
      </c>
      <c r="K24" s="21">
        <f>[7]M98_01p1!J58</f>
        <v>0</v>
      </c>
      <c r="L24" s="22">
        <f>[7]M98_01p1!K58</f>
        <v>14</v>
      </c>
      <c r="M24" s="16">
        <f>[7]M98_01p1!L58</f>
        <v>45.4</v>
      </c>
      <c r="N24" s="16">
        <f>[7]M98_01p1!M58</f>
        <v>45</v>
      </c>
      <c r="O24" s="16">
        <f t="shared" si="3"/>
        <v>31.4</v>
      </c>
      <c r="P24" s="16"/>
      <c r="R24" s="23">
        <f>[8]M98_01p1!AT99</f>
        <v>17.920000000000002</v>
      </c>
      <c r="S24" s="23">
        <f>[8]M98_01p1!AV99</f>
        <v>2.6</v>
      </c>
      <c r="T24" s="5">
        <f>[8]M98_01p1!AU99</f>
        <v>5.41</v>
      </c>
      <c r="U24" s="5">
        <f>[8]M98_01p1!AW99</f>
        <v>4.1900000000000004</v>
      </c>
      <c r="V24" s="24">
        <f>[8]M98_01p1!AX99</f>
        <v>7.82</v>
      </c>
      <c r="W24" s="23">
        <f>[8]M98_01p1!AY99</f>
        <v>2</v>
      </c>
      <c r="X24" s="5">
        <f>[8]M98_01p1!AZ99</f>
        <v>0</v>
      </c>
      <c r="Y24" s="4">
        <f>[9]M98_01p1!N95</f>
        <v>4.666666666666667</v>
      </c>
      <c r="Z24" s="4"/>
      <c r="AH24" t="str">
        <f t="shared" si="4"/>
        <v>337</v>
      </c>
      <c r="AI24" s="9" t="str">
        <f t="shared" si="5"/>
        <v>Furniture and Related Products</v>
      </c>
      <c r="AJ24" s="4">
        <f>'[6]Table 7.6'!BG38</f>
        <v>0</v>
      </c>
      <c r="AK24" s="4">
        <f>'[6]Table 7.6'!BH38</f>
        <v>0</v>
      </c>
      <c r="AL24">
        <f t="shared" si="6"/>
        <v>537.6</v>
      </c>
      <c r="AM24" s="4">
        <f t="shared" si="7"/>
        <v>0</v>
      </c>
      <c r="AN24" s="14">
        <f t="shared" si="8"/>
        <v>196.73333333333335</v>
      </c>
      <c r="AO24" s="4">
        <f t="shared" si="9"/>
        <v>4.3333333333333339</v>
      </c>
      <c r="AR24" s="117">
        <f t="shared" si="10"/>
        <v>8.8105726872246704E-3</v>
      </c>
      <c r="AS24" s="117">
        <f t="shared" si="11"/>
        <v>2.2026431718061675E-2</v>
      </c>
      <c r="AT24" s="117">
        <f t="shared" si="12"/>
        <v>0.59471365638766527</v>
      </c>
      <c r="AU24" s="117">
        <f t="shared" si="13"/>
        <v>2.2026431718061675E-2</v>
      </c>
      <c r="AV24" s="117">
        <f t="shared" si="14"/>
        <v>4.405286343612335E-2</v>
      </c>
      <c r="AW24" s="117">
        <f t="shared" si="15"/>
        <v>0</v>
      </c>
      <c r="AX24" s="117">
        <f t="shared" si="16"/>
        <v>0.30837004405286345</v>
      </c>
      <c r="AY24">
        <f t="shared" si="17"/>
        <v>1</v>
      </c>
      <c r="BA24" s="17">
        <f t="shared" si="18"/>
        <v>0.69162995594713661</v>
      </c>
      <c r="BB24" s="17">
        <f t="shared" si="19"/>
        <v>1.2738853503184714E-2</v>
      </c>
      <c r="BC24" s="17">
        <f t="shared" si="20"/>
        <v>3.1847133757961783E-2</v>
      </c>
      <c r="BD24" s="17">
        <f t="shared" si="21"/>
        <v>0.85987261146496818</v>
      </c>
      <c r="BE24" s="17">
        <f t="shared" si="22"/>
        <v>3.1847133757961783E-2</v>
      </c>
      <c r="BF24" s="17">
        <f t="shared" si="23"/>
        <v>6.3694267515923567E-2</v>
      </c>
      <c r="BH24" s="17">
        <f>MECS_data_SIC!BP137</f>
        <v>1.3352593747175954E-2</v>
      </c>
      <c r="BI24" s="17">
        <f>MECS_data_SIC!BQ137</f>
        <v>3.1547015965025418E-2</v>
      </c>
      <c r="BJ24" s="17">
        <f>MECS_data_SIC!BR137</f>
        <v>0.83856355938337934</v>
      </c>
      <c r="BK24" s="17">
        <f>MECS_data_SIC!BS137</f>
        <v>2.693265095710402E-2</v>
      </c>
      <c r="BL24" s="17">
        <f>MECS_data_SIC!BT137</f>
        <v>8.9604179947315274E-2</v>
      </c>
      <c r="BN24" s="14">
        <f t="shared" si="25"/>
        <v>131.4</v>
      </c>
      <c r="BP24" s="4">
        <f t="shared" si="24"/>
        <v>4.1847133757961785</v>
      </c>
    </row>
    <row r="25" spans="2:68" ht="15" x14ac:dyDescent="0.25">
      <c r="B25" s="6" t="s">
        <v>50</v>
      </c>
      <c r="C25" s="7" t="s">
        <v>51</v>
      </c>
      <c r="D25" s="21">
        <f>[7]M98_01p1!C59</f>
        <v>87</v>
      </c>
      <c r="E25" s="21">
        <f>[7]M98_01p1!D59</f>
        <v>40</v>
      </c>
      <c r="F25" s="21">
        <f>[7]M98_01p1!E59</f>
        <v>1</v>
      </c>
      <c r="G25" s="21">
        <f>[7]M98_01p1!F59</f>
        <v>2</v>
      </c>
      <c r="H25" s="21">
        <f>[7]M98_01p1!G59</f>
        <v>40</v>
      </c>
      <c r="I25" s="21">
        <f>[7]M98_01p1!H59</f>
        <v>1</v>
      </c>
      <c r="J25" s="22">
        <f>[7]M98_01p1!I59</f>
        <v>0.1</v>
      </c>
      <c r="K25" s="21">
        <f>[7]M98_01p1!J59</f>
        <v>0</v>
      </c>
      <c r="L25" s="21">
        <f>[7]M98_01p1!K59</f>
        <v>3</v>
      </c>
      <c r="M25" s="16">
        <f>[7]M98_01p1!L59</f>
        <v>47.1</v>
      </c>
      <c r="N25" s="16">
        <f>[7]M98_01p1!M59</f>
        <v>47</v>
      </c>
      <c r="O25" s="16">
        <f t="shared" si="3"/>
        <v>44.1</v>
      </c>
      <c r="P25" s="16"/>
      <c r="R25" s="5">
        <f>[8]M98_01p1!AT100</f>
        <v>18.73</v>
      </c>
      <c r="S25" s="23">
        <f>[8]M98_01p1!AV100</f>
        <v>2.6</v>
      </c>
      <c r="T25" s="5">
        <f>[8]M98_01p1!AU100</f>
        <v>4.3</v>
      </c>
      <c r="U25" s="5">
        <f>[8]M98_01p1!AW100</f>
        <v>3.89</v>
      </c>
      <c r="V25" s="24">
        <f>[8]M98_01p1!AX100</f>
        <v>12.94</v>
      </c>
      <c r="W25" s="23">
        <f>[8]M98_01p1!AY100</f>
        <v>2</v>
      </c>
      <c r="X25" s="5">
        <f>[8]M98_01p1!AZ100</f>
        <v>0</v>
      </c>
      <c r="Y25" s="4">
        <f>[9]M98_01p1!N96</f>
        <v>3.6</v>
      </c>
      <c r="Z25" s="4"/>
      <c r="AH25" t="str">
        <f t="shared" si="4"/>
        <v>339</v>
      </c>
      <c r="AI25" s="9" t="str">
        <f t="shared" si="5"/>
        <v>Miscellaneous</v>
      </c>
      <c r="AJ25" s="4">
        <f>'[6]Table 7.6'!BG39</f>
        <v>0</v>
      </c>
      <c r="AK25" s="4">
        <f>'[6]Table 7.6'!BH39</f>
        <v>0</v>
      </c>
      <c r="AL25">
        <f t="shared" si="6"/>
        <v>749.2</v>
      </c>
      <c r="AM25" s="4">
        <f t="shared" si="7"/>
        <v>0</v>
      </c>
      <c r="AN25" s="14">
        <f t="shared" si="8"/>
        <v>190.73999999999998</v>
      </c>
      <c r="AO25" s="4">
        <f t="shared" si="9"/>
        <v>4.0496815286624201</v>
      </c>
      <c r="AR25" s="117">
        <f t="shared" si="10"/>
        <v>2.1231422505307854E-2</v>
      </c>
      <c r="AS25" s="117">
        <f t="shared" si="11"/>
        <v>4.2462845010615709E-2</v>
      </c>
      <c r="AT25" s="117">
        <f t="shared" si="12"/>
        <v>0.84925690021231415</v>
      </c>
      <c r="AU25" s="117">
        <f t="shared" si="13"/>
        <v>2.1231422505307854E-2</v>
      </c>
      <c r="AV25" s="117">
        <f t="shared" si="14"/>
        <v>2.1231422505307855E-3</v>
      </c>
      <c r="AW25" s="117">
        <f t="shared" si="15"/>
        <v>0</v>
      </c>
      <c r="AX25" s="117">
        <f t="shared" si="16"/>
        <v>6.3694267515923567E-2</v>
      </c>
      <c r="AY25">
        <f t="shared" si="17"/>
        <v>0.99999999999999989</v>
      </c>
      <c r="BA25" s="17">
        <f t="shared" si="18"/>
        <v>0.93630573248407634</v>
      </c>
      <c r="BB25" s="17">
        <f t="shared" si="19"/>
        <v>2.2675736961451247E-2</v>
      </c>
      <c r="BC25" s="17">
        <f t="shared" si="20"/>
        <v>4.5351473922902494E-2</v>
      </c>
      <c r="BD25" s="17">
        <f t="shared" si="21"/>
        <v>0.90702947845804993</v>
      </c>
      <c r="BE25" s="17">
        <f t="shared" si="22"/>
        <v>2.2675736961451247E-2</v>
      </c>
      <c r="BF25" s="17">
        <f t="shared" si="23"/>
        <v>2.2675736961451248E-3</v>
      </c>
      <c r="BH25" s="17">
        <f>MECS_data_SIC!BP138</f>
        <v>5.162128668409461E-2</v>
      </c>
      <c r="BI25" s="17">
        <f>MECS_data_SIC!BQ138</f>
        <v>3.2530429341331206E-2</v>
      </c>
      <c r="BJ25" s="17">
        <f>MECS_data_SIC!BR138</f>
        <v>0.71110146775057304</v>
      </c>
      <c r="BK25" s="17">
        <f>MECS_data_SIC!BS138</f>
        <v>0</v>
      </c>
      <c r="BL25" s="17">
        <f>MECS_data_SIC!BT138</f>
        <v>0.20474681622400132</v>
      </c>
      <c r="BN25" s="14">
        <f t="shared" si="25"/>
        <v>179.93999999999997</v>
      </c>
      <c r="BP25" s="4">
        <f t="shared" si="24"/>
        <v>4.0802721088435367</v>
      </c>
    </row>
    <row r="26" spans="2:68" ht="15" x14ac:dyDescent="0.25">
      <c r="B26" s="6"/>
      <c r="C26" s="8" t="s">
        <v>0</v>
      </c>
      <c r="D26" s="21">
        <f>[7]M98_01p1!C60</f>
        <v>13228</v>
      </c>
      <c r="E26" s="21">
        <f>[7]M98_01p1!D60</f>
        <v>3102</v>
      </c>
      <c r="F26" s="21">
        <f>[7]M98_01p1!E60</f>
        <v>305</v>
      </c>
      <c r="G26" s="21">
        <f>[7]M98_01p1!F60</f>
        <v>130</v>
      </c>
      <c r="H26" s="21">
        <f>[7]M98_01p1!G60</f>
        <v>6630</v>
      </c>
      <c r="I26" s="21">
        <f>[7]M98_01p1!H60</f>
        <v>113</v>
      </c>
      <c r="J26" s="21">
        <f>[7]M98_01p1!I60</f>
        <v>1142</v>
      </c>
      <c r="K26" s="21">
        <f>[7]M98_01p1!J60</f>
        <v>438</v>
      </c>
      <c r="L26" s="21">
        <f>[7]M98_01p1!K60</f>
        <v>1368</v>
      </c>
      <c r="M26" s="16">
        <f>[7]M98_01p1!L60</f>
        <v>10126</v>
      </c>
      <c r="N26" s="16">
        <f>[7]M98_01p1!M60</f>
        <v>10126</v>
      </c>
      <c r="O26" s="16"/>
      <c r="P26" s="16"/>
      <c r="R26" s="5">
        <f>[8]M98_01p1!AT101</f>
        <v>12.95</v>
      </c>
      <c r="S26" s="5">
        <f>[8]M98_01p1!AV101</f>
        <v>2.4900000000000002</v>
      </c>
      <c r="T26" s="5">
        <f>[8]M98_01p1!AU101</f>
        <v>4.5</v>
      </c>
      <c r="U26" s="5">
        <f>[8]M98_01p1!AW101</f>
        <v>2.75</v>
      </c>
      <c r="V26" s="24">
        <f>[8]M98_01p1!AX101</f>
        <v>4.54</v>
      </c>
      <c r="W26" s="5">
        <f>[8]M98_01p1!AY101</f>
        <v>1.56</v>
      </c>
      <c r="X26" s="5">
        <f>[8]M98_01p1!AZ101</f>
        <v>4.8899999999999997</v>
      </c>
      <c r="Y26" s="4">
        <f>[9]M98_01p1!N97</f>
        <v>2.629139072847682</v>
      </c>
      <c r="Z26" s="4"/>
      <c r="AN26" s="14"/>
    </row>
    <row r="27" spans="2:68" ht="15" x14ac:dyDescent="0.25">
      <c r="B27" s="6"/>
      <c r="C27" s="8" t="s">
        <v>52</v>
      </c>
      <c r="D27" s="21">
        <f>[7]M98_01p1!C61</f>
        <v>13228</v>
      </c>
      <c r="E27" s="21">
        <f>[7]M98_01p1!D61</f>
        <v>3102</v>
      </c>
      <c r="F27" s="21">
        <f>[7]M98_01p1!E61</f>
        <v>305</v>
      </c>
      <c r="G27" s="21">
        <f>[7]M98_01p1!F61</f>
        <v>129.4</v>
      </c>
      <c r="H27" s="21">
        <f>[7]M98_01p1!G61</f>
        <v>6631</v>
      </c>
      <c r="I27" s="21">
        <f>[7]M98_01p1!H61</f>
        <v>113</v>
      </c>
      <c r="J27" s="21">
        <f>[7]M98_01p1!I61</f>
        <v>1143.6500000000001</v>
      </c>
      <c r="K27" s="21">
        <f>[7]M98_01p1!J61</f>
        <v>438</v>
      </c>
      <c r="L27" s="21">
        <f>[7]M98_01p1!K61</f>
        <v>1366.5</v>
      </c>
      <c r="M27" s="21">
        <f>[7]M98_01p1!L61</f>
        <v>10126.550000000001</v>
      </c>
      <c r="N27" s="21">
        <f>[7]M98_01p1!M61</f>
        <v>10126</v>
      </c>
      <c r="O27" s="21"/>
      <c r="P27" s="21"/>
      <c r="Y27" s="4">
        <f>[9]M98_01p1!N98</f>
        <v>2.6263128800442233</v>
      </c>
      <c r="Z27" s="4"/>
    </row>
    <row r="29" spans="2:68" x14ac:dyDescent="0.2">
      <c r="R29">
        <f>1.4*10^9*53</f>
        <v>74200000000</v>
      </c>
    </row>
    <row r="30" spans="2:68" ht="25.5" x14ac:dyDescent="0.2">
      <c r="B30" s="13">
        <v>2002</v>
      </c>
      <c r="C30" t="s">
        <v>78</v>
      </c>
      <c r="F30" t="s">
        <v>53</v>
      </c>
      <c r="G30" t="s">
        <v>54</v>
      </c>
      <c r="I30" t="s">
        <v>55</v>
      </c>
      <c r="K30" t="s">
        <v>56</v>
      </c>
      <c r="R30" s="13">
        <v>2002</v>
      </c>
      <c r="AR30" s="11" t="s">
        <v>85</v>
      </c>
      <c r="AS30">
        <v>2002</v>
      </c>
    </row>
    <row r="31" spans="2:68" ht="39" x14ac:dyDescent="0.25">
      <c r="D31" t="s">
        <v>0</v>
      </c>
      <c r="E31" t="s">
        <v>57</v>
      </c>
      <c r="F31" t="s">
        <v>58</v>
      </c>
      <c r="G31" t="s">
        <v>59</v>
      </c>
      <c r="H31" t="s">
        <v>60</v>
      </c>
      <c r="I31" t="s">
        <v>61</v>
      </c>
      <c r="J31" t="s">
        <v>62</v>
      </c>
      <c r="K31" t="s">
        <v>63</v>
      </c>
      <c r="L31" t="s">
        <v>64</v>
      </c>
      <c r="M31" t="s">
        <v>65</v>
      </c>
      <c r="N31" t="s">
        <v>66</v>
      </c>
      <c r="R31" t="s">
        <v>2</v>
      </c>
      <c r="S31" t="s">
        <v>53</v>
      </c>
      <c r="T31" t="s">
        <v>54</v>
      </c>
      <c r="U31" t="s">
        <v>67</v>
      </c>
      <c r="V31" t="s">
        <v>68</v>
      </c>
      <c r="W31" t="s">
        <v>71</v>
      </c>
      <c r="X31" t="s">
        <v>56</v>
      </c>
      <c r="Y31" t="s">
        <v>69</v>
      </c>
      <c r="AH31" s="20">
        <v>2002</v>
      </c>
      <c r="AJ31" s="11" t="s">
        <v>76</v>
      </c>
      <c r="AK31" s="11" t="s">
        <v>72</v>
      </c>
      <c r="AL31" s="11" t="s">
        <v>73</v>
      </c>
      <c r="AM31" s="11" t="s">
        <v>74</v>
      </c>
      <c r="AN31" s="11" t="s">
        <v>91</v>
      </c>
      <c r="AO31" s="11" t="s">
        <v>77</v>
      </c>
      <c r="AR31" t="s">
        <v>54</v>
      </c>
      <c r="AS31" t="s">
        <v>53</v>
      </c>
      <c r="AT31" t="s">
        <v>67</v>
      </c>
      <c r="AU31" t="s">
        <v>68</v>
      </c>
      <c r="AV31" t="s">
        <v>71</v>
      </c>
      <c r="AW31" t="s">
        <v>56</v>
      </c>
      <c r="AX31" t="s">
        <v>69</v>
      </c>
      <c r="AY31" t="s">
        <v>86</v>
      </c>
    </row>
    <row r="32" spans="2:68" ht="15" x14ac:dyDescent="0.25">
      <c r="B32" s="6" t="s">
        <v>10</v>
      </c>
      <c r="C32" s="7" t="s">
        <v>11</v>
      </c>
      <c r="D32" s="14">
        <f>'[10]Table 4.2'!C114</f>
        <v>1079</v>
      </c>
      <c r="E32" s="14">
        <f>'[10]Table 4.2'!D114</f>
        <v>233</v>
      </c>
      <c r="F32" s="14">
        <f>'[10]Table 4.2'!E114</f>
        <v>13</v>
      </c>
      <c r="G32" s="14">
        <f>'[10]Table 4.2'!F114</f>
        <v>19</v>
      </c>
      <c r="H32" s="14">
        <f>'[10]Table 4.2'!G114</f>
        <v>575</v>
      </c>
      <c r="I32" s="14">
        <f>'[10]Table 4.2'!H114</f>
        <v>5</v>
      </c>
      <c r="J32" s="14">
        <f>'[10]Table 4.2'!I114</f>
        <v>184</v>
      </c>
      <c r="K32" s="14">
        <f>'[10]Table 4.2'!J114</f>
        <v>1</v>
      </c>
      <c r="L32" s="14">
        <f>'[10]Table 4.2'!K114</f>
        <v>50</v>
      </c>
      <c r="M32" s="14">
        <f>'[10]Table 4.2'!L114</f>
        <v>847</v>
      </c>
      <c r="N32" s="14">
        <f>'[10]Table 4.2'!M114</f>
        <v>846</v>
      </c>
      <c r="O32" s="14"/>
      <c r="P32" s="14"/>
      <c r="R32" s="4">
        <f>'[11]Table 7.2'!AT117</f>
        <v>19</v>
      </c>
      <c r="S32" s="4">
        <f>'[11]Table 7.2'!AV117</f>
        <v>4.29</v>
      </c>
      <c r="T32" s="4">
        <f>'[11]Table 7.2'!AU117</f>
        <v>7.04</v>
      </c>
      <c r="U32" s="4">
        <f>'[11]Table 7.2'!AW117</f>
        <v>4.38</v>
      </c>
      <c r="V32" s="4">
        <f>'[11]Table 7.2'!AX117</f>
        <v>8.31</v>
      </c>
      <c r="W32" s="4">
        <f>'[11]Table 7.2'!AY117</f>
        <v>1.46</v>
      </c>
      <c r="X32" s="4">
        <f>'[11]Table 7.2'!AZ117</f>
        <v>5.18</v>
      </c>
      <c r="Y32" s="4">
        <f>'[12]Table 7.6'!O89</f>
        <v>4.375</v>
      </c>
      <c r="Z32" s="4"/>
      <c r="AH32" t="str">
        <f>B32</f>
        <v>311</v>
      </c>
      <c r="AI32" s="9" t="str">
        <f>C32</f>
        <v>Food</v>
      </c>
      <c r="AJ32" s="4">
        <f>'[6]Table 7.6'!BG46</f>
        <v>0</v>
      </c>
      <c r="AK32" s="4">
        <f>'[6]Table 7.6'!BH46</f>
        <v>0</v>
      </c>
      <c r="AL32">
        <f>E32*R32</f>
        <v>4427</v>
      </c>
      <c r="AM32" s="4">
        <f>AJ32-AK32</f>
        <v>0</v>
      </c>
      <c r="AN32" s="14">
        <f>SUMPRODUCT(F32:L32,S32:Y32)</f>
        <v>3242.15</v>
      </c>
      <c r="AO32" s="4">
        <f>AN32/M32</f>
        <v>3.8278040141676506</v>
      </c>
      <c r="AP32" s="3">
        <f>'[13]3DNAICS'!AX318</f>
        <v>3240</v>
      </c>
      <c r="AR32" s="117">
        <f>F32/$M32</f>
        <v>1.5348288075560802E-2</v>
      </c>
      <c r="AS32" s="117">
        <f t="shared" ref="AS32:AS52" si="26">G32/$M32</f>
        <v>2.2432113341204249E-2</v>
      </c>
      <c r="AT32" s="117">
        <f t="shared" ref="AT32:AT52" si="27">H32/$M32</f>
        <v>0.6788665879574971</v>
      </c>
      <c r="AU32" s="117">
        <f t="shared" ref="AU32:AU52" si="28">I32/$M32</f>
        <v>5.9031877213695395E-3</v>
      </c>
      <c r="AV32" s="117">
        <f t="shared" ref="AV32:AV52" si="29">J32/$M32</f>
        <v>0.21723730814639905</v>
      </c>
      <c r="AW32" s="117">
        <f t="shared" ref="AW32:AW52" si="30">K32/$M32</f>
        <v>1.1806375442739079E-3</v>
      </c>
      <c r="AX32" s="117">
        <f t="shared" ref="AX32:AX52" si="31">L32/$M32</f>
        <v>5.9031877213695398E-2</v>
      </c>
      <c r="AY32">
        <f>SUM(AR32:AX32)</f>
        <v>1</v>
      </c>
    </row>
    <row r="33" spans="2:51" ht="15" x14ac:dyDescent="0.25">
      <c r="B33" s="6" t="s">
        <v>12</v>
      </c>
      <c r="C33" s="7" t="s">
        <v>13</v>
      </c>
      <c r="D33" s="14">
        <f>'[10]Table 4.2'!C115</f>
        <v>104</v>
      </c>
      <c r="E33" s="14">
        <f>'[10]Table 4.2'!D115</f>
        <v>27</v>
      </c>
      <c r="F33" s="14">
        <f>'[10]Table 4.2'!E115</f>
        <v>2</v>
      </c>
      <c r="G33" s="14">
        <f>'[10]Table 4.2'!F115</f>
        <v>2</v>
      </c>
      <c r="H33" s="14">
        <f>'[10]Table 4.2'!G115</f>
        <v>46</v>
      </c>
      <c r="I33" s="14">
        <f>'[10]Table 4.2'!H115</f>
        <v>1</v>
      </c>
      <c r="J33" s="14">
        <f>'[10]Table 4.2'!I115</f>
        <v>17</v>
      </c>
      <c r="K33" s="14">
        <f>'[10]Table 4.2'!J115</f>
        <v>0</v>
      </c>
      <c r="L33" s="14">
        <f>'[10]Table 4.2'!K115</f>
        <v>9</v>
      </c>
      <c r="M33" s="14">
        <f>'[10]Table 4.2'!L115</f>
        <v>77</v>
      </c>
      <c r="N33" s="14">
        <f>'[10]Table 4.2'!M115</f>
        <v>77</v>
      </c>
      <c r="O33" s="14"/>
      <c r="P33" s="14"/>
      <c r="R33" s="4">
        <f>'[11]Table 7.2'!AT118</f>
        <v>17.760000000000002</v>
      </c>
      <c r="S33" s="4">
        <f>'[11]Table 7.2'!AV118</f>
        <v>4.59</v>
      </c>
      <c r="T33" s="4">
        <f>'[11]Table 7.2'!AU118</f>
        <v>9.75</v>
      </c>
      <c r="U33" s="4">
        <f>'[11]Table 7.2'!AW118</f>
        <v>4.3899999999999997</v>
      </c>
      <c r="V33" s="4">
        <f>'[11]Table 7.2'!AX118</f>
        <v>9.15</v>
      </c>
      <c r="W33" s="4">
        <f>'[11]Table 7.2'!AY118</f>
        <v>2.3199999999999998</v>
      </c>
      <c r="X33" s="4">
        <f>'[11]Table 7.2'!AZ118</f>
        <v>0</v>
      </c>
      <c r="Y33" s="4">
        <f>'[12]Table 7.6'!O90</f>
        <v>2.7777777777777777</v>
      </c>
      <c r="Z33" s="4"/>
      <c r="AH33" t="str">
        <f t="shared" ref="AH33:AH52" si="32">B33</f>
        <v>312</v>
      </c>
      <c r="AI33" s="9" t="str">
        <f t="shared" ref="AI33:AI52" si="33">C33</f>
        <v>Beverage and Tobacco Products</v>
      </c>
      <c r="AJ33" s="4">
        <f>'[6]Table 7.6'!BG47</f>
        <v>0</v>
      </c>
      <c r="AK33" s="4">
        <f>'[6]Table 7.6'!BH47</f>
        <v>0</v>
      </c>
      <c r="AL33">
        <f t="shared" ref="AL33:AL52" si="34">E33*R33</f>
        <v>479.52000000000004</v>
      </c>
      <c r="AM33" s="4">
        <f t="shared" ref="AM33:AM52" si="35">AJ33-AK33</f>
        <v>0</v>
      </c>
      <c r="AN33" s="14">
        <f t="shared" ref="AN33:AN52" si="36">SUMPRODUCT(F33:L33,S33:Y33)</f>
        <v>304.21000000000004</v>
      </c>
      <c r="AO33" s="4">
        <f t="shared" ref="AO33:AO52" si="37">AN33/M33</f>
        <v>3.9507792207792214</v>
      </c>
      <c r="AP33" s="3">
        <f>'[13]3DNAICS'!AX319</f>
        <v>301</v>
      </c>
      <c r="AR33" s="117">
        <f t="shared" ref="AR33:AR52" si="38">F33/$M33</f>
        <v>2.5974025974025976E-2</v>
      </c>
      <c r="AS33" s="117">
        <f t="shared" si="26"/>
        <v>2.5974025974025976E-2</v>
      </c>
      <c r="AT33" s="117">
        <f t="shared" si="27"/>
        <v>0.59740259740259738</v>
      </c>
      <c r="AU33" s="117">
        <f t="shared" si="28"/>
        <v>1.2987012987012988E-2</v>
      </c>
      <c r="AV33" s="117">
        <f t="shared" si="29"/>
        <v>0.22077922077922077</v>
      </c>
      <c r="AW33" s="117">
        <f t="shared" si="30"/>
        <v>0</v>
      </c>
      <c r="AX33" s="117">
        <f t="shared" si="31"/>
        <v>0.11688311688311688</v>
      </c>
      <c r="AY33">
        <f t="shared" ref="AY33:AY52" si="39">SUM(AR33:AX33)</f>
        <v>1</v>
      </c>
    </row>
    <row r="34" spans="2:51" ht="15" x14ac:dyDescent="0.25">
      <c r="B34" s="6" t="s">
        <v>14</v>
      </c>
      <c r="C34" s="7" t="s">
        <v>15</v>
      </c>
      <c r="D34" s="14">
        <f>'[10]Table 4.2'!C116</f>
        <v>206</v>
      </c>
      <c r="E34" s="14">
        <f>'[10]Table 4.2'!D116</f>
        <v>87</v>
      </c>
      <c r="F34" s="14">
        <f>'[10]Table 4.2'!E116</f>
        <v>4</v>
      </c>
      <c r="G34" s="14">
        <f>'[10]Table 4.2'!F116</f>
        <v>2</v>
      </c>
      <c r="H34" s="14">
        <f>'[10]Table 4.2'!G116</f>
        <v>74</v>
      </c>
      <c r="I34" s="14">
        <f>'[10]Table 4.2'!H116</f>
        <v>2</v>
      </c>
      <c r="J34" s="14">
        <f>'[10]Table 4.2'!I116</f>
        <v>22</v>
      </c>
      <c r="K34" s="14">
        <f>'[10]Table 4.2'!J116</f>
        <v>0</v>
      </c>
      <c r="L34" s="14">
        <f>'[10]Table 4.2'!K116</f>
        <v>15</v>
      </c>
      <c r="M34" s="14">
        <f>'[10]Table 4.2'!L116</f>
        <v>119</v>
      </c>
      <c r="N34" s="14">
        <f>'[10]Table 4.2'!M116</f>
        <v>119</v>
      </c>
      <c r="O34" s="14"/>
      <c r="P34" s="14"/>
      <c r="R34" s="4">
        <f>'[11]Table 7.2'!AT119</f>
        <v>12.82</v>
      </c>
      <c r="S34" s="4">
        <f>'[11]Table 7.2'!AV119</f>
        <v>4.8899999999999997</v>
      </c>
      <c r="T34" s="4">
        <f>'[11]Table 7.2'!AU119</f>
        <v>6.73</v>
      </c>
      <c r="U34" s="4">
        <f>'[11]Table 7.2'!AW119</f>
        <v>4.6100000000000003</v>
      </c>
      <c r="V34" s="4">
        <f>'[11]Table 7.2'!AX119</f>
        <v>9.35</v>
      </c>
      <c r="W34" s="4">
        <f>'[11]Table 7.2'!AY119</f>
        <v>2.2799999999999998</v>
      </c>
      <c r="X34" s="4">
        <f>'[11]Table 7.2'!AZ119</f>
        <v>0</v>
      </c>
      <c r="Y34" s="4">
        <f>'[12]Table 7.6'!O91</f>
        <v>3.3888888888888888</v>
      </c>
      <c r="Z34" s="4"/>
      <c r="AH34" t="str">
        <f t="shared" si="32"/>
        <v>313</v>
      </c>
      <c r="AI34" s="9" t="str">
        <f t="shared" si="33"/>
        <v>Textile Mills</v>
      </c>
      <c r="AJ34" s="4">
        <f>'[6]Table 7.6'!BG48</f>
        <v>0</v>
      </c>
      <c r="AK34" s="4">
        <f>'[6]Table 7.6'!BH48</f>
        <v>0</v>
      </c>
      <c r="AL34">
        <f t="shared" si="34"/>
        <v>1115.3399999999999</v>
      </c>
      <c r="AM34" s="4">
        <f t="shared" si="35"/>
        <v>0</v>
      </c>
      <c r="AN34" s="14">
        <f t="shared" si="36"/>
        <v>493.8533333333333</v>
      </c>
      <c r="AO34" s="4">
        <f t="shared" si="37"/>
        <v>4.1500280112044816</v>
      </c>
      <c r="AP34" s="3">
        <f>'[13]3DNAICS'!AX320</f>
        <v>506</v>
      </c>
      <c r="AR34" s="117">
        <f t="shared" si="38"/>
        <v>3.3613445378151259E-2</v>
      </c>
      <c r="AS34" s="117">
        <f t="shared" si="26"/>
        <v>1.680672268907563E-2</v>
      </c>
      <c r="AT34" s="117">
        <f t="shared" si="27"/>
        <v>0.62184873949579833</v>
      </c>
      <c r="AU34" s="117">
        <f t="shared" si="28"/>
        <v>1.680672268907563E-2</v>
      </c>
      <c r="AV34" s="117">
        <f t="shared" si="29"/>
        <v>0.18487394957983194</v>
      </c>
      <c r="AW34" s="117">
        <f t="shared" si="30"/>
        <v>0</v>
      </c>
      <c r="AX34" s="117">
        <f t="shared" si="31"/>
        <v>0.12605042016806722</v>
      </c>
      <c r="AY34">
        <f t="shared" si="39"/>
        <v>1</v>
      </c>
    </row>
    <row r="35" spans="2:51" ht="15" x14ac:dyDescent="0.25">
      <c r="B35" s="6" t="s">
        <v>16</v>
      </c>
      <c r="C35" s="7" t="s">
        <v>17</v>
      </c>
      <c r="D35" s="14">
        <f>'[10]Table 4.2'!C117</f>
        <v>60</v>
      </c>
      <c r="E35" s="14">
        <f>'[10]Table 4.2'!D117</f>
        <v>17</v>
      </c>
      <c r="F35" s="14">
        <f>'[10]Table 4.2'!E117</f>
        <v>2</v>
      </c>
      <c r="G35" s="14">
        <f>'[10]Table 4.2'!F117</f>
        <v>1.3</v>
      </c>
      <c r="H35" s="14">
        <f>'[10]Table 4.2'!G117</f>
        <v>29</v>
      </c>
      <c r="I35" s="14">
        <f>'[10]Table 4.2'!H117</f>
        <v>1</v>
      </c>
      <c r="J35" s="14">
        <f>'[10]Table 4.2'!I117</f>
        <v>9</v>
      </c>
      <c r="K35" s="14">
        <f>'[10]Table 4.2'!J117</f>
        <v>0</v>
      </c>
      <c r="L35" s="14">
        <f>'[10]Table 4.2'!K117</f>
        <v>1</v>
      </c>
      <c r="M35" s="14">
        <f>'[10]Table 4.2'!L117</f>
        <v>43.3</v>
      </c>
      <c r="N35" s="14">
        <f>'[10]Table 4.2'!M117</f>
        <v>43</v>
      </c>
      <c r="O35" s="14"/>
      <c r="P35" s="14"/>
      <c r="R35" s="4">
        <f>'[11]Table 7.2'!AT120</f>
        <v>15.9</v>
      </c>
      <c r="S35" s="4">
        <f>'[11]Table 7.2'!AV120</f>
        <v>5</v>
      </c>
      <c r="T35" s="4">
        <f>'[11]Table 7.2'!AU120</f>
        <v>6.73</v>
      </c>
      <c r="U35" s="4">
        <f>'[11]Table 7.2'!AW120</f>
        <v>4.46</v>
      </c>
      <c r="V35" s="4">
        <f>'[11]Table 7.2'!AX120</f>
        <v>9.1</v>
      </c>
      <c r="W35" s="4">
        <f>'[11]Table 7.2'!AY120</f>
        <v>2</v>
      </c>
      <c r="X35" s="4">
        <f>'[11]Table 7.2'!AZ120</f>
        <v>0</v>
      </c>
      <c r="Y35" s="4">
        <f>'[12]Table 7.6'!O92</f>
        <v>3.3</v>
      </c>
      <c r="Z35" s="4"/>
      <c r="AH35" t="str">
        <f t="shared" si="32"/>
        <v>314</v>
      </c>
      <c r="AI35" s="9" t="str">
        <f t="shared" si="33"/>
        <v>Textile Product Mills</v>
      </c>
      <c r="AJ35" s="4">
        <f>'[6]Table 7.6'!BG49</f>
        <v>0</v>
      </c>
      <c r="AK35" s="4">
        <f>'[6]Table 7.6'!BH49</f>
        <v>0</v>
      </c>
      <c r="AL35">
        <f t="shared" si="34"/>
        <v>270.3</v>
      </c>
      <c r="AM35" s="4">
        <f t="shared" si="35"/>
        <v>0</v>
      </c>
      <c r="AN35" s="14">
        <f t="shared" si="36"/>
        <v>178.489</v>
      </c>
      <c r="AO35" s="4">
        <f t="shared" si="37"/>
        <v>4.1221478060046195</v>
      </c>
      <c r="AP35" s="3">
        <f>'[13]3DNAICS'!AX321</f>
        <v>174</v>
      </c>
      <c r="AR35" s="117">
        <f t="shared" si="38"/>
        <v>4.6189376443418015E-2</v>
      </c>
      <c r="AS35" s="117">
        <f t="shared" si="26"/>
        <v>3.0023094688221712E-2</v>
      </c>
      <c r="AT35" s="117">
        <f t="shared" si="27"/>
        <v>0.66974595842956119</v>
      </c>
      <c r="AU35" s="117">
        <f t="shared" si="28"/>
        <v>2.3094688221709007E-2</v>
      </c>
      <c r="AV35" s="117">
        <f t="shared" si="29"/>
        <v>0.20785219399538107</v>
      </c>
      <c r="AW35" s="117">
        <f t="shared" si="30"/>
        <v>0</v>
      </c>
      <c r="AX35" s="117">
        <f t="shared" si="31"/>
        <v>2.3094688221709007E-2</v>
      </c>
      <c r="AY35">
        <f t="shared" si="39"/>
        <v>1</v>
      </c>
    </row>
    <row r="36" spans="2:51" ht="15" x14ac:dyDescent="0.25">
      <c r="B36" s="6" t="s">
        <v>18</v>
      </c>
      <c r="C36" s="7" t="s">
        <v>19</v>
      </c>
      <c r="D36" s="14">
        <f>'[10]Table 4.2'!C118</f>
        <v>30</v>
      </c>
      <c r="E36" s="14">
        <f>'[10]Table 4.2'!D118</f>
        <v>12</v>
      </c>
      <c r="F36" s="14">
        <f>'[10]Table 4.2'!E118</f>
        <v>0.3</v>
      </c>
      <c r="G36" s="14">
        <f>'[10]Table 4.2'!F118</f>
        <v>1</v>
      </c>
      <c r="H36" s="14">
        <f>'[10]Table 4.2'!G118</f>
        <v>16</v>
      </c>
      <c r="I36" s="14">
        <f>'[10]Table 4.2'!H118</f>
        <v>0.1</v>
      </c>
      <c r="J36" s="14">
        <f>'[10]Table 4.2'!I118</f>
        <v>0</v>
      </c>
      <c r="K36" s="14">
        <f>'[10]Table 4.2'!J118</f>
        <v>0</v>
      </c>
      <c r="L36" s="14">
        <f>'[10]Table 4.2'!K118</f>
        <v>0.3</v>
      </c>
      <c r="M36" s="14">
        <f>'[10]Table 4.2'!L118</f>
        <v>17.700000000000003</v>
      </c>
      <c r="N36" s="14">
        <f>'[10]Table 4.2'!M118</f>
        <v>18</v>
      </c>
      <c r="O36" s="14"/>
      <c r="P36" s="14"/>
      <c r="R36" s="4">
        <f>'[11]Table 7.2'!AT121</f>
        <v>19.73</v>
      </c>
      <c r="S36" s="4">
        <f>'[11]Table 7.2'!AV121</f>
        <v>5</v>
      </c>
      <c r="T36" s="4">
        <f>'[11]Table 7.2'!AU121</f>
        <v>6.74</v>
      </c>
      <c r="U36" s="4">
        <f>'[11]Table 7.2'!AW121</f>
        <v>5.2</v>
      </c>
      <c r="V36" s="4">
        <f>'[11]Table 7.2'!AX121</f>
        <v>12.07</v>
      </c>
      <c r="W36" s="4">
        <f>'[11]Table 7.2'!AY121</f>
        <v>0</v>
      </c>
      <c r="X36" s="4">
        <f>'[11]Table 7.2'!AZ121</f>
        <v>0</v>
      </c>
      <c r="Y36" s="4">
        <f>'[12]Table 7.6'!O93</f>
        <v>3.3</v>
      </c>
      <c r="Z36" s="4"/>
      <c r="AH36" t="str">
        <f t="shared" si="32"/>
        <v>315</v>
      </c>
      <c r="AI36" s="9" t="str">
        <f t="shared" si="33"/>
        <v>Apparel</v>
      </c>
      <c r="AJ36" s="4">
        <f>'[6]Table 7.6'!BG50</f>
        <v>0</v>
      </c>
      <c r="AK36" s="4">
        <f>'[6]Table 7.6'!BH50</f>
        <v>0</v>
      </c>
      <c r="AL36">
        <f t="shared" si="34"/>
        <v>236.76</v>
      </c>
      <c r="AM36" s="4">
        <f t="shared" si="35"/>
        <v>0</v>
      </c>
      <c r="AN36" s="14">
        <f t="shared" si="36"/>
        <v>93.636999999999986</v>
      </c>
      <c r="AO36" s="4">
        <f t="shared" si="37"/>
        <v>5.2902259887005636</v>
      </c>
      <c r="AP36" s="3">
        <f>'[13]3DNAICS'!AX322</f>
        <v>97</v>
      </c>
      <c r="AR36" s="117">
        <f t="shared" si="38"/>
        <v>1.6949152542372878E-2</v>
      </c>
      <c r="AS36" s="117">
        <f t="shared" si="26"/>
        <v>5.6497175141242931E-2</v>
      </c>
      <c r="AT36" s="117">
        <f t="shared" si="27"/>
        <v>0.90395480225988689</v>
      </c>
      <c r="AU36" s="117">
        <f t="shared" si="28"/>
        <v>5.6497175141242929E-3</v>
      </c>
      <c r="AV36" s="117">
        <f t="shared" si="29"/>
        <v>0</v>
      </c>
      <c r="AW36" s="117">
        <f t="shared" si="30"/>
        <v>0</v>
      </c>
      <c r="AX36" s="117">
        <f t="shared" si="31"/>
        <v>1.6949152542372878E-2</v>
      </c>
      <c r="AY36">
        <f t="shared" si="39"/>
        <v>0.99999999999999978</v>
      </c>
    </row>
    <row r="37" spans="2:51" ht="15" x14ac:dyDescent="0.25">
      <c r="B37" s="6" t="s">
        <v>20</v>
      </c>
      <c r="C37" s="7" t="s">
        <v>21</v>
      </c>
      <c r="D37" s="14">
        <f>'[10]Table 4.2'!C119</f>
        <v>7</v>
      </c>
      <c r="E37" s="14">
        <f>'[10]Table 4.2'!D119</f>
        <v>2</v>
      </c>
      <c r="F37" s="14">
        <f>'[10]Table 4.2'!E119</f>
        <v>0.1</v>
      </c>
      <c r="G37" s="14">
        <f>'[10]Table 4.2'!F119</f>
        <v>0.4</v>
      </c>
      <c r="H37" s="14">
        <f>'[10]Table 4.2'!G119</f>
        <v>4</v>
      </c>
      <c r="I37" s="14">
        <f>'[10]Table 4.2'!H119</f>
        <v>0.1</v>
      </c>
      <c r="J37" s="14">
        <f>'[10]Table 4.2'!I119</f>
        <v>0</v>
      </c>
      <c r="K37" s="14">
        <f>'[10]Table 4.2'!J119</f>
        <v>0</v>
      </c>
      <c r="L37" s="14">
        <f>'[10]Table 4.2'!K119</f>
        <v>0.4</v>
      </c>
      <c r="M37" s="14">
        <f>'[10]Table 4.2'!L119</f>
        <v>5</v>
      </c>
      <c r="N37" s="14">
        <f>'[10]Table 4.2'!M119</f>
        <v>5</v>
      </c>
      <c r="O37" s="14"/>
      <c r="P37" s="14"/>
      <c r="R37" s="4">
        <f>'[11]Table 7.2'!AT122</f>
        <v>20</v>
      </c>
      <c r="S37" s="4">
        <f>'[11]Table 7.2'!AV122</f>
        <v>3.87</v>
      </c>
      <c r="T37" s="4">
        <f>'[11]Table 7.2'!AU122</f>
        <v>5.87</v>
      </c>
      <c r="U37" s="4">
        <f>'[11]Table 7.2'!AW122</f>
        <v>4.57</v>
      </c>
      <c r="V37" s="4">
        <f>'[11]Table 7.2'!AX122</f>
        <v>10.65</v>
      </c>
      <c r="W37" s="4">
        <f>'[11]Table 7.2'!AY122</f>
        <v>0</v>
      </c>
      <c r="X37" s="4">
        <f>'[11]Table 7.2'!AZ122</f>
        <v>0</v>
      </c>
      <c r="Y37" s="4">
        <f>'[12]Table 7.6'!O94</f>
        <v>3.3</v>
      </c>
      <c r="Z37" s="4"/>
      <c r="AH37" t="str">
        <f t="shared" si="32"/>
        <v>316</v>
      </c>
      <c r="AI37" s="9" t="str">
        <f t="shared" si="33"/>
        <v>Leather and Allied Products</v>
      </c>
      <c r="AJ37" s="4">
        <f>'[6]Table 7.6'!BG51</f>
        <v>0</v>
      </c>
      <c r="AK37" s="4">
        <f>'[6]Table 7.6'!BH51</f>
        <v>0</v>
      </c>
      <c r="AL37">
        <f t="shared" si="34"/>
        <v>40</v>
      </c>
      <c r="AM37" s="4">
        <f t="shared" si="35"/>
        <v>0</v>
      </c>
      <c r="AN37" s="14">
        <f t="shared" si="36"/>
        <v>23.400000000000002</v>
      </c>
      <c r="AO37" s="4">
        <f t="shared" si="37"/>
        <v>4.6800000000000006</v>
      </c>
      <c r="AP37" s="3">
        <f>'[13]3DNAICS'!AX323</f>
        <v>23</v>
      </c>
      <c r="AR37" s="117">
        <f t="shared" si="38"/>
        <v>0.02</v>
      </c>
      <c r="AS37" s="117">
        <f t="shared" si="26"/>
        <v>0.08</v>
      </c>
      <c r="AT37" s="117">
        <f t="shared" si="27"/>
        <v>0.8</v>
      </c>
      <c r="AU37" s="117">
        <f t="shared" si="28"/>
        <v>0.02</v>
      </c>
      <c r="AV37" s="117">
        <f t="shared" si="29"/>
        <v>0</v>
      </c>
      <c r="AW37" s="117">
        <f t="shared" si="30"/>
        <v>0</v>
      </c>
      <c r="AX37" s="117">
        <f t="shared" si="31"/>
        <v>0.08</v>
      </c>
      <c r="AY37">
        <f t="shared" si="39"/>
        <v>1</v>
      </c>
    </row>
    <row r="38" spans="2:51" ht="15" x14ac:dyDescent="0.25">
      <c r="B38" s="6" t="s">
        <v>22</v>
      </c>
      <c r="C38" s="7" t="s">
        <v>23</v>
      </c>
      <c r="D38" s="14">
        <f>'[10]Table 4.2'!C120</f>
        <v>198</v>
      </c>
      <c r="E38" s="14">
        <f>'[10]Table 4.2'!D120</f>
        <v>74</v>
      </c>
      <c r="F38" s="14">
        <f>'[10]Table 4.2'!E120</f>
        <v>1</v>
      </c>
      <c r="G38" s="14">
        <f>'[10]Table 4.2'!F120</f>
        <v>10</v>
      </c>
      <c r="H38" s="14">
        <f>'[10]Table 4.2'!G120</f>
        <v>57</v>
      </c>
      <c r="I38" s="14">
        <f>'[10]Table 4.2'!H120</f>
        <v>5</v>
      </c>
      <c r="J38" s="14">
        <f>'[10]Table 4.2'!I120</f>
        <v>1</v>
      </c>
      <c r="K38" s="14">
        <f>'[10]Table 4.2'!J120</f>
        <v>0</v>
      </c>
      <c r="L38" s="14">
        <f>'[10]Table 4.2'!K120</f>
        <v>50</v>
      </c>
      <c r="M38" s="14">
        <f>'[10]Table 4.2'!L120</f>
        <v>124</v>
      </c>
      <c r="N38" s="14">
        <f>'[10]Table 4.2'!M120</f>
        <v>124</v>
      </c>
      <c r="O38" s="14"/>
      <c r="P38" s="14"/>
      <c r="R38" s="4">
        <f>'[11]Table 7.2'!AT123</f>
        <v>16.670000000000002</v>
      </c>
      <c r="S38" s="4">
        <f>'[11]Table 7.2'!AV123</f>
        <v>4</v>
      </c>
      <c r="T38" s="4">
        <f>'[11]Table 7.2'!AU123</f>
        <v>7.02</v>
      </c>
      <c r="U38" s="4">
        <f>'[11]Table 7.2'!AW123</f>
        <v>4.74</v>
      </c>
      <c r="V38" s="4">
        <f>'[11]Table 7.2'!AX123</f>
        <v>8.7100000000000009</v>
      </c>
      <c r="W38" s="4">
        <f>'[11]Table 7.2'!AY123</f>
        <v>2</v>
      </c>
      <c r="X38" s="4">
        <f>'[11]Table 7.2'!AZ123</f>
        <v>5</v>
      </c>
      <c r="Y38" s="4">
        <f>'[12]Table 7.6'!O95</f>
        <v>1.3491271820448878</v>
      </c>
      <c r="Z38" s="4"/>
      <c r="AH38" t="str">
        <f t="shared" si="32"/>
        <v>321</v>
      </c>
      <c r="AI38" s="9" t="str">
        <f t="shared" si="33"/>
        <v>Wood Products</v>
      </c>
      <c r="AJ38" s="4">
        <f>'[6]Table 7.6'!BG52</f>
        <v>0</v>
      </c>
      <c r="AK38" s="4">
        <f>'[6]Table 7.6'!BH52</f>
        <v>0</v>
      </c>
      <c r="AL38">
        <f t="shared" si="34"/>
        <v>1233.5800000000002</v>
      </c>
      <c r="AM38" s="4">
        <f t="shared" si="35"/>
        <v>0</v>
      </c>
      <c r="AN38" s="14">
        <f t="shared" si="36"/>
        <v>457.3863591022444</v>
      </c>
      <c r="AO38" s="4">
        <f t="shared" si="37"/>
        <v>3.6885996701793902</v>
      </c>
      <c r="AP38" s="3">
        <f>'[13]3DNAICS'!AX324</f>
        <v>950</v>
      </c>
      <c r="AR38" s="117">
        <f t="shared" si="38"/>
        <v>8.0645161290322578E-3</v>
      </c>
      <c r="AS38" s="117">
        <f t="shared" si="26"/>
        <v>8.0645161290322578E-2</v>
      </c>
      <c r="AT38" s="117">
        <f t="shared" si="27"/>
        <v>0.45967741935483869</v>
      </c>
      <c r="AU38" s="117">
        <f t="shared" si="28"/>
        <v>4.0322580645161289E-2</v>
      </c>
      <c r="AV38" s="117">
        <f t="shared" si="29"/>
        <v>8.0645161290322578E-3</v>
      </c>
      <c r="AW38" s="117">
        <f t="shared" si="30"/>
        <v>0</v>
      </c>
      <c r="AX38" s="117">
        <f t="shared" si="31"/>
        <v>0.40322580645161288</v>
      </c>
      <c r="AY38">
        <f t="shared" si="39"/>
        <v>0.99999999999999989</v>
      </c>
    </row>
    <row r="39" spans="2:51" ht="15" x14ac:dyDescent="0.25">
      <c r="B39" s="6" t="s">
        <v>24</v>
      </c>
      <c r="C39" s="7" t="s">
        <v>25</v>
      </c>
      <c r="D39" s="14">
        <f>'[10]Table 4.2'!C121</f>
        <v>1413</v>
      </c>
      <c r="E39" s="14">
        <f>'[10]Table 4.2'!D121</f>
        <v>245</v>
      </c>
      <c r="F39" s="14">
        <f>'[10]Table 4.2'!E121</f>
        <v>100</v>
      </c>
      <c r="G39" s="14">
        <f>'[10]Table 4.2'!F121</f>
        <v>13</v>
      </c>
      <c r="H39" s="14">
        <f>'[10]Table 4.2'!G121</f>
        <v>504</v>
      </c>
      <c r="I39" s="14">
        <f>'[10]Table 4.2'!H121</f>
        <v>6</v>
      </c>
      <c r="J39" s="14">
        <f>'[10]Table 4.2'!I121</f>
        <v>234</v>
      </c>
      <c r="K39" s="14">
        <f>'[10]Table 4.2'!J121</f>
        <v>4</v>
      </c>
      <c r="L39" s="14">
        <f>'[10]Table 4.2'!K121</f>
        <v>306</v>
      </c>
      <c r="M39" s="14">
        <f>'[10]Table 4.2'!L121</f>
        <v>1167</v>
      </c>
      <c r="N39" s="14">
        <f>'[10]Table 4.2'!M121</f>
        <v>1168</v>
      </c>
      <c r="O39" s="14"/>
      <c r="P39" s="14"/>
      <c r="R39" s="4">
        <f>'[11]Table 7.2'!AT124</f>
        <v>13</v>
      </c>
      <c r="S39" s="4">
        <f>'[11]Table 7.2'!AV124</f>
        <v>3.71</v>
      </c>
      <c r="T39" s="4">
        <f>'[11]Table 7.2'!AU124</f>
        <v>5.13</v>
      </c>
      <c r="U39" s="4">
        <f>'[11]Table 7.2'!AW124</f>
        <v>4.1500000000000004</v>
      </c>
      <c r="V39" s="4">
        <f>'[11]Table 7.2'!AX124</f>
        <v>8.9700000000000006</v>
      </c>
      <c r="W39" s="4">
        <f>'[11]Table 7.2'!AY124</f>
        <v>1.97</v>
      </c>
      <c r="X39" s="4">
        <f>'[11]Table 7.2'!AZ124</f>
        <v>5</v>
      </c>
      <c r="Y39" s="4">
        <f>'[12]Table 7.6'!O96</f>
        <v>2.6971153846153846</v>
      </c>
      <c r="Z39" s="4"/>
      <c r="AH39" t="str">
        <f t="shared" si="32"/>
        <v>322</v>
      </c>
      <c r="AI39" s="9" t="str">
        <f t="shared" si="33"/>
        <v>Paper</v>
      </c>
      <c r="AJ39" s="4">
        <f>'[6]Table 7.6'!BG53</f>
        <v>0</v>
      </c>
      <c r="AK39" s="4">
        <f>'[6]Table 7.6'!BH53</f>
        <v>0</v>
      </c>
      <c r="AL39">
        <f t="shared" si="34"/>
        <v>3185</v>
      </c>
      <c r="AM39" s="4">
        <f t="shared" si="35"/>
        <v>0</v>
      </c>
      <c r="AN39" s="14">
        <f t="shared" si="36"/>
        <v>3889.4073076923082</v>
      </c>
      <c r="AO39" s="4">
        <f t="shared" si="37"/>
        <v>3.3328254564629889</v>
      </c>
      <c r="AP39" s="3">
        <f>'[13]3DNAICS'!AX325</f>
        <v>4177</v>
      </c>
      <c r="AR39" s="117">
        <f t="shared" si="38"/>
        <v>8.5689802913453295E-2</v>
      </c>
      <c r="AS39" s="117">
        <f t="shared" si="26"/>
        <v>1.1139674378748929E-2</v>
      </c>
      <c r="AT39" s="117">
        <f t="shared" si="27"/>
        <v>0.43187660668380462</v>
      </c>
      <c r="AU39" s="117">
        <f t="shared" si="28"/>
        <v>5.1413881748071976E-3</v>
      </c>
      <c r="AV39" s="117">
        <f t="shared" si="29"/>
        <v>0.20051413881748073</v>
      </c>
      <c r="AW39" s="117">
        <f t="shared" si="30"/>
        <v>3.4275921165381321E-3</v>
      </c>
      <c r="AX39" s="117">
        <f t="shared" si="31"/>
        <v>0.26221079691516708</v>
      </c>
      <c r="AY39">
        <f t="shared" si="39"/>
        <v>1</v>
      </c>
    </row>
    <row r="40" spans="2:51" ht="15" x14ac:dyDescent="0.25">
      <c r="B40" s="6" t="s">
        <v>26</v>
      </c>
      <c r="C40" s="7" t="s">
        <v>27</v>
      </c>
      <c r="D40" s="14">
        <f>'[10]Table 4.2'!C122</f>
        <v>98</v>
      </c>
      <c r="E40" s="14">
        <f>'[10]Table 4.2'!D122</f>
        <v>50</v>
      </c>
      <c r="F40" s="14">
        <f>'[10]Table 4.2'!E122</f>
        <v>0.1</v>
      </c>
      <c r="G40" s="14">
        <f>'[10]Table 4.2'!F122</f>
        <v>0.4</v>
      </c>
      <c r="H40" s="14">
        <f>'[10]Table 4.2'!G122</f>
        <v>46</v>
      </c>
      <c r="I40" s="14">
        <f>'[10]Table 4.2'!H122</f>
        <v>1</v>
      </c>
      <c r="J40" s="14">
        <f>'[10]Table 4.2'!I122</f>
        <v>0</v>
      </c>
      <c r="K40" s="14">
        <f>'[10]Table 4.2'!J122</f>
        <v>0</v>
      </c>
      <c r="L40" s="14">
        <f>'[10]Table 4.2'!K122</f>
        <v>0.5</v>
      </c>
      <c r="M40" s="14">
        <f>'[10]Table 4.2'!L122</f>
        <v>48</v>
      </c>
      <c r="N40" s="14">
        <f>'[10]Table 4.2'!M122</f>
        <v>48</v>
      </c>
      <c r="O40" s="14"/>
      <c r="P40" s="14"/>
      <c r="R40" s="4">
        <f>'[11]Table 7.2'!AT125</f>
        <v>19.57</v>
      </c>
      <c r="S40" s="4">
        <f>'[11]Table 7.2'!AV125</f>
        <v>5</v>
      </c>
      <c r="T40" s="4">
        <f>'[11]Table 7.2'!AU125</f>
        <v>6.28</v>
      </c>
      <c r="U40" s="4">
        <f>'[11]Table 7.2'!AW125</f>
        <v>4.9800000000000004</v>
      </c>
      <c r="V40" s="4">
        <f>'[11]Table 7.2'!AX125</f>
        <v>11.68</v>
      </c>
      <c r="W40" s="4">
        <f>'[11]Table 7.2'!AY125</f>
        <v>2</v>
      </c>
      <c r="X40" s="4">
        <f>'[11]Table 7.2'!AZ125</f>
        <v>0</v>
      </c>
      <c r="Y40" s="4">
        <f>'[12]Table 7.6'!O97</f>
        <v>2.5</v>
      </c>
      <c r="Z40" s="4"/>
      <c r="AH40" t="str">
        <f t="shared" si="32"/>
        <v>323</v>
      </c>
      <c r="AI40" s="9" t="str">
        <f t="shared" si="33"/>
        <v>Printing and Related Support</v>
      </c>
      <c r="AJ40" s="4">
        <f>'[6]Table 7.6'!BG54</f>
        <v>0</v>
      </c>
      <c r="AK40" s="4">
        <f>'[6]Table 7.6'!BH54</f>
        <v>0</v>
      </c>
      <c r="AL40">
        <f t="shared" si="34"/>
        <v>978.5</v>
      </c>
      <c r="AM40" s="4">
        <f t="shared" si="35"/>
        <v>0</v>
      </c>
      <c r="AN40" s="14">
        <f t="shared" si="36"/>
        <v>245.02200000000002</v>
      </c>
      <c r="AO40" s="4">
        <f t="shared" si="37"/>
        <v>5.1046250000000004</v>
      </c>
      <c r="AP40" s="3">
        <f>'[13]3DNAICS'!AX326</f>
        <v>247</v>
      </c>
      <c r="AR40" s="117">
        <f t="shared" si="38"/>
        <v>2.0833333333333333E-3</v>
      </c>
      <c r="AS40" s="117">
        <f t="shared" si="26"/>
        <v>8.3333333333333332E-3</v>
      </c>
      <c r="AT40" s="117">
        <f t="shared" si="27"/>
        <v>0.95833333333333337</v>
      </c>
      <c r="AU40" s="117">
        <f t="shared" si="28"/>
        <v>2.0833333333333332E-2</v>
      </c>
      <c r="AV40" s="117">
        <f t="shared" si="29"/>
        <v>0</v>
      </c>
      <c r="AW40" s="117">
        <f t="shared" si="30"/>
        <v>0</v>
      </c>
      <c r="AX40" s="117">
        <f t="shared" si="31"/>
        <v>1.0416666666666666E-2</v>
      </c>
      <c r="AY40">
        <f t="shared" si="39"/>
        <v>1</v>
      </c>
    </row>
    <row r="41" spans="2:51" ht="15" x14ac:dyDescent="0.25">
      <c r="B41" s="6" t="s">
        <v>28</v>
      </c>
      <c r="C41" s="7" t="s">
        <v>29</v>
      </c>
      <c r="D41" s="14">
        <f>'[10]Table 4.2'!C123</f>
        <v>1290</v>
      </c>
      <c r="E41" s="14">
        <f>'[10]Table 4.2'!D123</f>
        <v>141</v>
      </c>
      <c r="F41" s="14">
        <f>'[10]Table 4.2'!E123</f>
        <v>14</v>
      </c>
      <c r="G41" s="14">
        <f>'[10]Table 4.2'!F123</f>
        <v>13</v>
      </c>
      <c r="H41" s="14">
        <f>'[10]Table 4.2'!G123</f>
        <v>878</v>
      </c>
      <c r="I41" s="14">
        <f>'[10]Table 4.2'!H123</f>
        <v>10</v>
      </c>
      <c r="J41" s="14">
        <f>'[10]Table 4.2'!I123</f>
        <v>13</v>
      </c>
      <c r="K41" s="14">
        <f>'[10]Table 4.2'!J123</f>
        <v>0.1</v>
      </c>
      <c r="L41" s="14">
        <f>'[10]Table 4.2'!K123</f>
        <v>222</v>
      </c>
      <c r="M41" s="14">
        <f>'[10]Table 4.2'!L123</f>
        <v>1150.0999999999999</v>
      </c>
      <c r="N41" s="14">
        <f>'[10]Table 4.2'!M123</f>
        <v>1149</v>
      </c>
      <c r="O41" s="14"/>
      <c r="P41" s="14"/>
      <c r="R41" s="4">
        <f>'[11]Table 7.2'!AT126</f>
        <v>13.23</v>
      </c>
      <c r="S41" s="4">
        <f>'[11]Table 7.2'!AV126</f>
        <v>3.23</v>
      </c>
      <c r="T41" s="4">
        <f>'[11]Table 7.2'!AU126</f>
        <v>6.08</v>
      </c>
      <c r="U41" s="4">
        <f>'[11]Table 7.2'!AW126</f>
        <v>3.42</v>
      </c>
      <c r="V41" s="4">
        <f>'[11]Table 7.2'!AX126</f>
        <v>6.68</v>
      </c>
      <c r="W41" s="4">
        <f>'[11]Table 7.2'!AY126</f>
        <v>2</v>
      </c>
      <c r="X41" s="4">
        <f>'[11]Table 7.2'!AZ126</f>
        <v>5</v>
      </c>
      <c r="Y41" s="4">
        <f>'[12]Table 7.6'!O98</f>
        <v>3.5632183908045976</v>
      </c>
      <c r="Z41" s="4"/>
      <c r="AH41" t="str">
        <f t="shared" si="32"/>
        <v>324</v>
      </c>
      <c r="AI41" s="9" t="str">
        <f t="shared" si="33"/>
        <v>Petroleum and Coal Products</v>
      </c>
      <c r="AJ41" s="4">
        <f>'[6]Table 7.6'!BG55</f>
        <v>0</v>
      </c>
      <c r="AK41" s="4">
        <f>'[6]Table 7.6'!BH55</f>
        <v>0</v>
      </c>
      <c r="AL41">
        <f t="shared" si="34"/>
        <v>1865.43</v>
      </c>
      <c r="AM41" s="4">
        <f t="shared" si="35"/>
        <v>0</v>
      </c>
      <c r="AN41" s="14">
        <f t="shared" si="36"/>
        <v>4011.3544827586211</v>
      </c>
      <c r="AO41" s="4">
        <f t="shared" si="37"/>
        <v>3.4878310431776551</v>
      </c>
      <c r="AP41" s="3">
        <f>'[13]3DNAICS'!AX327</f>
        <v>4757</v>
      </c>
      <c r="AR41" s="117">
        <f t="shared" si="38"/>
        <v>1.2172854534388315E-2</v>
      </c>
      <c r="AS41" s="117">
        <f t="shared" si="26"/>
        <v>1.130336492478915E-2</v>
      </c>
      <c r="AT41" s="117">
        <f t="shared" si="27"/>
        <v>0.76341187722806714</v>
      </c>
      <c r="AU41" s="117">
        <f t="shared" si="28"/>
        <v>8.6948960959916544E-3</v>
      </c>
      <c r="AV41" s="117">
        <f t="shared" si="29"/>
        <v>1.130336492478915E-2</v>
      </c>
      <c r="AW41" s="117">
        <f t="shared" si="30"/>
        <v>8.6948960959916535E-5</v>
      </c>
      <c r="AX41" s="117">
        <f t="shared" si="31"/>
        <v>0.19302669333101471</v>
      </c>
      <c r="AY41">
        <f t="shared" si="39"/>
        <v>1</v>
      </c>
    </row>
    <row r="42" spans="2:51" ht="15" x14ac:dyDescent="0.25">
      <c r="B42" s="6" t="s">
        <v>30</v>
      </c>
      <c r="C42" s="7" t="s">
        <v>31</v>
      </c>
      <c r="D42" s="14">
        <f>'[10]Table 4.2'!C124</f>
        <v>3154</v>
      </c>
      <c r="E42" s="14">
        <f>'[10]Table 4.2'!D124</f>
        <v>551</v>
      </c>
      <c r="F42" s="14">
        <f>'[10]Table 4.2'!E124</f>
        <v>43</v>
      </c>
      <c r="G42" s="14">
        <f>'[10]Table 4.2'!F124</f>
        <v>13</v>
      </c>
      <c r="H42" s="14">
        <f>'[10]Table 4.2'!G124</f>
        <v>1674</v>
      </c>
      <c r="I42" s="14">
        <f>'[10]Table 4.2'!H124</f>
        <v>32</v>
      </c>
      <c r="J42" s="14">
        <f>'[10]Table 4.2'!I124</f>
        <v>314</v>
      </c>
      <c r="K42" s="14">
        <f>'[10]Table 4.2'!J124</f>
        <v>1</v>
      </c>
      <c r="L42" s="14">
        <f>'[10]Table 4.2'!K124</f>
        <v>525</v>
      </c>
      <c r="M42" s="14">
        <f>'[10]Table 4.2'!L124</f>
        <v>2602</v>
      </c>
      <c r="N42" s="14">
        <f>'[10]Table 4.2'!M124</f>
        <v>2603</v>
      </c>
      <c r="O42" s="14"/>
      <c r="P42" s="14"/>
      <c r="R42" s="4">
        <f>'[11]Table 7.2'!AT127</f>
        <v>11.67</v>
      </c>
      <c r="S42" s="4">
        <f>'[11]Table 7.2'!AV127</f>
        <v>3.64</v>
      </c>
      <c r="T42" s="4">
        <f>'[11]Table 7.2'!AU127</f>
        <v>6.1</v>
      </c>
      <c r="U42" s="4">
        <f>'[11]Table 7.2'!AW127</f>
        <v>3.37</v>
      </c>
      <c r="V42" s="4">
        <f>'[11]Table 7.2'!AX127</f>
        <v>5.77</v>
      </c>
      <c r="W42" s="4">
        <f>'[11]Table 7.2'!AY127</f>
        <v>1.99</v>
      </c>
      <c r="X42" s="4">
        <f>'[11]Table 7.2'!AZ127</f>
        <v>5</v>
      </c>
      <c r="Y42" s="4">
        <f>'[12]Table 7.6'!O99</f>
        <v>3.4020408163265308</v>
      </c>
      <c r="Z42" s="4"/>
      <c r="AH42" t="str">
        <f t="shared" si="32"/>
        <v>325</v>
      </c>
      <c r="AI42" s="9" t="str">
        <f t="shared" si="33"/>
        <v>Chemicals</v>
      </c>
      <c r="AJ42" s="4">
        <f>'[6]Table 7.6'!BG56</f>
        <v>0</v>
      </c>
      <c r="AK42" s="4">
        <f>'[6]Table 7.6'!BH56</f>
        <v>0</v>
      </c>
      <c r="AL42">
        <f t="shared" si="34"/>
        <v>6430.17</v>
      </c>
      <c r="AM42" s="4">
        <f t="shared" si="35"/>
        <v>0</v>
      </c>
      <c r="AN42" s="14">
        <f t="shared" si="36"/>
        <v>8477.7714285714283</v>
      </c>
      <c r="AO42" s="4">
        <f t="shared" si="37"/>
        <v>3.258175030196552</v>
      </c>
      <c r="AP42" s="3">
        <f>'[13]3DNAICS'!AX328</f>
        <v>25633</v>
      </c>
      <c r="AR42" s="117">
        <f t="shared" si="38"/>
        <v>1.6525749423520367E-2</v>
      </c>
      <c r="AS42" s="117">
        <f t="shared" si="26"/>
        <v>4.9961568024596463E-3</v>
      </c>
      <c r="AT42" s="117">
        <f t="shared" si="27"/>
        <v>0.64335126825518829</v>
      </c>
      <c r="AU42" s="117">
        <f t="shared" si="28"/>
        <v>1.2298232129131437E-2</v>
      </c>
      <c r="AV42" s="117">
        <f t="shared" si="29"/>
        <v>0.12067640276710223</v>
      </c>
      <c r="AW42" s="117">
        <f t="shared" si="30"/>
        <v>3.8431975403535742E-4</v>
      </c>
      <c r="AX42" s="117">
        <f t="shared" si="31"/>
        <v>0.20176787086856265</v>
      </c>
      <c r="AY42">
        <f t="shared" si="39"/>
        <v>1</v>
      </c>
    </row>
    <row r="43" spans="2:51" ht="15" x14ac:dyDescent="0.25">
      <c r="B43" s="6" t="s">
        <v>32</v>
      </c>
      <c r="C43" s="7" t="s">
        <v>33</v>
      </c>
      <c r="D43" s="14">
        <f>'[10]Table 4.2'!C125</f>
        <v>347</v>
      </c>
      <c r="E43" s="14">
        <f>'[10]Table 4.2'!D125</f>
        <v>182</v>
      </c>
      <c r="F43" s="14">
        <f>'[10]Table 4.2'!E125</f>
        <v>7</v>
      </c>
      <c r="G43" s="14">
        <f>'[10]Table 4.2'!F125</f>
        <v>2</v>
      </c>
      <c r="H43" s="14">
        <f>'[10]Table 4.2'!G125</f>
        <v>128</v>
      </c>
      <c r="I43" s="14">
        <f>'[10]Table 4.2'!H125</f>
        <v>3</v>
      </c>
      <c r="J43" s="14">
        <f>'[10]Table 4.2'!I125</f>
        <v>21</v>
      </c>
      <c r="K43" s="14">
        <f>'[10]Table 4.2'!J125</f>
        <v>0</v>
      </c>
      <c r="L43" s="14">
        <f>'[10]Table 4.2'!K125</f>
        <v>4</v>
      </c>
      <c r="M43" s="14">
        <f>'[10]Table 4.2'!L125</f>
        <v>165</v>
      </c>
      <c r="N43" s="14">
        <f>'[10]Table 4.2'!M125</f>
        <v>165</v>
      </c>
      <c r="O43" s="14"/>
      <c r="P43" s="14"/>
      <c r="R43" s="4">
        <f>'[11]Table 7.2'!AT128</f>
        <v>16.54</v>
      </c>
      <c r="S43" s="4">
        <f>'[11]Table 7.2'!AV128</f>
        <v>3.86</v>
      </c>
      <c r="T43" s="4">
        <f>'[11]Table 7.2'!AU128</f>
        <v>6.66</v>
      </c>
      <c r="U43" s="4">
        <f>'[11]Table 7.2'!AW128</f>
        <v>4.9800000000000004</v>
      </c>
      <c r="V43" s="4">
        <f>'[11]Table 7.2'!AX128</f>
        <v>11.26</v>
      </c>
      <c r="W43" s="4">
        <f>'[11]Table 7.2'!AY128</f>
        <v>2</v>
      </c>
      <c r="X43" s="4">
        <f>'[11]Table 7.2'!AZ128</f>
        <v>0</v>
      </c>
      <c r="Y43" s="4">
        <f>'[12]Table 7.6'!O100</f>
        <v>4</v>
      </c>
      <c r="Z43" s="4"/>
      <c r="AH43" t="str">
        <f t="shared" si="32"/>
        <v>326</v>
      </c>
      <c r="AI43" s="9" t="str">
        <f t="shared" si="33"/>
        <v>Plastics and Rubber Products</v>
      </c>
      <c r="AJ43" s="4">
        <f>'[6]Table 7.6'!BG57</f>
        <v>0</v>
      </c>
      <c r="AK43" s="4">
        <f>'[6]Table 7.6'!BH57</f>
        <v>0</v>
      </c>
      <c r="AL43">
        <f t="shared" si="34"/>
        <v>3010.2799999999997</v>
      </c>
      <c r="AM43" s="4">
        <f t="shared" si="35"/>
        <v>0</v>
      </c>
      <c r="AN43" s="14">
        <f t="shared" si="36"/>
        <v>769.56000000000006</v>
      </c>
      <c r="AO43" s="4">
        <f t="shared" si="37"/>
        <v>4.6640000000000006</v>
      </c>
      <c r="AP43" s="3">
        <f>'[13]3DNAICS'!AX329</f>
        <v>816</v>
      </c>
      <c r="AR43" s="117">
        <f t="shared" si="38"/>
        <v>4.2424242424242427E-2</v>
      </c>
      <c r="AS43" s="117">
        <f t="shared" si="26"/>
        <v>1.2121212121212121E-2</v>
      </c>
      <c r="AT43" s="117">
        <f t="shared" si="27"/>
        <v>0.77575757575757576</v>
      </c>
      <c r="AU43" s="117">
        <f t="shared" si="28"/>
        <v>1.8181818181818181E-2</v>
      </c>
      <c r="AV43" s="117">
        <f t="shared" si="29"/>
        <v>0.12727272727272726</v>
      </c>
      <c r="AW43" s="117">
        <f t="shared" si="30"/>
        <v>0</v>
      </c>
      <c r="AX43" s="117">
        <f t="shared" si="31"/>
        <v>2.4242424242424242E-2</v>
      </c>
      <c r="AY43">
        <f t="shared" si="39"/>
        <v>1</v>
      </c>
    </row>
    <row r="44" spans="2:51" ht="15" x14ac:dyDescent="0.25">
      <c r="B44" s="6" t="s">
        <v>34</v>
      </c>
      <c r="C44" s="7" t="s">
        <v>35</v>
      </c>
      <c r="D44" s="14">
        <f>'[10]Table 4.2'!C126</f>
        <v>960</v>
      </c>
      <c r="E44" s="14">
        <f>'[10]Table 4.2'!D126</f>
        <v>141</v>
      </c>
      <c r="F44" s="14">
        <f>'[10]Table 4.2'!E126</f>
        <v>3</v>
      </c>
      <c r="G44" s="14">
        <f>'[10]Table 4.2'!F126</f>
        <v>31</v>
      </c>
      <c r="H44" s="14">
        <f>'[10]Table 4.2'!G126</f>
        <v>421</v>
      </c>
      <c r="I44" s="14">
        <f>'[10]Table 4.2'!H126</f>
        <v>3</v>
      </c>
      <c r="J44" s="14">
        <f>'[10]Table 4.2'!I126</f>
        <v>309</v>
      </c>
      <c r="K44" s="14">
        <f>'[10]Table 4.2'!J126</f>
        <v>11</v>
      </c>
      <c r="L44" s="14">
        <f>'[10]Table 4.2'!K126</f>
        <v>40</v>
      </c>
      <c r="M44" s="14">
        <f>'[10]Table 4.2'!L126</f>
        <v>818</v>
      </c>
      <c r="N44" s="14">
        <f>'[10]Table 4.2'!M126</f>
        <v>819</v>
      </c>
      <c r="O44" s="14"/>
      <c r="P44" s="14"/>
      <c r="R44" s="4">
        <f>'[11]Table 7.2'!AT129</f>
        <v>14.84</v>
      </c>
      <c r="S44" s="4">
        <f>'[11]Table 7.2'!AV129</f>
        <v>3.99</v>
      </c>
      <c r="T44" s="4">
        <f>'[11]Table 7.2'!AU129</f>
        <v>7.5</v>
      </c>
      <c r="U44" s="4">
        <f>'[11]Table 7.2'!AW129</f>
        <v>4.2</v>
      </c>
      <c r="V44" s="4">
        <f>'[11]Table 7.2'!AX129</f>
        <v>10.210000000000001</v>
      </c>
      <c r="W44" s="4">
        <f>'[11]Table 7.2'!AY129</f>
        <v>1.75</v>
      </c>
      <c r="X44" s="4">
        <f>'[11]Table 7.2'!AZ129</f>
        <v>1.96</v>
      </c>
      <c r="Y44" s="4">
        <f>'[12]Table 7.6'!O101</f>
        <v>1.288</v>
      </c>
      <c r="Z44" s="4"/>
      <c r="AH44" t="str">
        <f t="shared" si="32"/>
        <v>327</v>
      </c>
      <c r="AI44" s="9" t="str">
        <f t="shared" si="33"/>
        <v>Nonmetallic Mineral Products</v>
      </c>
      <c r="AJ44" s="4">
        <f>'[6]Table 7.6'!BG58</f>
        <v>0</v>
      </c>
      <c r="AK44" s="4">
        <f>'[6]Table 7.6'!BH58</f>
        <v>0</v>
      </c>
      <c r="AL44">
        <f t="shared" si="34"/>
        <v>2092.44</v>
      </c>
      <c r="AM44" s="4">
        <f t="shared" si="35"/>
        <v>0</v>
      </c>
      <c r="AN44" s="14">
        <f t="shared" si="36"/>
        <v>2657.13</v>
      </c>
      <c r="AO44" s="4">
        <f t="shared" si="37"/>
        <v>3.2483251833740834</v>
      </c>
      <c r="AP44" s="3">
        <f>'[13]3DNAICS'!AX330</f>
        <v>2809</v>
      </c>
      <c r="AR44" s="117">
        <f t="shared" si="38"/>
        <v>3.667481662591687E-3</v>
      </c>
      <c r="AS44" s="117">
        <f t="shared" si="26"/>
        <v>3.7897310513447434E-2</v>
      </c>
      <c r="AT44" s="117">
        <f t="shared" si="27"/>
        <v>0.5146699266503667</v>
      </c>
      <c r="AU44" s="117">
        <f t="shared" si="28"/>
        <v>3.667481662591687E-3</v>
      </c>
      <c r="AV44" s="117">
        <f t="shared" si="29"/>
        <v>0.37775061124694376</v>
      </c>
      <c r="AW44" s="117">
        <f t="shared" si="30"/>
        <v>1.3447432762836185E-2</v>
      </c>
      <c r="AX44" s="117">
        <f t="shared" si="31"/>
        <v>4.8899755501222497E-2</v>
      </c>
      <c r="AY44">
        <f t="shared" si="39"/>
        <v>1</v>
      </c>
    </row>
    <row r="45" spans="2:51" ht="15" x14ac:dyDescent="0.25">
      <c r="B45" s="6" t="s">
        <v>36</v>
      </c>
      <c r="C45" s="7" t="s">
        <v>37</v>
      </c>
      <c r="D45" s="14">
        <f>'[10]Table 4.2'!C127</f>
        <v>1614</v>
      </c>
      <c r="E45" s="14">
        <f>'[10]Table 4.2'!D127</f>
        <v>500</v>
      </c>
      <c r="F45" s="14">
        <f>'[10]Table 4.2'!E127</f>
        <v>1</v>
      </c>
      <c r="G45" s="14">
        <f>'[10]Table 4.2'!F127</f>
        <v>15</v>
      </c>
      <c r="H45" s="14">
        <f>'[10]Table 4.2'!G127</f>
        <v>669</v>
      </c>
      <c r="I45" s="14">
        <f>'[10]Table 4.2'!H127</f>
        <v>3</v>
      </c>
      <c r="J45" s="14">
        <f>'[10]Table 4.2'!I127</f>
        <v>47</v>
      </c>
      <c r="K45" s="14">
        <f>'[10]Table 4.2'!J127</f>
        <v>340</v>
      </c>
      <c r="L45" s="14">
        <f>'[10]Table 4.2'!K127</f>
        <v>39</v>
      </c>
      <c r="M45" s="14">
        <f>'[10]Table 4.2'!L127</f>
        <v>1114</v>
      </c>
      <c r="N45" s="14">
        <f>'[10]Table 4.2'!M127</f>
        <v>1114</v>
      </c>
      <c r="O45" s="14"/>
      <c r="P45" s="14"/>
      <c r="R45" s="4">
        <f>'[11]Table 7.2'!AT130</f>
        <v>9.75</v>
      </c>
      <c r="S45" s="4">
        <f>'[11]Table 7.2'!AV130</f>
        <v>4.25</v>
      </c>
      <c r="T45" s="4">
        <f>'[11]Table 7.2'!AU130</f>
        <v>4.7300000000000004</v>
      </c>
      <c r="U45" s="4">
        <f>'[11]Table 7.2'!AW130</f>
        <v>4.08</v>
      </c>
      <c r="V45" s="4">
        <f>'[11]Table 7.2'!AX130</f>
        <v>8.98</v>
      </c>
      <c r="W45" s="4">
        <f>'[11]Table 7.2'!AY130</f>
        <v>1.95</v>
      </c>
      <c r="X45" s="4">
        <f>'[11]Table 7.2'!AZ130</f>
        <v>4.66</v>
      </c>
      <c r="Y45" s="4">
        <f>'[12]Table 7.6'!O102</f>
        <v>2.0393258426966292</v>
      </c>
      <c r="Z45" s="4"/>
      <c r="AH45" t="str">
        <f t="shared" si="32"/>
        <v>331</v>
      </c>
      <c r="AI45" s="9" t="str">
        <f t="shared" si="33"/>
        <v>Primary Metals</v>
      </c>
      <c r="AJ45" s="4">
        <f>'[6]Table 7.6'!BG59</f>
        <v>0</v>
      </c>
      <c r="AK45" s="4">
        <f>'[6]Table 7.6'!BH59</f>
        <v>0</v>
      </c>
      <c r="AL45">
        <f t="shared" si="34"/>
        <v>4875</v>
      </c>
      <c r="AM45" s="4">
        <f t="shared" si="35"/>
        <v>0</v>
      </c>
      <c r="AN45" s="14">
        <f t="shared" si="36"/>
        <v>4587.2437078651683</v>
      </c>
      <c r="AO45" s="4">
        <f t="shared" si="37"/>
        <v>4.1178130232182841</v>
      </c>
      <c r="AP45" s="3">
        <f>'[13]3DNAICS'!AX331</f>
        <v>5970</v>
      </c>
      <c r="AR45" s="117">
        <f t="shared" si="38"/>
        <v>8.9766606822262122E-4</v>
      </c>
      <c r="AS45" s="117">
        <f t="shared" si="26"/>
        <v>1.3464991023339317E-2</v>
      </c>
      <c r="AT45" s="117">
        <f t="shared" si="27"/>
        <v>0.60053859964093359</v>
      </c>
      <c r="AU45" s="117">
        <f t="shared" si="28"/>
        <v>2.6929982046678637E-3</v>
      </c>
      <c r="AV45" s="117">
        <f t="shared" si="29"/>
        <v>4.2190305206463198E-2</v>
      </c>
      <c r="AW45" s="117">
        <f t="shared" si="30"/>
        <v>0.30520646319569122</v>
      </c>
      <c r="AX45" s="117">
        <f t="shared" si="31"/>
        <v>3.5008976660682228E-2</v>
      </c>
      <c r="AY45">
        <f t="shared" si="39"/>
        <v>1</v>
      </c>
    </row>
    <row r="46" spans="2:51" ht="15" x14ac:dyDescent="0.25">
      <c r="B46" s="6" t="s">
        <v>38</v>
      </c>
      <c r="C46" s="7" t="s">
        <v>39</v>
      </c>
      <c r="D46" s="14">
        <f>'[10]Table 4.2'!C128</f>
        <v>387</v>
      </c>
      <c r="E46" s="14">
        <f>'[10]Table 4.2'!D128</f>
        <v>161</v>
      </c>
      <c r="F46" s="14">
        <f>'[10]Table 4.2'!E128</f>
        <v>1</v>
      </c>
      <c r="G46" s="14">
        <f>'[10]Table 4.2'!F128</f>
        <v>6</v>
      </c>
      <c r="H46" s="14">
        <f>'[10]Table 4.2'!G128</f>
        <v>209</v>
      </c>
      <c r="I46" s="14">
        <f>'[10]Table 4.2'!H128</f>
        <v>3</v>
      </c>
      <c r="J46" s="14">
        <f>'[10]Table 4.2'!I128</f>
        <v>1</v>
      </c>
      <c r="K46" s="14">
        <f>'[10]Table 4.2'!J128</f>
        <v>5</v>
      </c>
      <c r="L46" s="14">
        <f>'[10]Table 4.2'!K128</f>
        <v>2</v>
      </c>
      <c r="M46" s="14">
        <f>'[10]Table 4.2'!L128</f>
        <v>227</v>
      </c>
      <c r="N46" s="14">
        <f>'[10]Table 4.2'!M128</f>
        <v>226</v>
      </c>
      <c r="O46" s="14"/>
      <c r="P46" s="14"/>
      <c r="R46" s="4">
        <f>'[11]Table 7.2'!AT131</f>
        <v>17.8</v>
      </c>
      <c r="S46" s="4">
        <f>'[11]Table 7.2'!AV131</f>
        <v>4.25</v>
      </c>
      <c r="T46" s="4">
        <f>'[11]Table 7.2'!AU131</f>
        <v>6.77</v>
      </c>
      <c r="U46" s="4">
        <f>'[11]Table 7.2'!AW131</f>
        <v>4.92</v>
      </c>
      <c r="V46" s="4">
        <f>'[11]Table 7.2'!AX131</f>
        <v>12.66</v>
      </c>
      <c r="W46" s="4">
        <f>'[11]Table 7.2'!AY131</f>
        <v>5.03</v>
      </c>
      <c r="X46" s="4">
        <f>'[11]Table 7.2'!AZ131</f>
        <v>4.5</v>
      </c>
      <c r="Y46" s="4">
        <f>'[12]Table 7.6'!O103</f>
        <v>15.333333333333334</v>
      </c>
      <c r="Z46" s="4"/>
      <c r="AH46" t="str">
        <f t="shared" si="32"/>
        <v>332</v>
      </c>
      <c r="AI46" s="9" t="str">
        <f t="shared" si="33"/>
        <v>Fabricated Metal Products</v>
      </c>
      <c r="AJ46" s="4">
        <f>'[6]Table 7.6'!BG60</f>
        <v>0</v>
      </c>
      <c r="AK46" s="4">
        <f>'[6]Table 7.6'!BH60</f>
        <v>0</v>
      </c>
      <c r="AL46">
        <f t="shared" si="34"/>
        <v>2865.8</v>
      </c>
      <c r="AM46" s="4">
        <f t="shared" si="35"/>
        <v>0</v>
      </c>
      <c r="AN46" s="14">
        <f t="shared" si="36"/>
        <v>1169.3266666666666</v>
      </c>
      <c r="AO46" s="4">
        <f t="shared" si="37"/>
        <v>5.1512187958883988</v>
      </c>
      <c r="AP46" s="3">
        <f>'[13]3DNAICS'!AX332</f>
        <v>1188</v>
      </c>
      <c r="AR46" s="117">
        <f t="shared" si="38"/>
        <v>4.4052863436123352E-3</v>
      </c>
      <c r="AS46" s="117">
        <f t="shared" si="26"/>
        <v>2.643171806167401E-2</v>
      </c>
      <c r="AT46" s="117">
        <f t="shared" si="27"/>
        <v>0.92070484581497802</v>
      </c>
      <c r="AU46" s="117">
        <f t="shared" si="28"/>
        <v>1.3215859030837005E-2</v>
      </c>
      <c r="AV46" s="117">
        <f t="shared" si="29"/>
        <v>4.4052863436123352E-3</v>
      </c>
      <c r="AW46" s="117">
        <f t="shared" si="30"/>
        <v>2.2026431718061675E-2</v>
      </c>
      <c r="AX46" s="117">
        <f t="shared" si="31"/>
        <v>8.8105726872246704E-3</v>
      </c>
      <c r="AY46">
        <f t="shared" si="39"/>
        <v>1</v>
      </c>
    </row>
    <row r="47" spans="2:51" ht="15" x14ac:dyDescent="0.25">
      <c r="B47" s="6" t="s">
        <v>40</v>
      </c>
      <c r="C47" s="7" t="s">
        <v>41</v>
      </c>
      <c r="D47" s="14">
        <f>'[10]Table 4.2'!C129</f>
        <v>175</v>
      </c>
      <c r="E47" s="14">
        <f>'[10]Table 4.2'!D129</f>
        <v>84</v>
      </c>
      <c r="F47" s="14">
        <f>'[10]Table 4.2'!E129</f>
        <v>0.1</v>
      </c>
      <c r="G47" s="14">
        <f>'[10]Table 4.2'!F129</f>
        <v>2</v>
      </c>
      <c r="H47" s="14">
        <f>'[10]Table 4.2'!G129</f>
        <v>82</v>
      </c>
      <c r="I47" s="14">
        <f>'[10]Table 4.2'!H129</f>
        <v>2</v>
      </c>
      <c r="J47" s="14">
        <f>'[10]Table 4.2'!I129</f>
        <v>1</v>
      </c>
      <c r="K47" s="14">
        <f>'[10]Table 4.2'!J129</f>
        <v>0</v>
      </c>
      <c r="L47" s="14">
        <f>'[10]Table 4.2'!K129</f>
        <v>4</v>
      </c>
      <c r="M47" s="14">
        <f>'[10]Table 4.2'!L129</f>
        <v>91.1</v>
      </c>
      <c r="N47" s="14">
        <f>'[10]Table 4.2'!M129</f>
        <v>91</v>
      </c>
      <c r="O47" s="14"/>
      <c r="P47" s="14"/>
      <c r="R47" s="4">
        <f>'[11]Table 7.2'!AT132</f>
        <v>17.87</v>
      </c>
      <c r="S47" s="4">
        <f>'[11]Table 7.2'!AV132</f>
        <v>4.1500000000000004</v>
      </c>
      <c r="T47" s="4">
        <f>'[11]Table 7.2'!AU132</f>
        <v>8.69</v>
      </c>
      <c r="U47" s="4">
        <f>'[11]Table 7.2'!AW132</f>
        <v>5.28</v>
      </c>
      <c r="V47" s="4">
        <f>'[11]Table 7.2'!AX132</f>
        <v>10.7</v>
      </c>
      <c r="W47" s="4">
        <f>'[11]Table 7.2'!AY132</f>
        <v>1.49</v>
      </c>
      <c r="X47" s="4">
        <f>'[11]Table 7.2'!AZ132</f>
        <v>0</v>
      </c>
      <c r="Y47" s="4">
        <f>'[12]Table 7.6'!O104</f>
        <v>7.4</v>
      </c>
      <c r="Z47" s="4"/>
      <c r="AH47" t="str">
        <f t="shared" si="32"/>
        <v>333</v>
      </c>
      <c r="AI47" s="9" t="str">
        <f t="shared" si="33"/>
        <v>Machinery</v>
      </c>
      <c r="AJ47" s="4">
        <f>'[6]Table 7.6'!BG61</f>
        <v>0</v>
      </c>
      <c r="AK47" s="4">
        <f>'[6]Table 7.6'!BH61</f>
        <v>0</v>
      </c>
      <c r="AL47">
        <f t="shared" si="34"/>
        <v>1501.0800000000002</v>
      </c>
      <c r="AM47" s="4">
        <f t="shared" si="35"/>
        <v>0</v>
      </c>
      <c r="AN47" s="14">
        <f t="shared" si="36"/>
        <v>503.24500000000006</v>
      </c>
      <c r="AO47" s="4">
        <f t="shared" si="37"/>
        <v>5.5240944017563125</v>
      </c>
      <c r="AP47" s="3">
        <f>'[13]3DNAICS'!AX333</f>
        <v>522</v>
      </c>
      <c r="AR47" s="117">
        <f t="shared" si="38"/>
        <v>1.0976948408342481E-3</v>
      </c>
      <c r="AS47" s="117">
        <f t="shared" si="26"/>
        <v>2.1953896816684963E-2</v>
      </c>
      <c r="AT47" s="117">
        <f t="shared" si="27"/>
        <v>0.9001097694840835</v>
      </c>
      <c r="AU47" s="117">
        <f t="shared" si="28"/>
        <v>2.1953896816684963E-2</v>
      </c>
      <c r="AV47" s="117">
        <f t="shared" si="29"/>
        <v>1.0976948408342482E-2</v>
      </c>
      <c r="AW47" s="117">
        <f t="shared" si="30"/>
        <v>0</v>
      </c>
      <c r="AX47" s="117">
        <f t="shared" si="31"/>
        <v>4.3907793633369926E-2</v>
      </c>
      <c r="AY47">
        <f t="shared" si="39"/>
        <v>1</v>
      </c>
    </row>
    <row r="48" spans="2:51" ht="15" x14ac:dyDescent="0.25">
      <c r="B48" s="6" t="s">
        <v>42</v>
      </c>
      <c r="C48" s="7" t="s">
        <v>43</v>
      </c>
      <c r="D48" s="14">
        <f>'[10]Table 4.2'!C130</f>
        <v>200</v>
      </c>
      <c r="E48" s="14">
        <f>'[10]Table 4.2'!D130</f>
        <v>131</v>
      </c>
      <c r="F48" s="14">
        <f>'[10]Table 4.2'!E130</f>
        <v>1</v>
      </c>
      <c r="G48" s="14">
        <f>'[10]Table 4.2'!F130</f>
        <v>1</v>
      </c>
      <c r="H48" s="14">
        <f>'[10]Table 4.2'!G130</f>
        <v>65</v>
      </c>
      <c r="I48" s="29">
        <v>0.1</v>
      </c>
      <c r="J48" s="14">
        <f>'[10]Table 4.2'!I130</f>
        <v>0.1</v>
      </c>
      <c r="K48" s="14">
        <f>'[10]Table 4.2'!J130</f>
        <v>0</v>
      </c>
      <c r="L48" s="14">
        <f>'[10]Table 4.2'!K130</f>
        <v>2</v>
      </c>
      <c r="M48" s="14">
        <v>69.2</v>
      </c>
      <c r="N48" s="14">
        <f>'[10]Table 4.2'!M130</f>
        <v>69</v>
      </c>
      <c r="O48" s="14"/>
      <c r="P48" s="14"/>
      <c r="R48" s="4">
        <f>'[11]Table 7.2'!AT133</f>
        <v>18.47</v>
      </c>
      <c r="S48" s="4">
        <f>'[11]Table 7.2'!AV133</f>
        <v>4.97</v>
      </c>
      <c r="T48" s="4">
        <f>'[11]Table 7.2'!AU133</f>
        <v>6.88</v>
      </c>
      <c r="U48" s="4">
        <f>'[11]Table 7.2'!AW133</f>
        <v>5.47</v>
      </c>
      <c r="V48" s="4">
        <f>'[11]Table 7.2'!AX133</f>
        <v>9.4700000000000006</v>
      </c>
      <c r="W48" s="4">
        <f>'[11]Table 7.2'!AY133</f>
        <v>3.11</v>
      </c>
      <c r="X48" s="4">
        <f>'[11]Table 7.2'!AZ133</f>
        <v>0</v>
      </c>
      <c r="Y48" s="4">
        <f>'[12]Table 7.6'!O105</f>
        <v>0.42201834862385323</v>
      </c>
      <c r="Z48" s="4"/>
      <c r="AH48" t="str">
        <f t="shared" si="32"/>
        <v>334</v>
      </c>
      <c r="AI48" s="9" t="str">
        <f t="shared" si="33"/>
        <v>Computer and Electronic Products</v>
      </c>
      <c r="AJ48" s="4">
        <f>'[6]Table 7.6'!BG62</f>
        <v>0</v>
      </c>
      <c r="AK48" s="4">
        <f>'[6]Table 7.6'!BH62</f>
        <v>0</v>
      </c>
      <c r="AL48">
        <f t="shared" si="34"/>
        <v>2419.5699999999997</v>
      </c>
      <c r="AM48" s="4">
        <f t="shared" si="35"/>
        <v>0</v>
      </c>
      <c r="AN48" s="14">
        <f t="shared" si="36"/>
        <v>369.50203669724772</v>
      </c>
      <c r="AO48" s="4">
        <f t="shared" si="37"/>
        <v>5.3396248077636947</v>
      </c>
      <c r="AP48" s="3">
        <f>'[13]3DNAICS'!AX334</f>
        <v>418</v>
      </c>
      <c r="AR48" s="117">
        <f t="shared" si="38"/>
        <v>1.4450867052023121E-2</v>
      </c>
      <c r="AS48" s="117">
        <f t="shared" si="26"/>
        <v>1.4450867052023121E-2</v>
      </c>
      <c r="AT48" s="117">
        <f t="shared" si="27"/>
        <v>0.93930635838150289</v>
      </c>
      <c r="AU48" s="117">
        <f t="shared" si="28"/>
        <v>1.4450867052023121E-3</v>
      </c>
      <c r="AV48" s="117">
        <f t="shared" si="29"/>
        <v>1.4450867052023121E-3</v>
      </c>
      <c r="AW48" s="117">
        <f t="shared" si="30"/>
        <v>0</v>
      </c>
      <c r="AX48" s="117">
        <f t="shared" si="31"/>
        <v>2.8901734104046242E-2</v>
      </c>
      <c r="AY48">
        <f t="shared" si="39"/>
        <v>1</v>
      </c>
    </row>
    <row r="49" spans="2:51" ht="15" x14ac:dyDescent="0.25">
      <c r="B49" s="6" t="s">
        <v>44</v>
      </c>
      <c r="C49" s="7" t="s">
        <v>45</v>
      </c>
      <c r="D49" s="14">
        <f>'[10]Table 4.2'!C131</f>
        <v>103</v>
      </c>
      <c r="E49" s="14">
        <f>'[10]Table 4.2'!D131</f>
        <v>47</v>
      </c>
      <c r="F49" s="14">
        <f>'[10]Table 4.2'!E131</f>
        <v>0.1</v>
      </c>
      <c r="G49" s="14">
        <f>'[10]Table 4.2'!F131</f>
        <v>1</v>
      </c>
      <c r="H49" s="14">
        <f>'[10]Table 4.2'!G131</f>
        <v>53</v>
      </c>
      <c r="I49" s="14">
        <f>'[10]Table 4.2'!H131</f>
        <v>1</v>
      </c>
      <c r="J49" s="14">
        <f>'[10]Table 4.2'!I131</f>
        <v>0.1</v>
      </c>
      <c r="K49" s="14">
        <f>'[10]Table 4.2'!J131</f>
        <v>0</v>
      </c>
      <c r="L49" s="14">
        <f>'[10]Table 4.2'!K131</f>
        <v>1</v>
      </c>
      <c r="M49" s="14">
        <f>'[10]Table 4.2'!L131</f>
        <v>56.2</v>
      </c>
      <c r="N49" s="14">
        <f>'[10]Table 4.2'!M131</f>
        <v>56</v>
      </c>
      <c r="O49" s="14"/>
      <c r="P49" s="14"/>
      <c r="R49" s="4">
        <f>'[11]Table 7.2'!AT134</f>
        <v>18</v>
      </c>
      <c r="S49" s="4">
        <f>'[11]Table 7.2'!AV134</f>
        <v>4.5999999999999996</v>
      </c>
      <c r="T49" s="4">
        <f>'[11]Table 7.2'!AU134</f>
        <v>6.73</v>
      </c>
      <c r="U49" s="4">
        <f>'[11]Table 7.2'!AW134</f>
        <v>4.9000000000000004</v>
      </c>
      <c r="V49" s="4">
        <f>'[11]Table 7.2'!AX134</f>
        <v>10.87</v>
      </c>
      <c r="W49" s="4">
        <f>'[11]Table 7.2'!AY134</f>
        <v>33.57</v>
      </c>
      <c r="X49" s="4">
        <f>'[11]Table 7.2'!AZ134</f>
        <v>0</v>
      </c>
      <c r="Y49" s="4">
        <f>'[12]Table 7.6'!O106</f>
        <v>2.5</v>
      </c>
      <c r="Z49" s="4"/>
      <c r="AH49" t="str">
        <f t="shared" si="32"/>
        <v>335</v>
      </c>
      <c r="AI49" s="9" t="str">
        <f t="shared" si="33"/>
        <v>Electrical Equip., Appliances, and Components</v>
      </c>
      <c r="AJ49" s="4">
        <f>'[6]Table 7.6'!BG63</f>
        <v>0</v>
      </c>
      <c r="AK49" s="4">
        <f>'[6]Table 7.6'!BH63</f>
        <v>0</v>
      </c>
      <c r="AL49">
        <f t="shared" si="34"/>
        <v>846</v>
      </c>
      <c r="AM49" s="4">
        <f t="shared" si="35"/>
        <v>0</v>
      </c>
      <c r="AN49" s="14">
        <f t="shared" si="36"/>
        <v>283.61700000000008</v>
      </c>
      <c r="AO49" s="4">
        <f t="shared" si="37"/>
        <v>5.0465658362989334</v>
      </c>
      <c r="AP49" s="3">
        <f>'[13]3DNAICS'!AX335</f>
        <v>409</v>
      </c>
      <c r="AR49" s="117">
        <f t="shared" si="38"/>
        <v>1.7793594306049821E-3</v>
      </c>
      <c r="AS49" s="117">
        <f t="shared" si="26"/>
        <v>1.779359430604982E-2</v>
      </c>
      <c r="AT49" s="117">
        <f t="shared" si="27"/>
        <v>0.94306049822064053</v>
      </c>
      <c r="AU49" s="117">
        <f t="shared" si="28"/>
        <v>1.779359430604982E-2</v>
      </c>
      <c r="AV49" s="117">
        <f t="shared" si="29"/>
        <v>1.7793594306049821E-3</v>
      </c>
      <c r="AW49" s="117">
        <f t="shared" si="30"/>
        <v>0</v>
      </c>
      <c r="AX49" s="117">
        <f t="shared" si="31"/>
        <v>1.779359430604982E-2</v>
      </c>
      <c r="AY49">
        <f t="shared" si="39"/>
        <v>1</v>
      </c>
    </row>
    <row r="50" spans="2:51" ht="15" x14ac:dyDescent="0.25">
      <c r="B50" s="6" t="s">
        <v>46</v>
      </c>
      <c r="C50" s="7" t="s">
        <v>47</v>
      </c>
      <c r="D50" s="14">
        <f>'[10]Table 4.2'!C132</f>
        <v>422</v>
      </c>
      <c r="E50" s="14">
        <f>'[10]Table 4.2'!D132</f>
        <v>173</v>
      </c>
      <c r="F50" s="14">
        <f>'[10]Table 4.2'!E132</f>
        <v>6</v>
      </c>
      <c r="G50" s="14">
        <f>'[10]Table 4.2'!F132</f>
        <v>3</v>
      </c>
      <c r="H50" s="14">
        <f>'[10]Table 4.2'!G132</f>
        <v>203</v>
      </c>
      <c r="I50" s="14">
        <f>'[10]Table 4.2'!H132</f>
        <v>4</v>
      </c>
      <c r="J50" s="14">
        <f>'[10]Table 4.2'!I132</f>
        <v>8</v>
      </c>
      <c r="K50" s="14">
        <f>'[10]Table 4.2'!J132</f>
        <v>0</v>
      </c>
      <c r="L50" s="14">
        <f>'[10]Table 4.2'!K132</f>
        <v>27</v>
      </c>
      <c r="M50" s="14">
        <f>'[10]Table 4.2'!L132</f>
        <v>251</v>
      </c>
      <c r="N50" s="14">
        <f>'[10]Table 4.2'!M132</f>
        <v>249</v>
      </c>
      <c r="O50" s="14"/>
      <c r="P50" s="14"/>
      <c r="R50" s="4">
        <f>'[11]Table 7.2'!AT135</f>
        <v>18</v>
      </c>
      <c r="S50" s="4">
        <f>'[11]Table 7.2'!AV135</f>
        <v>4.24</v>
      </c>
      <c r="T50" s="4">
        <f>'[11]Table 7.2'!AU135</f>
        <v>7.73</v>
      </c>
      <c r="U50" s="4">
        <f>'[11]Table 7.2'!AW135</f>
        <v>4.26</v>
      </c>
      <c r="V50" s="4">
        <f>'[11]Table 7.2'!AX135</f>
        <v>9.44</v>
      </c>
      <c r="W50" s="4">
        <f>'[11]Table 7.2'!AY135</f>
        <v>2.2599999999999998</v>
      </c>
      <c r="X50" s="4">
        <f>'[11]Table 7.2'!AZ135</f>
        <v>4.5</v>
      </c>
      <c r="Y50" s="4">
        <f>'[12]Table 7.6'!O107</f>
        <v>3.5161290322580645</v>
      </c>
      <c r="Z50" s="4"/>
      <c r="AH50" t="str">
        <f t="shared" si="32"/>
        <v>336</v>
      </c>
      <c r="AI50" s="9" t="str">
        <f t="shared" si="33"/>
        <v>Transportation Equipment</v>
      </c>
      <c r="AJ50" s="4">
        <f>'[6]Table 7.6'!BG64</f>
        <v>0</v>
      </c>
      <c r="AK50" s="4">
        <f>'[6]Table 7.6'!BH64</f>
        <v>0</v>
      </c>
      <c r="AL50">
        <f t="shared" si="34"/>
        <v>3114</v>
      </c>
      <c r="AM50" s="4">
        <f t="shared" si="35"/>
        <v>0</v>
      </c>
      <c r="AN50" s="14">
        <f t="shared" si="36"/>
        <v>1064.1854838709678</v>
      </c>
      <c r="AO50" s="4">
        <f t="shared" si="37"/>
        <v>4.2397828042668042</v>
      </c>
      <c r="AP50" s="3">
        <f>'[13]3DNAICS'!AX336</f>
        <v>1092</v>
      </c>
      <c r="AR50" s="117">
        <f t="shared" si="38"/>
        <v>2.3904382470119521E-2</v>
      </c>
      <c r="AS50" s="117">
        <f t="shared" si="26"/>
        <v>1.1952191235059761E-2</v>
      </c>
      <c r="AT50" s="117">
        <f t="shared" si="27"/>
        <v>0.80876494023904377</v>
      </c>
      <c r="AU50" s="117">
        <f t="shared" si="28"/>
        <v>1.5936254980079681E-2</v>
      </c>
      <c r="AV50" s="117">
        <f t="shared" si="29"/>
        <v>3.1872509960159362E-2</v>
      </c>
      <c r="AW50" s="117">
        <f t="shared" si="30"/>
        <v>0</v>
      </c>
      <c r="AX50" s="117">
        <f t="shared" si="31"/>
        <v>0.10756972111553785</v>
      </c>
      <c r="AY50">
        <f t="shared" si="39"/>
        <v>0.99999999999999989</v>
      </c>
    </row>
    <row r="51" spans="2:51" ht="15" x14ac:dyDescent="0.25">
      <c r="B51" s="6" t="s">
        <v>48</v>
      </c>
      <c r="C51" s="7" t="s">
        <v>49</v>
      </c>
      <c r="D51" s="14">
        <f>'[10]Table 4.2'!C133</f>
        <v>55</v>
      </c>
      <c r="E51" s="14">
        <f>'[10]Table 4.2'!D133</f>
        <v>24</v>
      </c>
      <c r="F51" s="14">
        <f>'[10]Table 4.2'!E133</f>
        <v>0.5</v>
      </c>
      <c r="G51" s="14">
        <f>'[10]Table 4.2'!F133</f>
        <v>1</v>
      </c>
      <c r="H51" s="14">
        <f>'[10]Table 4.2'!G133</f>
        <v>25</v>
      </c>
      <c r="I51" s="14">
        <f>'[10]Table 4.2'!H133</f>
        <v>1</v>
      </c>
      <c r="J51" s="14">
        <f>'[10]Table 4.2'!I133</f>
        <v>1</v>
      </c>
      <c r="K51" s="14">
        <f>'[10]Table 4.2'!J133</f>
        <v>0</v>
      </c>
      <c r="L51" s="14">
        <f>'[10]Table 4.2'!K133</f>
        <v>2</v>
      </c>
      <c r="M51" s="14">
        <f>'[10]Table 4.2'!L133</f>
        <v>30.5</v>
      </c>
      <c r="N51" s="14">
        <f>'[10]Table 4.2'!M133</f>
        <v>31</v>
      </c>
      <c r="O51" s="14"/>
      <c r="P51" s="14"/>
      <c r="R51" s="4">
        <f>'[11]Table 7.2'!AT136</f>
        <v>20.48</v>
      </c>
      <c r="S51" s="4">
        <f>'[11]Table 7.2'!AV136</f>
        <v>4</v>
      </c>
      <c r="T51" s="4">
        <f>'[11]Table 7.2'!AU136</f>
        <v>8.2200000000000006</v>
      </c>
      <c r="U51" s="4">
        <f>'[11]Table 7.2'!AW136</f>
        <v>5.15</v>
      </c>
      <c r="V51" s="4">
        <f>'[11]Table 7.2'!AX136</f>
        <v>10.220000000000001</v>
      </c>
      <c r="W51" s="4">
        <f>'[11]Table 7.2'!AY136</f>
        <v>2.6</v>
      </c>
      <c r="X51" s="4">
        <f>'[11]Table 7.2'!AZ136</f>
        <v>0</v>
      </c>
      <c r="Y51" s="4">
        <f>'[12]Table 7.6'!O108</f>
        <v>2</v>
      </c>
      <c r="Z51" s="4"/>
      <c r="AH51" t="str">
        <f t="shared" si="32"/>
        <v>337</v>
      </c>
      <c r="AI51" s="9" t="str">
        <f t="shared" si="33"/>
        <v>Furniture and Related Products</v>
      </c>
      <c r="AJ51" s="4">
        <f>'[6]Table 7.6'!BG65</f>
        <v>0</v>
      </c>
      <c r="AK51" s="4">
        <f>'[6]Table 7.6'!BH65</f>
        <v>0</v>
      </c>
      <c r="AL51">
        <f t="shared" si="34"/>
        <v>491.52</v>
      </c>
      <c r="AM51" s="4">
        <f t="shared" si="35"/>
        <v>0</v>
      </c>
      <c r="AN51" s="14">
        <f t="shared" si="36"/>
        <v>155.79</v>
      </c>
      <c r="AO51" s="4">
        <f t="shared" si="37"/>
        <v>5.1078688524590161</v>
      </c>
      <c r="AP51" s="3">
        <f>'[13]3DNAICS'!AX337</f>
        <v>156</v>
      </c>
      <c r="AR51" s="117">
        <f t="shared" si="38"/>
        <v>1.6393442622950821E-2</v>
      </c>
      <c r="AS51" s="117">
        <f t="shared" si="26"/>
        <v>3.2786885245901641E-2</v>
      </c>
      <c r="AT51" s="117">
        <f t="shared" si="27"/>
        <v>0.81967213114754101</v>
      </c>
      <c r="AU51" s="117">
        <f t="shared" si="28"/>
        <v>3.2786885245901641E-2</v>
      </c>
      <c r="AV51" s="117">
        <f t="shared" si="29"/>
        <v>3.2786885245901641E-2</v>
      </c>
      <c r="AW51" s="117">
        <f t="shared" si="30"/>
        <v>0</v>
      </c>
      <c r="AX51" s="117">
        <f t="shared" si="31"/>
        <v>6.5573770491803282E-2</v>
      </c>
      <c r="AY51">
        <f t="shared" si="39"/>
        <v>1.0000000000000002</v>
      </c>
    </row>
    <row r="52" spans="2:51" ht="15" x14ac:dyDescent="0.25">
      <c r="B52" s="6" t="s">
        <v>50</v>
      </c>
      <c r="C52" s="7" t="s">
        <v>51</v>
      </c>
      <c r="D52" s="14">
        <f>'[10]Table 4.2'!C134</f>
        <v>71</v>
      </c>
      <c r="E52" s="14">
        <f>'[10]Table 4.2'!D134</f>
        <v>35</v>
      </c>
      <c r="F52" s="14">
        <f>'[10]Table 4.2'!E134</f>
        <v>0.5</v>
      </c>
      <c r="G52" s="14">
        <f>'[10]Table 4.2'!F134</f>
        <v>0.5</v>
      </c>
      <c r="H52" s="14">
        <f>'[10]Table 4.2'!G134</f>
        <v>32</v>
      </c>
      <c r="I52" s="14">
        <f>'[10]Table 4.2'!H134</f>
        <v>1</v>
      </c>
      <c r="J52" s="14">
        <f>'[10]Table 4.2'!I134</f>
        <v>0</v>
      </c>
      <c r="K52" s="14">
        <f>'[10]Table 4.2'!J134</f>
        <v>0</v>
      </c>
      <c r="L52" s="14">
        <f>'[10]Table 4.2'!K134</f>
        <v>2</v>
      </c>
      <c r="M52" s="14">
        <f>'[10]Table 4.2'!L134</f>
        <v>36</v>
      </c>
      <c r="N52" s="14">
        <f>'[10]Table 4.2'!M134</f>
        <v>36</v>
      </c>
      <c r="O52" s="14"/>
      <c r="P52" s="14"/>
      <c r="R52" s="4">
        <f>'[11]Table 7.2'!AT137</f>
        <v>20.89</v>
      </c>
      <c r="S52" s="4">
        <f>'[11]Table 7.2'!AV137</f>
        <v>4</v>
      </c>
      <c r="T52" s="4">
        <f>'[11]Table 7.2'!AU137</f>
        <v>7.07</v>
      </c>
      <c r="U52" s="4">
        <f>'[11]Table 7.2'!AW137</f>
        <v>5.07</v>
      </c>
      <c r="V52" s="4">
        <f>'[11]Table 7.2'!AX137</f>
        <v>12.17</v>
      </c>
      <c r="W52" s="4">
        <f>'[11]Table 7.2'!AY137</f>
        <v>0</v>
      </c>
      <c r="X52" s="4">
        <f>'[11]Table 7.2'!AZ137</f>
        <v>0</v>
      </c>
      <c r="Y52" s="4">
        <f>'[12]Table 7.6'!O109</f>
        <v>0</v>
      </c>
      <c r="Z52" s="4"/>
      <c r="AH52" t="str">
        <f t="shared" si="32"/>
        <v>339</v>
      </c>
      <c r="AI52" s="9" t="str">
        <f t="shared" si="33"/>
        <v>Miscellaneous</v>
      </c>
      <c r="AJ52" s="4">
        <f>'[6]Table 7.6'!BG66</f>
        <v>0</v>
      </c>
      <c r="AK52" s="4">
        <f>'[6]Table 7.6'!BH66</f>
        <v>0</v>
      </c>
      <c r="AL52">
        <f t="shared" si="34"/>
        <v>731.15</v>
      </c>
      <c r="AM52" s="4">
        <f t="shared" si="35"/>
        <v>0</v>
      </c>
      <c r="AN52" s="14">
        <f t="shared" si="36"/>
        <v>179.94499999999999</v>
      </c>
      <c r="AO52" s="4">
        <f t="shared" si="37"/>
        <v>4.9984722222222224</v>
      </c>
      <c r="AP52" s="3">
        <f>'[13]3DNAICS'!AX338</f>
        <v>198</v>
      </c>
      <c r="AR52" s="117">
        <f t="shared" si="38"/>
        <v>1.3888888888888888E-2</v>
      </c>
      <c r="AS52" s="117">
        <f t="shared" si="26"/>
        <v>1.3888888888888888E-2</v>
      </c>
      <c r="AT52" s="117">
        <f t="shared" si="27"/>
        <v>0.88888888888888884</v>
      </c>
      <c r="AU52" s="117">
        <f t="shared" si="28"/>
        <v>2.7777777777777776E-2</v>
      </c>
      <c r="AV52" s="117">
        <f t="shared" si="29"/>
        <v>0</v>
      </c>
      <c r="AW52" s="117">
        <f t="shared" si="30"/>
        <v>0</v>
      </c>
      <c r="AX52" s="117">
        <f t="shared" si="31"/>
        <v>5.5555555555555552E-2</v>
      </c>
      <c r="AY52">
        <f t="shared" si="39"/>
        <v>1</v>
      </c>
    </row>
    <row r="53" spans="2:51" ht="15" x14ac:dyDescent="0.25">
      <c r="B53" s="6"/>
      <c r="C53" s="8" t="s">
        <v>0</v>
      </c>
      <c r="D53" s="14">
        <f>'[10]Table 4.2'!C135</f>
        <v>11973</v>
      </c>
      <c r="E53" s="14">
        <f>'[10]Table 4.2'!D135</f>
        <v>2917</v>
      </c>
      <c r="F53" s="14">
        <f>'[10]Table 4.2'!E135</f>
        <v>200</v>
      </c>
      <c r="G53" s="14">
        <f>'[10]Table 4.2'!F135</f>
        <v>138</v>
      </c>
      <c r="H53" s="14">
        <f>'[10]Table 4.2'!G135</f>
        <v>5790</v>
      </c>
      <c r="I53" s="14">
        <f>'[10]Table 4.2'!H135</f>
        <v>84</v>
      </c>
      <c r="J53" s="14">
        <f>'[10]Table 4.2'!I135</f>
        <v>1182</v>
      </c>
      <c r="K53" s="14">
        <f>'[10]Table 4.2'!J135</f>
        <v>362</v>
      </c>
      <c r="L53" s="14">
        <f>'[10]Table 4.2'!K135</f>
        <v>1302</v>
      </c>
      <c r="M53" s="14">
        <f>'[10]Table 4.2'!L135</f>
        <v>9058</v>
      </c>
      <c r="N53" s="14">
        <f>'[10]Table 4.2'!M135</f>
        <v>9056</v>
      </c>
      <c r="O53" s="14"/>
      <c r="P53" s="14"/>
      <c r="R53" s="4">
        <f>'[11]Table 7.2'!AT138</f>
        <v>14.13</v>
      </c>
      <c r="S53" s="4">
        <f>'[11]Table 7.2'!AV138</f>
        <v>3.78</v>
      </c>
      <c r="T53" s="4">
        <f>'[11]Table 7.2'!AU138</f>
        <v>6.56</v>
      </c>
      <c r="U53" s="4">
        <f>'[11]Table 7.2'!AW138</f>
        <v>3.9</v>
      </c>
      <c r="V53" s="4">
        <f>'[11]Table 7.2'!AX138</f>
        <v>5.84</v>
      </c>
      <c r="W53" s="4">
        <f>'[11]Table 7.2'!AY138</f>
        <v>1.87</v>
      </c>
      <c r="X53" s="4">
        <f>'[11]Table 7.2'!AZ138</f>
        <v>4.58</v>
      </c>
      <c r="Y53" s="4">
        <f>'[12]Table 7.6'!O110</f>
        <v>2.4974874371859297</v>
      </c>
      <c r="Z53" s="4"/>
      <c r="AN53" s="14"/>
    </row>
    <row r="54" spans="2:51" ht="15" x14ac:dyDescent="0.25">
      <c r="B54" s="6"/>
      <c r="C54" s="8" t="s">
        <v>52</v>
      </c>
      <c r="D54" s="14">
        <f>'[10]Table 4.2'!C136</f>
        <v>11973</v>
      </c>
      <c r="E54" s="14">
        <f>'[10]Table 4.2'!D136</f>
        <v>2917</v>
      </c>
      <c r="F54" s="14">
        <f>'[10]Table 4.2'!E136</f>
        <v>199.7</v>
      </c>
      <c r="G54" s="14">
        <f>'[10]Table 4.2'!F136</f>
        <v>137.6</v>
      </c>
      <c r="H54" s="14">
        <f>'[10]Table 4.2'!G136</f>
        <v>5790</v>
      </c>
      <c r="I54" s="14">
        <f>'[10]Table 4.2'!H136</f>
        <v>84.2</v>
      </c>
      <c r="J54" s="14">
        <f>'[10]Table 4.2'!I136</f>
        <v>1182.1999999999998</v>
      </c>
      <c r="K54" s="14">
        <f>'[10]Table 4.2'!J136</f>
        <v>362.1</v>
      </c>
      <c r="L54" s="14">
        <f>'[10]Table 4.2'!K136</f>
        <v>1302.2</v>
      </c>
      <c r="M54" s="14">
        <f>'[10]Table 4.2'!L136</f>
        <v>9058</v>
      </c>
      <c r="N54" s="14">
        <f>'[10]Table 4.2'!M136</f>
        <v>9056</v>
      </c>
      <c r="O54" s="14"/>
      <c r="P54" s="14"/>
      <c r="AN54" s="14"/>
    </row>
    <row r="55" spans="2:51" x14ac:dyDescent="0.2">
      <c r="AN55" s="14"/>
    </row>
    <row r="56" spans="2:51" x14ac:dyDescent="0.2">
      <c r="AN56" s="14"/>
    </row>
    <row r="57" spans="2:51" x14ac:dyDescent="0.2">
      <c r="AN57" s="14"/>
    </row>
    <row r="58" spans="2:51" x14ac:dyDescent="0.2">
      <c r="AN58" s="14"/>
    </row>
    <row r="59" spans="2:51" x14ac:dyDescent="0.2">
      <c r="R59" t="s">
        <v>79</v>
      </c>
      <c r="U59" t="s">
        <v>81</v>
      </c>
      <c r="AN59" s="14"/>
    </row>
    <row r="60" spans="2:51" ht="25.5" x14ac:dyDescent="0.2">
      <c r="B60" s="13">
        <v>2006</v>
      </c>
      <c r="C60" t="s">
        <v>133</v>
      </c>
      <c r="F60" t="s">
        <v>53</v>
      </c>
      <c r="G60" t="s">
        <v>54</v>
      </c>
      <c r="I60" t="s">
        <v>55</v>
      </c>
      <c r="K60" t="s">
        <v>56</v>
      </c>
      <c r="R60" s="13">
        <v>2006</v>
      </c>
      <c r="AN60" s="14"/>
      <c r="AR60" s="11" t="s">
        <v>85</v>
      </c>
      <c r="AS60">
        <v>2006</v>
      </c>
    </row>
    <row r="61" spans="2:51" ht="51" x14ac:dyDescent="0.2">
      <c r="D61" t="s">
        <v>0</v>
      </c>
      <c r="E61" t="s">
        <v>57</v>
      </c>
      <c r="F61" t="s">
        <v>58</v>
      </c>
      <c r="G61" t="s">
        <v>59</v>
      </c>
      <c r="H61" t="s">
        <v>60</v>
      </c>
      <c r="I61" t="s">
        <v>61</v>
      </c>
      <c r="J61" t="s">
        <v>62</v>
      </c>
      <c r="K61" t="s">
        <v>63</v>
      </c>
      <c r="L61" t="s">
        <v>64</v>
      </c>
      <c r="M61" t="s">
        <v>65</v>
      </c>
      <c r="N61" t="s">
        <v>66</v>
      </c>
      <c r="R61" t="s">
        <v>2</v>
      </c>
      <c r="S61" t="s">
        <v>53</v>
      </c>
      <c r="T61" t="s">
        <v>54</v>
      </c>
      <c r="U61" t="s">
        <v>67</v>
      </c>
      <c r="V61" t="s">
        <v>68</v>
      </c>
      <c r="W61" t="s">
        <v>71</v>
      </c>
      <c r="X61" t="s">
        <v>56</v>
      </c>
      <c r="Y61" t="s">
        <v>69</v>
      </c>
      <c r="AB61" s="40" t="s">
        <v>129</v>
      </c>
      <c r="AC61" s="40"/>
      <c r="AD61" s="40" t="s">
        <v>132</v>
      </c>
      <c r="AE61" s="40" t="s">
        <v>128</v>
      </c>
      <c r="AF61" s="40" t="s">
        <v>130</v>
      </c>
      <c r="AJ61" s="11" t="s">
        <v>76</v>
      </c>
      <c r="AK61" s="11" t="s">
        <v>72</v>
      </c>
      <c r="AL61" s="11" t="s">
        <v>73</v>
      </c>
      <c r="AM61" s="11" t="s">
        <v>74</v>
      </c>
      <c r="AN61" s="18" t="s">
        <v>75</v>
      </c>
      <c r="AO61" s="11" t="s">
        <v>77</v>
      </c>
      <c r="AR61" t="s">
        <v>54</v>
      </c>
      <c r="AS61" t="s">
        <v>53</v>
      </c>
      <c r="AT61" t="s">
        <v>67</v>
      </c>
      <c r="AU61" t="s">
        <v>68</v>
      </c>
      <c r="AV61" t="s">
        <v>71</v>
      </c>
      <c r="AW61" t="s">
        <v>56</v>
      </c>
      <c r="AX61" t="s">
        <v>69</v>
      </c>
      <c r="AY61" t="s">
        <v>86</v>
      </c>
    </row>
    <row r="62" spans="2:51" ht="15" x14ac:dyDescent="0.25">
      <c r="B62" s="6" t="s">
        <v>10</v>
      </c>
      <c r="C62" s="7" t="s">
        <v>11</v>
      </c>
      <c r="D62" s="15">
        <f>'[14]Table 4.2'!T125</f>
        <v>1124</v>
      </c>
      <c r="E62" s="16">
        <f>'[14]Table 4.2'!U125</f>
        <v>251</v>
      </c>
      <c r="F62" s="16">
        <f>'[14]Table 4.2'!V125</f>
        <v>26</v>
      </c>
      <c r="G62" s="16">
        <f>'[14]Table 4.2'!W125</f>
        <v>16</v>
      </c>
      <c r="H62" s="16">
        <f>'[14]Table 4.2'!X125</f>
        <v>635</v>
      </c>
      <c r="I62" s="16">
        <f>'[14]Table 4.2'!Y125</f>
        <v>3</v>
      </c>
      <c r="J62" s="16">
        <f>'[14]Table 4.2'!Z125</f>
        <v>147</v>
      </c>
      <c r="K62" s="16">
        <f>'[14]Table 4.2'!AA125</f>
        <v>1</v>
      </c>
      <c r="L62" s="16">
        <f>'[14]Table 4.2'!AB125</f>
        <v>45</v>
      </c>
      <c r="M62" s="16">
        <f>'[14]Table 4.2'!AC125</f>
        <v>873</v>
      </c>
      <c r="N62" s="16">
        <f>'[14]Table 4.2'!AD125</f>
        <v>873</v>
      </c>
      <c r="O62" s="16"/>
      <c r="P62" s="16"/>
      <c r="R62" s="2">
        <f>'[15]Table 7.2'!AS127</f>
        <v>18.78</v>
      </c>
      <c r="S62" s="10">
        <f>'[15]Table 7.2'!AU127</f>
        <v>8</v>
      </c>
      <c r="T62" s="2">
        <f>'[15]Table 7.2'!AT127</f>
        <v>17.170000000000002</v>
      </c>
      <c r="U62" s="2">
        <f>'[15]Table 7.2'!AV127</f>
        <v>7.54</v>
      </c>
      <c r="V62" s="2">
        <f>'[15]Table 7.2'!AW127</f>
        <v>17.13</v>
      </c>
      <c r="W62" s="2">
        <f>'[15]Table 7.2'!AX127</f>
        <v>1.93</v>
      </c>
      <c r="X62" s="2">
        <f>'[15]Table 7.2'!AY127</f>
        <v>10.37</v>
      </c>
      <c r="Y62" s="4">
        <f>'[16]Table 7.6'!O99</f>
        <v>3.081967213114754</v>
      </c>
      <c r="Z62" s="4"/>
      <c r="AB62" s="51">
        <f>'[17]Table 7.6'!C99</f>
        <v>13570</v>
      </c>
      <c r="AC62" s="51">
        <f>'[17]Table 7.6'!D99</f>
        <v>735520</v>
      </c>
      <c r="AD62" s="14">
        <f>AB62-(0.003412*AC62)</f>
        <v>11060.40576</v>
      </c>
      <c r="AE62" s="3">
        <f>'[13]3DNAICS'!AX402</f>
        <v>5673</v>
      </c>
      <c r="AF62" s="52">
        <f>AE62/AD62</f>
        <v>0.51291065835183247</v>
      </c>
      <c r="AG62" s="3"/>
      <c r="AH62" t="str">
        <f>B62</f>
        <v>311</v>
      </c>
      <c r="AI62" s="9" t="str">
        <f>C62</f>
        <v>Food</v>
      </c>
      <c r="AJ62" s="4">
        <f>'[6]Table 7.6'!BG76</f>
        <v>0</v>
      </c>
      <c r="AK62" s="4">
        <f>'[6]Table 7.6'!BH76</f>
        <v>0</v>
      </c>
      <c r="AL62">
        <f>E62*R62</f>
        <v>4713.7800000000007</v>
      </c>
      <c r="AM62" s="4">
        <f>AJ62-AK62</f>
        <v>0</v>
      </c>
      <c r="AN62" s="14">
        <f>SUMPRODUCT(F62:L62,S62:Y62)</f>
        <v>5754.7785245901641</v>
      </c>
      <c r="AO62" s="4">
        <f>AN62/M62</f>
        <v>6.5919570728409669</v>
      </c>
      <c r="AP62" s="3">
        <f>'[13]3DNAICS'!AX402</f>
        <v>5673</v>
      </c>
      <c r="AR62" s="117">
        <f>F62/$M62</f>
        <v>2.9782359679266894E-2</v>
      </c>
      <c r="AS62" s="117">
        <f t="shared" ref="AS62:AS82" si="40">G62/$M62</f>
        <v>1.8327605956471937E-2</v>
      </c>
      <c r="AT62" s="117">
        <f t="shared" ref="AT62:AT82" si="41">H62/$M62</f>
        <v>0.72737686139747992</v>
      </c>
      <c r="AU62" s="117">
        <f t="shared" ref="AU62:AU82" si="42">I62/$M62</f>
        <v>3.4364261168384879E-3</v>
      </c>
      <c r="AV62" s="117">
        <f t="shared" ref="AV62:AV82" si="43">J62/$M62</f>
        <v>0.16838487972508592</v>
      </c>
      <c r="AW62" s="117">
        <f t="shared" ref="AW62:AW82" si="44">K62/$M62</f>
        <v>1.145475372279496E-3</v>
      </c>
      <c r="AX62" s="117">
        <f t="shared" ref="AX62:AX82" si="45">L62/$M62</f>
        <v>5.1546391752577317E-2</v>
      </c>
      <c r="AY62">
        <f>SUM(AR62:AX62)</f>
        <v>1</v>
      </c>
    </row>
    <row r="63" spans="2:51" ht="15" x14ac:dyDescent="0.25">
      <c r="B63" s="6" t="s">
        <v>12</v>
      </c>
      <c r="C63" s="7" t="s">
        <v>13</v>
      </c>
      <c r="D63" s="16">
        <f>'[14]Table 4.2'!T126</f>
        <v>101</v>
      </c>
      <c r="E63" s="16">
        <f>'[14]Table 4.2'!U126</f>
        <v>30</v>
      </c>
      <c r="F63" s="16">
        <f>'[14]Table 4.2'!V126</f>
        <v>3</v>
      </c>
      <c r="G63" s="16">
        <f>'[14]Table 4.2'!W126</f>
        <v>1</v>
      </c>
      <c r="H63" s="16">
        <f>'[14]Table 4.2'!X126</f>
        <v>41</v>
      </c>
      <c r="I63" s="16">
        <f>'[14]Table 4.2'!Y126</f>
        <v>1</v>
      </c>
      <c r="J63" s="16">
        <f>'[14]Table 4.2'!Z126</f>
        <v>20</v>
      </c>
      <c r="K63" s="16">
        <f>'[14]Table 4.2'!AA126</f>
        <v>0</v>
      </c>
      <c r="L63" s="16">
        <f>'[14]Table 4.2'!AB126</f>
        <v>5</v>
      </c>
      <c r="M63" s="16">
        <f>'[14]Table 4.2'!AC126</f>
        <v>71</v>
      </c>
      <c r="N63" s="16">
        <f>'[14]Table 4.2'!AD126</f>
        <v>71</v>
      </c>
      <c r="O63" s="16"/>
      <c r="P63" s="16"/>
      <c r="R63" s="2">
        <f>'[15]Table 7.2'!AS128</f>
        <v>21.98</v>
      </c>
      <c r="S63" s="2">
        <f>'[15]Table 7.2'!AU128</f>
        <v>8.4499999999999993</v>
      </c>
      <c r="T63" s="2">
        <f>'[15]Table 7.2'!AT128</f>
        <v>19.59</v>
      </c>
      <c r="U63" s="2">
        <f>'[15]Table 7.2'!AV128</f>
        <v>9.24</v>
      </c>
      <c r="V63" s="2">
        <f>'[15]Table 7.2'!AW128</f>
        <v>18.39</v>
      </c>
      <c r="W63" s="2">
        <f>'[15]Table 7.2'!AX128</f>
        <v>3.19</v>
      </c>
      <c r="X63" s="2">
        <f>'[15]Table 7.2'!AY128</f>
        <v>0</v>
      </c>
      <c r="Y63" s="4">
        <f>'[16]Table 7.6'!O100</f>
        <v>0</v>
      </c>
      <c r="Z63" s="4"/>
      <c r="AB63" s="51">
        <f>'[17]Table 7.6'!C100</f>
        <v>0</v>
      </c>
      <c r="AC63" s="51">
        <f>'[17]Table 7.6'!D100</f>
        <v>0</v>
      </c>
      <c r="AD63" s="14">
        <f t="shared" ref="AD63:AD83" si="46">AB63-(0.003412*AC63)</f>
        <v>0</v>
      </c>
      <c r="AE63" s="3">
        <f>'[13]3DNAICS'!AX403</f>
        <v>540</v>
      </c>
      <c r="AF63" s="52" t="e">
        <f t="shared" ref="AF63:AF82" si="47">AE63/AD63</f>
        <v>#DIV/0!</v>
      </c>
      <c r="AG63" s="3"/>
      <c r="AH63" t="str">
        <f t="shared" ref="AH63:AH82" si="48">B63</f>
        <v>312</v>
      </c>
      <c r="AI63" s="9" t="str">
        <f t="shared" ref="AI63:AI82" si="49">C63</f>
        <v>Beverage and Tobacco Products</v>
      </c>
      <c r="AJ63" s="4">
        <f>'[6]Table 7.6'!BG77</f>
        <v>0</v>
      </c>
      <c r="AK63" s="4">
        <f>'[6]Table 7.6'!BH77</f>
        <v>0</v>
      </c>
      <c r="AL63">
        <f t="shared" ref="AL63:AL82" si="50">E63*R63</f>
        <v>659.4</v>
      </c>
      <c r="AM63" s="4">
        <f t="shared" ref="AM63:AM82" si="51">AJ63-AK63</f>
        <v>0</v>
      </c>
      <c r="AN63" s="14">
        <f t="shared" ref="AN63:AN82" si="52">SUMPRODUCT(F63:L63,S63:Y63)</f>
        <v>505.97</v>
      </c>
      <c r="AO63" s="4">
        <f t="shared" ref="AO63:AO82" si="53">AN63/M63</f>
        <v>7.1263380281690143</v>
      </c>
      <c r="AP63" s="3">
        <f>'[13]3DNAICS'!AX403</f>
        <v>540</v>
      </c>
      <c r="AR63" s="117">
        <f t="shared" ref="AR63:AR82" si="54">F63/$M63</f>
        <v>4.2253521126760563E-2</v>
      </c>
      <c r="AS63" s="117">
        <f t="shared" si="40"/>
        <v>1.4084507042253521E-2</v>
      </c>
      <c r="AT63" s="117">
        <f t="shared" si="41"/>
        <v>0.57746478873239437</v>
      </c>
      <c r="AU63" s="117">
        <f t="shared" si="42"/>
        <v>1.4084507042253521E-2</v>
      </c>
      <c r="AV63" s="117">
        <f t="shared" si="43"/>
        <v>0.28169014084507044</v>
      </c>
      <c r="AW63" s="117">
        <f t="shared" si="44"/>
        <v>0</v>
      </c>
      <c r="AX63" s="117">
        <f t="shared" si="45"/>
        <v>7.0422535211267609E-2</v>
      </c>
      <c r="AY63">
        <f t="shared" ref="AY63:AY82" si="55">SUM(AR63:AX63)</f>
        <v>1</v>
      </c>
    </row>
    <row r="64" spans="2:51" ht="15" x14ac:dyDescent="0.25">
      <c r="B64" s="6" t="s">
        <v>14</v>
      </c>
      <c r="C64" s="7" t="s">
        <v>15</v>
      </c>
      <c r="D64" s="16">
        <f>'[14]Table 4.2'!T127</f>
        <v>178</v>
      </c>
      <c r="E64" s="16">
        <f>'[14]Table 4.2'!U127</f>
        <v>66</v>
      </c>
      <c r="F64" s="16">
        <f>'[14]Table 4.2'!V127</f>
        <v>2</v>
      </c>
      <c r="G64" s="16">
        <f>'[14]Table 4.2'!W127</f>
        <v>0.5</v>
      </c>
      <c r="H64" s="16">
        <f>'[14]Table 4.2'!X127</f>
        <v>65</v>
      </c>
      <c r="I64" s="16">
        <f>'[14]Table 4.2'!Y127</f>
        <v>0.1</v>
      </c>
      <c r="J64" s="16">
        <f>'[14]Table 4.2'!Z127</f>
        <v>32</v>
      </c>
      <c r="K64" s="16">
        <f>'[14]Table 4.2'!AA127</f>
        <v>0</v>
      </c>
      <c r="L64" s="16">
        <f>'[14]Table 4.2'!AB127</f>
        <v>12</v>
      </c>
      <c r="M64" s="16">
        <f>'[14]Table 4.2'!AC127</f>
        <v>111.6</v>
      </c>
      <c r="N64" s="16">
        <f>'[14]Table 4.2'!AD127</f>
        <v>112</v>
      </c>
      <c r="O64" s="16"/>
      <c r="P64" s="16"/>
      <c r="R64" s="2">
        <f>'[15]Table 7.2'!AS129</f>
        <v>15.29</v>
      </c>
      <c r="S64" s="2">
        <f>'[15]Table 7.2'!AU129</f>
        <v>8.49</v>
      </c>
      <c r="T64" s="2">
        <f>'[15]Table 7.2'!AT129</f>
        <v>18.440000000000001</v>
      </c>
      <c r="U64" s="2">
        <f>'[15]Table 7.2'!AV129</f>
        <v>8.7799999999999994</v>
      </c>
      <c r="V64" s="2">
        <f>'[15]Table 7.2'!AW129</f>
        <v>20.010000000000002</v>
      </c>
      <c r="W64" s="2">
        <f>'[15]Table 7.2'!AX129</f>
        <v>3.63</v>
      </c>
      <c r="X64" s="2">
        <f>'[15]Table 7.2'!AY129</f>
        <v>0</v>
      </c>
      <c r="Y64" s="4">
        <f>'[16]Table 7.6'!O101</f>
        <v>4.916666666666667</v>
      </c>
      <c r="Z64" s="4"/>
      <c r="AB64" s="51">
        <f>'[17]Table 7.6'!C101</f>
        <v>0</v>
      </c>
      <c r="AC64" s="51">
        <f>'[17]Table 7.6'!D101</f>
        <v>0</v>
      </c>
      <c r="AD64" s="14">
        <f t="shared" si="46"/>
        <v>0</v>
      </c>
      <c r="AE64" s="3">
        <f>'[13]3DNAICS'!AX404</f>
        <v>787</v>
      </c>
      <c r="AF64" s="52" t="e">
        <f t="shared" si="47"/>
        <v>#DIV/0!</v>
      </c>
      <c r="AG64" s="3"/>
      <c r="AH64" t="str">
        <f t="shared" si="48"/>
        <v>313</v>
      </c>
      <c r="AI64" s="9" t="str">
        <f t="shared" si="49"/>
        <v>Textile Mills</v>
      </c>
      <c r="AJ64" s="4">
        <f>'[6]Table 7.6'!BG78</f>
        <v>0</v>
      </c>
      <c r="AK64" s="4">
        <f>'[6]Table 7.6'!BH78</f>
        <v>0</v>
      </c>
      <c r="AL64">
        <f t="shared" si="50"/>
        <v>1009.14</v>
      </c>
      <c r="AM64" s="4">
        <f t="shared" si="51"/>
        <v>0</v>
      </c>
      <c r="AN64" s="14">
        <f t="shared" si="52"/>
        <v>774.06099999999992</v>
      </c>
      <c r="AO64" s="4">
        <f t="shared" si="53"/>
        <v>6.9360304659498206</v>
      </c>
      <c r="AP64" s="3">
        <f>'[13]3DNAICS'!AX404</f>
        <v>787</v>
      </c>
      <c r="AR64" s="117">
        <f t="shared" si="54"/>
        <v>1.7921146953405021E-2</v>
      </c>
      <c r="AS64" s="117">
        <f t="shared" si="40"/>
        <v>4.4802867383512551E-3</v>
      </c>
      <c r="AT64" s="117">
        <f t="shared" si="41"/>
        <v>0.58243727598566308</v>
      </c>
      <c r="AU64" s="117">
        <f t="shared" si="42"/>
        <v>8.96057347670251E-4</v>
      </c>
      <c r="AV64" s="117">
        <f t="shared" si="43"/>
        <v>0.28673835125448033</v>
      </c>
      <c r="AW64" s="117">
        <f t="shared" si="44"/>
        <v>0</v>
      </c>
      <c r="AX64" s="117">
        <f t="shared" si="45"/>
        <v>0.10752688172043011</v>
      </c>
      <c r="AY64">
        <f t="shared" si="55"/>
        <v>1</v>
      </c>
    </row>
    <row r="65" spans="2:51" ht="15" x14ac:dyDescent="0.25">
      <c r="B65" s="6" t="s">
        <v>16</v>
      </c>
      <c r="C65" s="7" t="s">
        <v>17</v>
      </c>
      <c r="D65" s="16">
        <f>'[14]Table 4.2'!T128</f>
        <v>72</v>
      </c>
      <c r="E65" s="16">
        <f>'[14]Table 4.2'!U128</f>
        <v>20</v>
      </c>
      <c r="F65" s="16">
        <f>'[14]Table 4.2'!V128</f>
        <v>1.5</v>
      </c>
      <c r="G65" s="16">
        <f>'[14]Table 4.2'!W128</f>
        <v>0.1</v>
      </c>
      <c r="H65" s="16">
        <f>'[14]Table 4.2'!X128</f>
        <v>46</v>
      </c>
      <c r="I65" s="16">
        <f>'[14]Table 4.2'!Y128</f>
        <v>1</v>
      </c>
      <c r="J65" s="16">
        <f>'[14]Table 4.2'!Z128</f>
        <v>3</v>
      </c>
      <c r="K65" s="16">
        <f>'[14]Table 4.2'!AA128</f>
        <v>0</v>
      </c>
      <c r="L65" s="16">
        <f>'[14]Table 4.2'!AB128</f>
        <v>0.4</v>
      </c>
      <c r="M65" s="16">
        <f>'[14]Table 4.2'!AC128</f>
        <v>52</v>
      </c>
      <c r="N65" s="16">
        <f>'[14]Table 4.2'!AD128</f>
        <v>52</v>
      </c>
      <c r="O65" s="16"/>
      <c r="P65" s="16"/>
      <c r="R65" s="2">
        <f>'[15]Table 7.2'!AS130</f>
        <v>17.010000000000002</v>
      </c>
      <c r="S65" s="10">
        <f>'[15]Table 7.2'!AU130</f>
        <v>8.5</v>
      </c>
      <c r="T65" s="2">
        <f>'[15]Table 7.2'!AT130</f>
        <v>15.42</v>
      </c>
      <c r="U65" s="10">
        <f>'[15]Table 7.2'!AV130</f>
        <v>8.9</v>
      </c>
      <c r="V65" s="10">
        <f>'[15]Table 7.2'!AW130</f>
        <v>19</v>
      </c>
      <c r="W65" s="10">
        <f>'[15]Table 7.2'!AX130</f>
        <v>3.5</v>
      </c>
      <c r="X65" s="2">
        <f>'[15]Table 7.2'!AY130</f>
        <v>0</v>
      </c>
      <c r="Y65" s="4">
        <f>'[16]Table 7.6'!O102</f>
        <v>5</v>
      </c>
      <c r="Z65" s="4"/>
      <c r="AB65" s="51">
        <f>'[17]Table 7.6'!C102</f>
        <v>0</v>
      </c>
      <c r="AC65" s="51">
        <f>'[17]Table 7.6'!D102</f>
        <v>0</v>
      </c>
      <c r="AD65" s="14">
        <f t="shared" si="46"/>
        <v>0</v>
      </c>
      <c r="AE65" s="3">
        <f>'[13]3DNAICS'!AX405</f>
        <v>470</v>
      </c>
      <c r="AF65" s="52" t="e">
        <f t="shared" si="47"/>
        <v>#DIV/0!</v>
      </c>
      <c r="AG65" s="3"/>
      <c r="AH65" t="str">
        <f t="shared" si="48"/>
        <v>314</v>
      </c>
      <c r="AI65" s="9" t="str">
        <f t="shared" si="49"/>
        <v>Textile Product Mills</v>
      </c>
      <c r="AJ65" s="4">
        <f>'[6]Table 7.6'!BG79</f>
        <v>0</v>
      </c>
      <c r="AK65" s="4">
        <f>'[6]Table 7.6'!BH79</f>
        <v>0</v>
      </c>
      <c r="AL65">
        <f t="shared" si="50"/>
        <v>340.20000000000005</v>
      </c>
      <c r="AM65" s="4">
        <f t="shared" si="51"/>
        <v>0</v>
      </c>
      <c r="AN65" s="14">
        <f t="shared" si="52"/>
        <v>455.19200000000001</v>
      </c>
      <c r="AO65" s="4">
        <f t="shared" si="53"/>
        <v>8.7536923076923081</v>
      </c>
      <c r="AP65" s="3">
        <f>'[13]3DNAICS'!AX405</f>
        <v>470</v>
      </c>
      <c r="AR65" s="117">
        <f t="shared" si="54"/>
        <v>2.8846153846153848E-2</v>
      </c>
      <c r="AS65" s="117">
        <f t="shared" si="40"/>
        <v>1.9230769230769232E-3</v>
      </c>
      <c r="AT65" s="117">
        <f t="shared" si="41"/>
        <v>0.88461538461538458</v>
      </c>
      <c r="AU65" s="117">
        <f t="shared" si="42"/>
        <v>1.9230769230769232E-2</v>
      </c>
      <c r="AV65" s="117">
        <f t="shared" si="43"/>
        <v>5.7692307692307696E-2</v>
      </c>
      <c r="AW65" s="117">
        <f t="shared" si="44"/>
        <v>0</v>
      </c>
      <c r="AX65" s="117">
        <f t="shared" si="45"/>
        <v>7.6923076923076927E-3</v>
      </c>
      <c r="AY65">
        <f t="shared" si="55"/>
        <v>1</v>
      </c>
    </row>
    <row r="66" spans="2:51" ht="15" x14ac:dyDescent="0.25">
      <c r="B66" s="6" t="s">
        <v>18</v>
      </c>
      <c r="C66" s="7" t="s">
        <v>19</v>
      </c>
      <c r="D66" s="16">
        <f>'[14]Table 4.2'!T129</f>
        <v>14</v>
      </c>
      <c r="E66" s="16">
        <f>'[14]Table 4.2'!U129</f>
        <v>7</v>
      </c>
      <c r="F66" s="16">
        <f>'[14]Table 4.2'!V129</f>
        <v>0.05</v>
      </c>
      <c r="G66" s="16">
        <f>'[14]Table 4.2'!W129</f>
        <v>0.1</v>
      </c>
      <c r="H66" s="16">
        <f>'[14]Table 4.2'!X129</f>
        <v>7</v>
      </c>
      <c r="I66" s="16">
        <f>'[14]Table 4.2'!Y129</f>
        <v>0.05</v>
      </c>
      <c r="J66" s="16">
        <f>'[14]Table 4.2'!Z129</f>
        <v>0</v>
      </c>
      <c r="K66" s="16">
        <f>'[14]Table 4.2'!AA129</f>
        <v>0</v>
      </c>
      <c r="L66" s="16">
        <f>'[14]Table 4.2'!AB129</f>
        <v>0.1</v>
      </c>
      <c r="M66" s="16">
        <f>'[14]Table 4.2'!AC129</f>
        <v>7.3</v>
      </c>
      <c r="N66" s="16">
        <f>'[14]Table 4.2'!AD129</f>
        <v>7</v>
      </c>
      <c r="O66" s="16"/>
      <c r="P66" s="16"/>
      <c r="R66" s="2">
        <f>'[15]Table 7.2'!AS131</f>
        <v>25.16</v>
      </c>
      <c r="S66" s="10">
        <f>'[15]Table 7.2'!AU131</f>
        <v>8.5</v>
      </c>
      <c r="T66" s="2">
        <f>'[15]Table 7.2'!AT131</f>
        <v>14.46</v>
      </c>
      <c r="U66" s="2">
        <f>'[15]Table 7.2'!AV131</f>
        <v>9.08</v>
      </c>
      <c r="V66" s="2">
        <f>'[15]Table 7.2'!AW131</f>
        <v>17.739999999999998</v>
      </c>
      <c r="W66" s="2">
        <f>'[15]Table 7.2'!AX131</f>
        <v>0</v>
      </c>
      <c r="X66" s="2">
        <f>'[15]Table 7.2'!AY131</f>
        <v>0</v>
      </c>
      <c r="Y66" s="4">
        <f>'[16]Table 7.6'!O103</f>
        <v>5</v>
      </c>
      <c r="Z66" s="4"/>
      <c r="AB66" s="51">
        <f>'[17]Table 7.6'!C103</f>
        <v>0</v>
      </c>
      <c r="AC66" s="51">
        <f>'[17]Table 7.6'!D103</f>
        <v>0</v>
      </c>
      <c r="AD66" s="14">
        <f t="shared" si="46"/>
        <v>0</v>
      </c>
      <c r="AE66" s="3">
        <f>'[13]3DNAICS'!AX406</f>
        <v>71</v>
      </c>
      <c r="AF66" s="52" t="e">
        <f t="shared" si="47"/>
        <v>#DIV/0!</v>
      </c>
      <c r="AG66" s="3"/>
      <c r="AH66" t="str">
        <f t="shared" si="48"/>
        <v>315</v>
      </c>
      <c r="AI66" s="9" t="str">
        <f t="shared" si="49"/>
        <v>Apparel</v>
      </c>
      <c r="AJ66" s="4">
        <f>'[6]Table 7.6'!BG80</f>
        <v>0</v>
      </c>
      <c r="AK66" s="4">
        <f>'[6]Table 7.6'!BH80</f>
        <v>0</v>
      </c>
      <c r="AL66">
        <f t="shared" si="50"/>
        <v>176.12</v>
      </c>
      <c r="AM66" s="4">
        <f t="shared" si="51"/>
        <v>0</v>
      </c>
      <c r="AN66" s="14">
        <f t="shared" si="52"/>
        <v>66.817999999999998</v>
      </c>
      <c r="AO66" s="4">
        <f t="shared" si="53"/>
        <v>9.1531506849315072</v>
      </c>
      <c r="AP66" s="3">
        <f>'[13]3DNAICS'!AX406</f>
        <v>71</v>
      </c>
      <c r="AR66" s="117">
        <f t="shared" si="54"/>
        <v>6.8493150684931512E-3</v>
      </c>
      <c r="AS66" s="117">
        <f t="shared" si="40"/>
        <v>1.3698630136986302E-2</v>
      </c>
      <c r="AT66" s="117">
        <f t="shared" si="41"/>
        <v>0.95890410958904115</v>
      </c>
      <c r="AU66" s="117">
        <f t="shared" si="42"/>
        <v>6.8493150684931512E-3</v>
      </c>
      <c r="AV66" s="117">
        <f t="shared" si="43"/>
        <v>0</v>
      </c>
      <c r="AW66" s="117">
        <f t="shared" si="44"/>
        <v>0</v>
      </c>
      <c r="AX66" s="117">
        <f t="shared" si="45"/>
        <v>1.3698630136986302E-2</v>
      </c>
      <c r="AY66">
        <f t="shared" si="55"/>
        <v>1</v>
      </c>
    </row>
    <row r="67" spans="2:51" ht="15" x14ac:dyDescent="0.25">
      <c r="B67" s="6" t="s">
        <v>20</v>
      </c>
      <c r="C67" s="7" t="s">
        <v>21</v>
      </c>
      <c r="D67" s="16">
        <f>'[14]Table 4.2'!T130</f>
        <v>3</v>
      </c>
      <c r="E67" s="16">
        <f>'[14]Table 4.2'!U130</f>
        <v>1</v>
      </c>
      <c r="F67" s="16">
        <f>'[14]Table 4.2'!V130</f>
        <v>0.1</v>
      </c>
      <c r="G67" s="16">
        <f>'[14]Table 4.2'!W130</f>
        <v>0.5</v>
      </c>
      <c r="H67" s="16">
        <f>'[14]Table 4.2'!X130</f>
        <v>1</v>
      </c>
      <c r="I67" s="16">
        <f>'[14]Table 4.2'!Y130</f>
        <v>0.05</v>
      </c>
      <c r="J67" s="16">
        <f>'[14]Table 4.2'!Z130</f>
        <v>0</v>
      </c>
      <c r="K67" s="16">
        <f>'[14]Table 4.2'!AA130</f>
        <v>0</v>
      </c>
      <c r="L67" s="16">
        <f>'[14]Table 4.2'!AB130</f>
        <v>0.1</v>
      </c>
      <c r="M67" s="16">
        <f>'[14]Table 4.2'!AC130</f>
        <v>1.7500000000000002</v>
      </c>
      <c r="N67" s="16">
        <f>'[14]Table 4.2'!AD130</f>
        <v>2</v>
      </c>
      <c r="O67" s="16"/>
      <c r="P67" s="16"/>
      <c r="R67" s="2">
        <f>'[15]Table 7.2'!AS132</f>
        <v>25.32</v>
      </c>
      <c r="S67" s="2">
        <f>'[15]Table 7.2'!AU132</f>
        <v>8.57</v>
      </c>
      <c r="T67" s="2">
        <f>'[15]Table 7.2'!AT132</f>
        <v>13.64</v>
      </c>
      <c r="U67" s="2">
        <f>'[15]Table 7.2'!AV132</f>
        <v>10.25</v>
      </c>
      <c r="V67" s="2">
        <f>'[15]Table 7.2'!AW132</f>
        <v>14.99</v>
      </c>
      <c r="W67" s="2">
        <f>'[15]Table 7.2'!AX132</f>
        <v>0</v>
      </c>
      <c r="X67" s="2">
        <f>'[15]Table 7.2'!AY132</f>
        <v>0</v>
      </c>
      <c r="Y67" s="4">
        <f>'[16]Table 7.6'!O104</f>
        <v>5</v>
      </c>
      <c r="Z67" s="4"/>
      <c r="AB67" s="51">
        <f>'[17]Table 7.6'!C104</f>
        <v>1108</v>
      </c>
      <c r="AC67" s="51">
        <f>'[17]Table 7.6'!D104</f>
        <v>75652</v>
      </c>
      <c r="AD67" s="14">
        <f t="shared" si="46"/>
        <v>849.87537599999996</v>
      </c>
      <c r="AE67" s="3">
        <f>'[13]3DNAICS'!AX407</f>
        <v>17</v>
      </c>
      <c r="AF67" s="52">
        <f t="shared" si="47"/>
        <v>2.0002932759402597E-2</v>
      </c>
      <c r="AG67" s="3"/>
      <c r="AH67" t="str">
        <f t="shared" si="48"/>
        <v>316</v>
      </c>
      <c r="AI67" s="9" t="str">
        <f t="shared" si="49"/>
        <v>Leather and Allied Products</v>
      </c>
      <c r="AJ67" s="4">
        <f>'[6]Table 7.6'!BG81</f>
        <v>0</v>
      </c>
      <c r="AK67" s="4">
        <f>'[6]Table 7.6'!BH81</f>
        <v>0</v>
      </c>
      <c r="AL67">
        <f t="shared" si="50"/>
        <v>25.32</v>
      </c>
      <c r="AM67" s="4">
        <f t="shared" si="51"/>
        <v>0</v>
      </c>
      <c r="AN67" s="14">
        <f t="shared" si="52"/>
        <v>19.176500000000001</v>
      </c>
      <c r="AO67" s="4">
        <f t="shared" si="53"/>
        <v>10.957999999999998</v>
      </c>
      <c r="AP67" s="3">
        <f>'[13]3DNAICS'!AX407</f>
        <v>17</v>
      </c>
      <c r="AR67" s="117">
        <f t="shared" si="54"/>
        <v>5.7142857142857141E-2</v>
      </c>
      <c r="AS67" s="117">
        <f t="shared" si="40"/>
        <v>0.2857142857142857</v>
      </c>
      <c r="AT67" s="117">
        <f t="shared" si="41"/>
        <v>0.5714285714285714</v>
      </c>
      <c r="AU67" s="117">
        <f t="shared" si="42"/>
        <v>2.8571428571428571E-2</v>
      </c>
      <c r="AV67" s="117">
        <f t="shared" si="43"/>
        <v>0</v>
      </c>
      <c r="AW67" s="117">
        <f t="shared" si="44"/>
        <v>0</v>
      </c>
      <c r="AX67" s="117">
        <f t="shared" si="45"/>
        <v>5.7142857142857141E-2</v>
      </c>
      <c r="AY67">
        <f t="shared" si="55"/>
        <v>1</v>
      </c>
    </row>
    <row r="68" spans="2:51" ht="15" x14ac:dyDescent="0.25">
      <c r="B68" s="6" t="s">
        <v>22</v>
      </c>
      <c r="C68" s="7" t="s">
        <v>23</v>
      </c>
      <c r="D68" s="16">
        <f>'[14]Table 4.2'!T131</f>
        <v>296</v>
      </c>
      <c r="E68" s="16">
        <f>'[14]Table 4.2'!U131</f>
        <v>94</v>
      </c>
      <c r="F68" s="16">
        <f>'[14]Table 4.2'!V131</f>
        <v>4</v>
      </c>
      <c r="G68" s="16">
        <f>'[14]Table 4.2'!W131</f>
        <v>15</v>
      </c>
      <c r="H68" s="16">
        <f>'[14]Table 4.2'!X131</f>
        <v>86</v>
      </c>
      <c r="I68" s="16">
        <f>'[14]Table 4.2'!Y131</f>
        <v>4</v>
      </c>
      <c r="J68" s="16">
        <f>'[14]Table 4.2'!Z131</f>
        <v>15</v>
      </c>
      <c r="K68" s="16">
        <f>'[14]Table 4.2'!AA131</f>
        <v>0.5</v>
      </c>
      <c r="L68" s="16">
        <f>'[14]Table 4.2'!AB131</f>
        <v>77</v>
      </c>
      <c r="M68" s="16">
        <f>'[14]Table 4.2'!AC131</f>
        <v>201.5</v>
      </c>
      <c r="N68" s="16">
        <f>'[14]Table 4.2'!AD131</f>
        <v>202</v>
      </c>
      <c r="O68" s="16"/>
      <c r="P68" s="16"/>
      <c r="R68" s="2">
        <f>'[15]Table 7.2'!AS133</f>
        <v>18.37</v>
      </c>
      <c r="S68" s="2">
        <f>'[15]Table 7.2'!AU133</f>
        <v>8.33</v>
      </c>
      <c r="T68" s="2">
        <f>'[15]Table 7.2'!AT133</f>
        <v>16.75</v>
      </c>
      <c r="U68" s="2">
        <f>'[15]Table 7.2'!AV133</f>
        <v>8.31</v>
      </c>
      <c r="V68" s="2">
        <f>'[15]Table 7.2'!AW133</f>
        <v>13.22</v>
      </c>
      <c r="W68" s="2">
        <f>'[15]Table 7.2'!AX133</f>
        <v>2.2000000000000002</v>
      </c>
      <c r="X68" s="2">
        <f>'[15]Table 7.2'!AY133</f>
        <v>0</v>
      </c>
      <c r="Y68" s="4">
        <f>'[16]Table 7.6'!O105</f>
        <v>2.574074074074074</v>
      </c>
      <c r="Z68" s="4"/>
      <c r="AB68" s="51">
        <f>'[17]Table 7.6'!C105</f>
        <v>85</v>
      </c>
      <c r="AC68" s="51">
        <f>'[17]Table 7.6'!D105</f>
        <v>8337</v>
      </c>
      <c r="AD68" s="14">
        <f t="shared" si="46"/>
        <v>56.554155999999999</v>
      </c>
      <c r="AE68" s="3">
        <f>'[13]3DNAICS'!AX408</f>
        <v>1177</v>
      </c>
      <c r="AF68" s="52">
        <f t="shared" si="47"/>
        <v>20.811909915161674</v>
      </c>
      <c r="AG68" s="3"/>
      <c r="AH68" t="str">
        <f t="shared" si="48"/>
        <v>321</v>
      </c>
      <c r="AI68" s="9" t="str">
        <f t="shared" si="49"/>
        <v>Wood Products</v>
      </c>
      <c r="AJ68" s="4">
        <f>'[6]Table 7.6'!BG82</f>
        <v>0</v>
      </c>
      <c r="AK68" s="4">
        <f>'[6]Table 7.6'!BH82</f>
        <v>0</v>
      </c>
      <c r="AL68">
        <f t="shared" si="50"/>
        <v>1726.7800000000002</v>
      </c>
      <c r="AM68" s="4">
        <f t="shared" si="51"/>
        <v>0</v>
      </c>
      <c r="AN68" s="14">
        <f t="shared" si="52"/>
        <v>1283.3137037037038</v>
      </c>
      <c r="AO68" s="4">
        <f t="shared" si="53"/>
        <v>6.3688024997702426</v>
      </c>
      <c r="AP68" s="3">
        <f>'[13]3DNAICS'!AX408</f>
        <v>1177</v>
      </c>
      <c r="AR68" s="117">
        <f t="shared" si="54"/>
        <v>1.9851116625310174E-2</v>
      </c>
      <c r="AS68" s="117">
        <f t="shared" si="40"/>
        <v>7.4441687344913146E-2</v>
      </c>
      <c r="AT68" s="117">
        <f t="shared" si="41"/>
        <v>0.42679900744416871</v>
      </c>
      <c r="AU68" s="117">
        <f t="shared" si="42"/>
        <v>1.9851116625310174E-2</v>
      </c>
      <c r="AV68" s="117">
        <f t="shared" si="43"/>
        <v>7.4441687344913146E-2</v>
      </c>
      <c r="AW68" s="117">
        <f t="shared" si="44"/>
        <v>2.4813895781637717E-3</v>
      </c>
      <c r="AX68" s="117">
        <f t="shared" si="45"/>
        <v>0.38213399503722084</v>
      </c>
      <c r="AY68">
        <f t="shared" si="55"/>
        <v>1</v>
      </c>
    </row>
    <row r="69" spans="2:51" ht="15" x14ac:dyDescent="0.25">
      <c r="B69" s="6" t="s">
        <v>24</v>
      </c>
      <c r="C69" s="7" t="s">
        <v>25</v>
      </c>
      <c r="D69" s="16">
        <f>'[14]Table 4.2'!T132</f>
        <v>1350</v>
      </c>
      <c r="E69" s="16">
        <f>'[14]Table 4.2'!U132</f>
        <v>262</v>
      </c>
      <c r="F69" s="16">
        <f>'[14]Table 4.2'!V132</f>
        <v>91</v>
      </c>
      <c r="G69" s="16">
        <f>'[14]Table 4.2'!W132</f>
        <v>13</v>
      </c>
      <c r="H69" s="16">
        <f>'[14]Table 4.2'!X132</f>
        <v>474</v>
      </c>
      <c r="I69" s="16">
        <f>'[14]Table 4.2'!Y132</f>
        <v>5</v>
      </c>
      <c r="J69" s="16">
        <f>'[14]Table 4.2'!Z132</f>
        <v>221</v>
      </c>
      <c r="K69" s="16">
        <f>'[14]Table 4.2'!AA132</f>
        <v>0</v>
      </c>
      <c r="L69" s="16">
        <f>'[14]Table 4.2'!AB132</f>
        <v>284</v>
      </c>
      <c r="M69" s="16">
        <f>'[14]Table 4.2'!AC132</f>
        <v>1088</v>
      </c>
      <c r="N69" s="16">
        <f>'[14]Table 4.2'!AD132</f>
        <v>1088</v>
      </c>
      <c r="O69" s="16"/>
      <c r="P69" s="16"/>
      <c r="R69" s="2">
        <f>'[15]Table 7.2'!AS134</f>
        <v>15.17</v>
      </c>
      <c r="S69" s="2">
        <f>'[15]Table 7.2'!AU134</f>
        <v>7.82</v>
      </c>
      <c r="T69" s="2">
        <f>'[15]Table 7.2'!AT134</f>
        <v>10.93</v>
      </c>
      <c r="U69" s="2">
        <f>'[15]Table 7.2'!AV134</f>
        <v>8.42</v>
      </c>
      <c r="V69" s="2">
        <f>'[15]Table 7.2'!AW134</f>
        <v>17.559999999999999</v>
      </c>
      <c r="W69" s="2">
        <f>'[15]Table 7.2'!AX134</f>
        <v>2.87</v>
      </c>
      <c r="X69" s="2">
        <f>'[15]Table 7.2'!AY134</f>
        <v>0</v>
      </c>
      <c r="Y69" s="4">
        <f>'[16]Table 7.6'!O106</f>
        <v>5</v>
      </c>
      <c r="Z69" s="4"/>
      <c r="AB69" s="51">
        <f>'[17]Table 7.6'!C106</f>
        <v>95</v>
      </c>
      <c r="AC69" s="51">
        <f>'[17]Table 7.6'!D106</f>
        <v>13349</v>
      </c>
      <c r="AD69" s="14">
        <f t="shared" si="46"/>
        <v>49.453212000000001</v>
      </c>
      <c r="AE69" s="3">
        <f>'[13]3DNAICS'!AX409</f>
        <v>6345</v>
      </c>
      <c r="AF69" s="52">
        <f t="shared" si="47"/>
        <v>128.30309181939487</v>
      </c>
      <c r="AG69" s="3"/>
      <c r="AH69" t="str">
        <f t="shared" si="48"/>
        <v>322</v>
      </c>
      <c r="AI69" s="9" t="str">
        <f t="shared" si="49"/>
        <v>Paper</v>
      </c>
      <c r="AJ69" s="4">
        <f>'[6]Table 7.6'!BG83</f>
        <v>0</v>
      </c>
      <c r="AK69" s="4">
        <f>'[6]Table 7.6'!BH83</f>
        <v>0</v>
      </c>
      <c r="AL69">
        <f t="shared" si="50"/>
        <v>3974.54</v>
      </c>
      <c r="AM69" s="4">
        <f t="shared" si="51"/>
        <v>0</v>
      </c>
      <c r="AN69" s="14">
        <f t="shared" si="52"/>
        <v>6986.8600000000006</v>
      </c>
      <c r="AO69" s="4">
        <f t="shared" si="53"/>
        <v>6.4217463235294119</v>
      </c>
      <c r="AP69" s="3">
        <f>'[13]3DNAICS'!AX409</f>
        <v>6345</v>
      </c>
      <c r="AR69" s="117">
        <f t="shared" si="54"/>
        <v>8.3639705882352935E-2</v>
      </c>
      <c r="AS69" s="117">
        <f t="shared" si="40"/>
        <v>1.1948529411764705E-2</v>
      </c>
      <c r="AT69" s="117">
        <f t="shared" si="41"/>
        <v>0.43566176470588236</v>
      </c>
      <c r="AU69" s="117">
        <f t="shared" si="42"/>
        <v>4.5955882352941178E-3</v>
      </c>
      <c r="AV69" s="117">
        <f t="shared" si="43"/>
        <v>0.203125</v>
      </c>
      <c r="AW69" s="117">
        <f t="shared" si="44"/>
        <v>0</v>
      </c>
      <c r="AX69" s="117">
        <f t="shared" si="45"/>
        <v>0.2610294117647059</v>
      </c>
      <c r="AY69">
        <f t="shared" si="55"/>
        <v>1</v>
      </c>
    </row>
    <row r="70" spans="2:51" ht="15" x14ac:dyDescent="0.25">
      <c r="B70" s="6" t="s">
        <v>26</v>
      </c>
      <c r="C70" s="7" t="s">
        <v>27</v>
      </c>
      <c r="D70" s="16">
        <f>'[14]Table 4.2'!T133</f>
        <v>85</v>
      </c>
      <c r="E70" s="16">
        <f>'[14]Table 4.2'!U133</f>
        <v>45</v>
      </c>
      <c r="F70" s="16">
        <f>'[14]Table 4.2'!V133</f>
        <v>0.05</v>
      </c>
      <c r="G70" s="16">
        <f>'[14]Table 4.2'!W133</f>
        <v>0.1</v>
      </c>
      <c r="H70" s="16">
        <f>'[14]Table 4.2'!X133</f>
        <v>39</v>
      </c>
      <c r="I70" s="16">
        <f>'[14]Table 4.2'!Y133</f>
        <v>1</v>
      </c>
      <c r="J70" s="16">
        <f>'[14]Table 4.2'!Z133</f>
        <v>0</v>
      </c>
      <c r="K70" s="16">
        <f>'[14]Table 4.2'!AA133</f>
        <v>0</v>
      </c>
      <c r="L70" s="16">
        <f>'[14]Table 4.2'!AB133</f>
        <v>0.2</v>
      </c>
      <c r="M70" s="16">
        <f>'[14]Table 4.2'!AC133</f>
        <v>40.35</v>
      </c>
      <c r="N70" s="16">
        <f>'[14]Table 4.2'!AD133</f>
        <v>40</v>
      </c>
      <c r="O70" s="16"/>
      <c r="P70" s="16"/>
      <c r="R70" s="2">
        <f>'[15]Table 7.2'!AS135</f>
        <v>23.31</v>
      </c>
      <c r="S70" s="10">
        <f>'[15]Table 7.2'!AU135</f>
        <v>8.5</v>
      </c>
      <c r="T70" s="10">
        <f>'[15]Table 7.2'!AT135</f>
        <v>15</v>
      </c>
      <c r="U70" s="2">
        <f>'[15]Table 7.2'!AV135</f>
        <v>7.61</v>
      </c>
      <c r="V70" s="2">
        <f>'[15]Table 7.2'!AW135</f>
        <v>19.010000000000002</v>
      </c>
      <c r="W70" s="2">
        <f>'[15]Table 7.2'!AX135</f>
        <v>0</v>
      </c>
      <c r="X70" s="2">
        <f>'[15]Table 7.2'!AY135</f>
        <v>0</v>
      </c>
      <c r="Y70" s="4">
        <f>'[16]Table 7.6'!O107</f>
        <v>5</v>
      </c>
      <c r="Z70" s="4"/>
      <c r="AB70" s="51">
        <f>'[17]Table 7.6'!C107</f>
        <v>20</v>
      </c>
      <c r="AC70" s="51">
        <f>'[17]Table 7.6'!D107</f>
        <v>2454</v>
      </c>
      <c r="AD70" s="14">
        <f t="shared" si="46"/>
        <v>11.626951999999999</v>
      </c>
      <c r="AE70" s="3">
        <f>'[13]3DNAICS'!AX410</f>
        <v>342</v>
      </c>
      <c r="AF70" s="52">
        <f t="shared" si="47"/>
        <v>29.414415747136484</v>
      </c>
      <c r="AG70" s="3"/>
      <c r="AH70" t="str">
        <f t="shared" si="48"/>
        <v>323</v>
      </c>
      <c r="AI70" s="9" t="str">
        <f t="shared" si="49"/>
        <v>Printing and Related Support</v>
      </c>
      <c r="AJ70" s="4">
        <f>'[6]Table 7.6'!BG84</f>
        <v>0</v>
      </c>
      <c r="AK70" s="4">
        <f>'[6]Table 7.6'!BH84</f>
        <v>0</v>
      </c>
      <c r="AL70">
        <f t="shared" si="50"/>
        <v>1048.95</v>
      </c>
      <c r="AM70" s="4">
        <f t="shared" si="51"/>
        <v>0</v>
      </c>
      <c r="AN70" s="14">
        <f t="shared" si="52"/>
        <v>318.72500000000002</v>
      </c>
      <c r="AO70" s="4">
        <f t="shared" si="53"/>
        <v>7.8990086741016112</v>
      </c>
      <c r="AP70" s="3">
        <f>'[13]3DNAICS'!AX410</f>
        <v>342</v>
      </c>
      <c r="AR70" s="117">
        <f t="shared" si="54"/>
        <v>1.2391573729863693E-3</v>
      </c>
      <c r="AS70" s="117">
        <f t="shared" si="40"/>
        <v>2.4783147459727386E-3</v>
      </c>
      <c r="AT70" s="117">
        <f t="shared" si="41"/>
        <v>0.96654275092936803</v>
      </c>
      <c r="AU70" s="117">
        <f t="shared" si="42"/>
        <v>2.4783147459727383E-2</v>
      </c>
      <c r="AV70" s="117">
        <f t="shared" si="43"/>
        <v>0</v>
      </c>
      <c r="AW70" s="117">
        <f t="shared" si="44"/>
        <v>0</v>
      </c>
      <c r="AX70" s="117">
        <f t="shared" si="45"/>
        <v>4.9566294919454771E-3</v>
      </c>
      <c r="AY70">
        <f t="shared" si="55"/>
        <v>1</v>
      </c>
    </row>
    <row r="71" spans="2:51" ht="15" x14ac:dyDescent="0.25">
      <c r="B71" s="6" t="s">
        <v>28</v>
      </c>
      <c r="C71" s="7" t="s">
        <v>29</v>
      </c>
      <c r="D71" s="16">
        <f>'[14]Table 4.2'!T134</f>
        <v>1434</v>
      </c>
      <c r="E71" s="16">
        <f>'[14]Table 4.2'!U134</f>
        <v>150</v>
      </c>
      <c r="F71" s="16">
        <f>'[14]Table 4.2'!V134</f>
        <v>40</v>
      </c>
      <c r="G71" s="16">
        <f>'[14]Table 4.2'!W134</f>
        <v>19</v>
      </c>
      <c r="H71" s="16">
        <f>'[14]Table 4.2'!X134</f>
        <v>849</v>
      </c>
      <c r="I71" s="16">
        <f>'[14]Table 4.2'!Y134</f>
        <v>5</v>
      </c>
      <c r="J71" s="16">
        <f>'[14]Table 4.2'!Z134</f>
        <v>53</v>
      </c>
      <c r="K71" s="16">
        <f>'[14]Table 4.2'!AA134</f>
        <v>0.1</v>
      </c>
      <c r="L71" s="16">
        <f>'[14]Table 4.2'!AB134</f>
        <v>318</v>
      </c>
      <c r="M71" s="16">
        <f>'[14]Table 4.2'!AC134</f>
        <v>1284.0999999999999</v>
      </c>
      <c r="N71" s="16">
        <f>'[14]Table 4.2'!AD134</f>
        <v>1284</v>
      </c>
      <c r="O71" s="16"/>
      <c r="P71" s="16"/>
      <c r="R71" s="2">
        <f>'[15]Table 7.2'!AS136</f>
        <v>18.079999999999998</v>
      </c>
      <c r="S71" s="10">
        <f>'[15]Table 7.2'!AU136</f>
        <v>5</v>
      </c>
      <c r="T71" s="2">
        <f>'[15]Table 7.2'!AT136</f>
        <v>13.03</v>
      </c>
      <c r="U71" s="2">
        <f>'[15]Table 7.2'!AV136</f>
        <v>6.69</v>
      </c>
      <c r="V71" s="2">
        <f>'[15]Table 7.2'!AW136</f>
        <v>20.13</v>
      </c>
      <c r="W71" s="2">
        <f>'[15]Table 7.2'!AX136</f>
        <v>3.73</v>
      </c>
      <c r="X71" s="2">
        <f>'[15]Table 7.2'!AY136</f>
        <v>0</v>
      </c>
      <c r="Y71" s="4">
        <f>'[16]Table 7.6'!O108</f>
        <v>5.6351791530944624</v>
      </c>
      <c r="Z71" s="4"/>
      <c r="AB71" s="51">
        <f>'[17]Table 7.6'!C108</f>
        <v>6</v>
      </c>
      <c r="AC71" s="51">
        <f>'[17]Table 7.6'!D108</f>
        <v>1069</v>
      </c>
      <c r="AD71" s="14">
        <f t="shared" si="46"/>
        <v>2.3525719999999999</v>
      </c>
      <c r="AE71" s="3">
        <f>'[13]3DNAICS'!AX411</f>
        <v>8466</v>
      </c>
      <c r="AF71" s="52">
        <f t="shared" si="47"/>
        <v>3598.6146226342917</v>
      </c>
      <c r="AG71" s="3"/>
      <c r="AH71" t="str">
        <f t="shared" si="48"/>
        <v>324</v>
      </c>
      <c r="AI71" s="9" t="str">
        <f t="shared" si="49"/>
        <v>Petroleum and Coal Products</v>
      </c>
      <c r="AJ71" s="4">
        <f>'[6]Table 7.6'!BG85</f>
        <v>0</v>
      </c>
      <c r="AK71" s="4">
        <f>'[6]Table 7.6'!BH85</f>
        <v>0</v>
      </c>
      <c r="AL71">
        <f t="shared" si="50"/>
        <v>2711.9999999999995</v>
      </c>
      <c r="AM71" s="4">
        <f t="shared" si="51"/>
        <v>0</v>
      </c>
      <c r="AN71" s="14">
        <f t="shared" si="52"/>
        <v>8217.7069706840375</v>
      </c>
      <c r="AO71" s="4">
        <f t="shared" si="53"/>
        <v>6.3995849004626102</v>
      </c>
      <c r="AP71" s="3">
        <f>'[13]3DNAICS'!AX411</f>
        <v>8466</v>
      </c>
      <c r="AR71" s="117">
        <f t="shared" si="54"/>
        <v>3.1150221945331364E-2</v>
      </c>
      <c r="AS71" s="117">
        <f t="shared" si="40"/>
        <v>1.4796355424032397E-2</v>
      </c>
      <c r="AT71" s="117">
        <f t="shared" si="41"/>
        <v>0.66116346078965815</v>
      </c>
      <c r="AU71" s="117">
        <f t="shared" si="42"/>
        <v>3.8937777431664205E-3</v>
      </c>
      <c r="AV71" s="117">
        <f t="shared" si="43"/>
        <v>4.1274044077564055E-2</v>
      </c>
      <c r="AW71" s="117">
        <f t="shared" si="44"/>
        <v>7.7875554863328416E-5</v>
      </c>
      <c r="AX71" s="117">
        <f t="shared" si="45"/>
        <v>0.24764426446538435</v>
      </c>
      <c r="AY71">
        <f t="shared" si="55"/>
        <v>1.0000000000000002</v>
      </c>
    </row>
    <row r="72" spans="2:51" ht="15" x14ac:dyDescent="0.25">
      <c r="B72" s="6" t="s">
        <v>30</v>
      </c>
      <c r="C72" s="7" t="s">
        <v>31</v>
      </c>
      <c r="D72" s="16">
        <f>'[14]Table 4.2'!T135</f>
        <v>2772</v>
      </c>
      <c r="E72" s="16">
        <f>'[14]Table 4.2'!U135</f>
        <v>540</v>
      </c>
      <c r="F72" s="16">
        <f>'[14]Table 4.2'!V135</f>
        <v>23</v>
      </c>
      <c r="G72" s="16">
        <f>'[14]Table 4.2'!W135</f>
        <v>8</v>
      </c>
      <c r="H72" s="16">
        <f>'[14]Table 4.2'!X135</f>
        <v>1388</v>
      </c>
      <c r="I72" s="16">
        <f>'[14]Table 4.2'!Y135</f>
        <v>7</v>
      </c>
      <c r="J72" s="16">
        <f>'[14]Table 4.2'!Z135</f>
        <v>167</v>
      </c>
      <c r="K72" s="16">
        <f>'[14]Table 4.2'!AA135</f>
        <v>0.1</v>
      </c>
      <c r="L72" s="16">
        <f>'[14]Table 4.2'!AB135</f>
        <v>639</v>
      </c>
      <c r="M72" s="16">
        <f>'[14]Table 4.2'!AC135</f>
        <v>2232.1</v>
      </c>
      <c r="N72" s="16">
        <f>'[14]Table 4.2'!AD135</f>
        <v>2232</v>
      </c>
      <c r="O72" s="16"/>
      <c r="P72" s="16"/>
      <c r="R72" s="2">
        <f>'[15]Table 7.2'!AS137</f>
        <v>15.59</v>
      </c>
      <c r="S72" s="2">
        <f>'[15]Table 7.2'!AU137</f>
        <v>7.57</v>
      </c>
      <c r="T72" s="2">
        <f>'[15]Table 7.2'!AT137</f>
        <v>13.34</v>
      </c>
      <c r="U72" s="2">
        <f>'[15]Table 7.2'!AV137</f>
        <v>7.47</v>
      </c>
      <c r="V72" s="2">
        <f>'[15]Table 7.2'!AW137</f>
        <v>13.06</v>
      </c>
      <c r="W72" s="2">
        <f>'[15]Table 7.2'!AX137</f>
        <v>2.7</v>
      </c>
      <c r="X72" s="2">
        <f>'[15]Table 7.2'!AY137</f>
        <v>8.77</v>
      </c>
      <c r="Y72" s="4">
        <f>'[16]Table 7.6'!O109</f>
        <v>7.8918128654970756</v>
      </c>
      <c r="Z72" s="4"/>
      <c r="AB72" s="51">
        <f>'[17]Table 7.6'!C109</f>
        <v>2</v>
      </c>
      <c r="AC72" s="51">
        <f>'[17]Table 7.6'!D109</f>
        <v>243</v>
      </c>
      <c r="AD72" s="14">
        <f t="shared" si="46"/>
        <v>1.170884</v>
      </c>
      <c r="AE72" s="3">
        <f>'[13]3DNAICS'!AX412</f>
        <v>39616</v>
      </c>
      <c r="AF72" s="52">
        <f t="shared" si="47"/>
        <v>33834.265392643509</v>
      </c>
      <c r="AG72" s="3"/>
      <c r="AH72" t="str">
        <f t="shared" si="48"/>
        <v>325</v>
      </c>
      <c r="AI72" s="9" t="str">
        <f t="shared" si="49"/>
        <v>Chemicals</v>
      </c>
      <c r="AJ72" s="4">
        <f>'[6]Table 7.6'!BG86</f>
        <v>0</v>
      </c>
      <c r="AK72" s="4">
        <f>'[6]Table 7.6'!BH86</f>
        <v>0</v>
      </c>
      <c r="AL72">
        <f t="shared" si="50"/>
        <v>8418.6</v>
      </c>
      <c r="AM72" s="4">
        <f t="shared" si="51"/>
        <v>0</v>
      </c>
      <c r="AN72" s="14">
        <f t="shared" si="52"/>
        <v>16235.25542105263</v>
      </c>
      <c r="AO72" s="4">
        <f t="shared" si="53"/>
        <v>7.2735340804859243</v>
      </c>
      <c r="AP72" s="3">
        <f>'[13]3DNAICS'!AX412</f>
        <v>39616</v>
      </c>
      <c r="AR72" s="117">
        <f t="shared" si="54"/>
        <v>1.030419784059854E-2</v>
      </c>
      <c r="AS72" s="117">
        <f t="shared" si="40"/>
        <v>3.5840688141212311E-3</v>
      </c>
      <c r="AT72" s="117">
        <f t="shared" si="41"/>
        <v>0.62183593925003366</v>
      </c>
      <c r="AU72" s="117">
        <f t="shared" si="42"/>
        <v>3.1360602123560776E-3</v>
      </c>
      <c r="AV72" s="117">
        <f t="shared" si="43"/>
        <v>7.4817436494780704E-2</v>
      </c>
      <c r="AW72" s="117">
        <f t="shared" si="44"/>
        <v>4.4800860176515395E-5</v>
      </c>
      <c r="AX72" s="117">
        <f t="shared" si="45"/>
        <v>0.28627749652793333</v>
      </c>
      <c r="AY72">
        <f t="shared" si="55"/>
        <v>1</v>
      </c>
    </row>
    <row r="73" spans="2:51" ht="15" x14ac:dyDescent="0.25">
      <c r="B73" s="6" t="s">
        <v>32</v>
      </c>
      <c r="C73" s="7" t="s">
        <v>33</v>
      </c>
      <c r="D73" s="16">
        <f>'[14]Table 4.2'!T136</f>
        <v>336</v>
      </c>
      <c r="E73" s="16">
        <f>'[14]Table 4.2'!U136</f>
        <v>182</v>
      </c>
      <c r="F73" s="16">
        <f>'[14]Table 4.2'!V136</f>
        <v>9</v>
      </c>
      <c r="G73" s="16">
        <f>'[14]Table 4.2'!W136</f>
        <v>3</v>
      </c>
      <c r="H73" s="16">
        <f>'[14]Table 4.2'!X136</f>
        <v>127</v>
      </c>
      <c r="I73" s="16">
        <f>'[14]Table 4.2'!Y136</f>
        <v>5</v>
      </c>
      <c r="J73" s="16">
        <f>'[14]Table 4.2'!Z136</f>
        <v>6</v>
      </c>
      <c r="K73" s="16">
        <f>'[14]Table 4.2'!AA136</f>
        <v>0</v>
      </c>
      <c r="L73" s="16">
        <f>'[14]Table 4.2'!AB136</f>
        <v>4</v>
      </c>
      <c r="M73" s="16">
        <f>'[14]Table 4.2'!AC136</f>
        <v>154</v>
      </c>
      <c r="N73" s="16">
        <f>'[14]Table 4.2'!AD136</f>
        <v>154</v>
      </c>
      <c r="O73" s="16"/>
      <c r="P73" s="16"/>
      <c r="R73" s="2">
        <f>'[15]Table 7.2'!AS138</f>
        <v>19.38</v>
      </c>
      <c r="S73" s="2">
        <f>'[15]Table 7.2'!AU138</f>
        <v>8.67</v>
      </c>
      <c r="T73" s="2">
        <f>'[15]Table 7.2'!AT138</f>
        <v>13.94</v>
      </c>
      <c r="U73" s="2">
        <f>'[15]Table 7.2'!AV138</f>
        <v>9.02</v>
      </c>
      <c r="V73" s="2">
        <f>'[15]Table 7.2'!AW138</f>
        <v>17.63</v>
      </c>
      <c r="W73" s="10">
        <f>'[15]Table 7.2'!AX138</f>
        <v>3</v>
      </c>
      <c r="X73" s="2">
        <f>'[15]Table 7.2'!AY138</f>
        <v>0</v>
      </c>
      <c r="Y73" s="4">
        <f>'[16]Table 7.6'!O110</f>
        <v>8</v>
      </c>
      <c r="Z73" s="4"/>
      <c r="AB73" s="51">
        <f>'[17]Table 7.6'!C110</f>
        <v>223</v>
      </c>
      <c r="AC73" s="51">
        <f>'[17]Table 7.6'!D110</f>
        <v>16179</v>
      </c>
      <c r="AD73" s="14">
        <f t="shared" si="46"/>
        <v>167.79725200000001</v>
      </c>
      <c r="AE73" s="3">
        <f>'[13]3DNAICS'!AX413</f>
        <v>1402</v>
      </c>
      <c r="AF73" s="52">
        <f t="shared" si="47"/>
        <v>8.3553215758265207</v>
      </c>
      <c r="AG73" s="3"/>
      <c r="AH73" t="str">
        <f t="shared" si="48"/>
        <v>326</v>
      </c>
      <c r="AI73" s="9" t="str">
        <f t="shared" si="49"/>
        <v>Plastics and Rubber Products</v>
      </c>
      <c r="AJ73" s="4">
        <f>'[6]Table 7.6'!BG87</f>
        <v>0</v>
      </c>
      <c r="AK73" s="4">
        <f>'[6]Table 7.6'!BH87</f>
        <v>0</v>
      </c>
      <c r="AL73">
        <f t="shared" si="50"/>
        <v>3527.16</v>
      </c>
      <c r="AM73" s="4">
        <f t="shared" si="51"/>
        <v>0</v>
      </c>
      <c r="AN73" s="14">
        <f t="shared" si="52"/>
        <v>1403.54</v>
      </c>
      <c r="AO73" s="4">
        <f t="shared" si="53"/>
        <v>9.1138961038961028</v>
      </c>
      <c r="AP73" s="3">
        <f>'[13]3DNAICS'!AX413</f>
        <v>1402</v>
      </c>
      <c r="AR73" s="117">
        <f t="shared" si="54"/>
        <v>5.844155844155844E-2</v>
      </c>
      <c r="AS73" s="117">
        <f t="shared" si="40"/>
        <v>1.948051948051948E-2</v>
      </c>
      <c r="AT73" s="117">
        <f t="shared" si="41"/>
        <v>0.82467532467532467</v>
      </c>
      <c r="AU73" s="117">
        <f t="shared" si="42"/>
        <v>3.2467532467532464E-2</v>
      </c>
      <c r="AV73" s="117">
        <f t="shared" si="43"/>
        <v>3.896103896103896E-2</v>
      </c>
      <c r="AW73" s="117">
        <f t="shared" si="44"/>
        <v>0</v>
      </c>
      <c r="AX73" s="117">
        <f t="shared" si="45"/>
        <v>2.5974025974025976E-2</v>
      </c>
      <c r="AY73">
        <f t="shared" si="55"/>
        <v>1</v>
      </c>
    </row>
    <row r="74" spans="2:51" ht="15" x14ac:dyDescent="0.25">
      <c r="B74" s="6" t="s">
        <v>34</v>
      </c>
      <c r="C74" s="7" t="s">
        <v>35</v>
      </c>
      <c r="D74" s="16">
        <f>'[14]Table 4.2'!T137</f>
        <v>1105</v>
      </c>
      <c r="E74" s="16">
        <f>'[14]Table 4.2'!U137</f>
        <v>150</v>
      </c>
      <c r="F74" s="16">
        <f>'[14]Table 4.2'!V137</f>
        <v>3</v>
      </c>
      <c r="G74" s="16">
        <f>'[14]Table 4.2'!W137</f>
        <v>30</v>
      </c>
      <c r="H74" s="16">
        <f>'[14]Table 4.2'!X137</f>
        <v>459</v>
      </c>
      <c r="I74" s="16">
        <f>'[14]Table 4.2'!Y137</f>
        <v>5</v>
      </c>
      <c r="J74" s="16">
        <f>'[14]Table 4.2'!Z137</f>
        <v>320</v>
      </c>
      <c r="K74" s="16">
        <f>'[14]Table 4.2'!AA137</f>
        <v>11</v>
      </c>
      <c r="L74" s="16">
        <f>'[14]Table 4.2'!AB137</f>
        <v>126</v>
      </c>
      <c r="M74" s="16">
        <f>'[14]Table 4.2'!AC137</f>
        <v>954</v>
      </c>
      <c r="N74" s="16">
        <f>'[14]Table 4.2'!AD137</f>
        <v>955</v>
      </c>
      <c r="O74" s="16"/>
      <c r="P74" s="16"/>
      <c r="R74" s="2">
        <f>'[15]Table 7.2'!AS139</f>
        <v>18.350000000000001</v>
      </c>
      <c r="S74" s="2">
        <f>'[15]Table 7.2'!AU139</f>
        <v>8.4</v>
      </c>
      <c r="T74" s="2">
        <f>'[15]Table 7.2'!AT139</f>
        <v>18.329999999999998</v>
      </c>
      <c r="U74" s="2">
        <f>'[15]Table 7.2'!AV139</f>
        <v>8.26</v>
      </c>
      <c r="V74" s="2">
        <f>'[15]Table 7.2'!AW139</f>
        <v>15.13</v>
      </c>
      <c r="W74" s="2">
        <f>'[15]Table 7.2'!AX139</f>
        <v>2.57</v>
      </c>
      <c r="X74" s="2">
        <f>'[15]Table 7.2'!AY139</f>
        <v>3.05</v>
      </c>
      <c r="Y74" s="4">
        <f>'[16]Table 7.6'!O111</f>
        <v>1.5347222222222223</v>
      </c>
      <c r="Z74" s="4"/>
      <c r="AB74" s="51">
        <f>'[17]Table 7.6'!C111</f>
        <v>1195</v>
      </c>
      <c r="AC74" s="51">
        <f>'[17]Table 7.6'!D111</f>
        <v>66617</v>
      </c>
      <c r="AD74" s="14">
        <f t="shared" si="46"/>
        <v>967.70279600000003</v>
      </c>
      <c r="AE74" s="3">
        <f>'[13]3DNAICS'!AX414</f>
        <v>5610</v>
      </c>
      <c r="AF74" s="52">
        <f t="shared" si="47"/>
        <v>5.7972344641236315</v>
      </c>
      <c r="AG74" s="3"/>
      <c r="AH74" t="str">
        <f t="shared" si="48"/>
        <v>327</v>
      </c>
      <c r="AI74" s="9" t="str">
        <f t="shared" si="49"/>
        <v>Nonmetallic Mineral Products</v>
      </c>
      <c r="AJ74" s="4">
        <f>'[6]Table 7.6'!BG88</f>
        <v>0</v>
      </c>
      <c r="AK74" s="4">
        <f>'[6]Table 7.6'!BH88</f>
        <v>0</v>
      </c>
      <c r="AL74">
        <f t="shared" si="50"/>
        <v>2752.5</v>
      </c>
      <c r="AM74" s="4">
        <f t="shared" si="51"/>
        <v>0</v>
      </c>
      <c r="AN74" s="14">
        <f t="shared" si="52"/>
        <v>5491.4149999999991</v>
      </c>
      <c r="AO74" s="4">
        <f t="shared" si="53"/>
        <v>5.7562002096436045</v>
      </c>
      <c r="AP74" s="3">
        <f>'[13]3DNAICS'!AX414</f>
        <v>5610</v>
      </c>
      <c r="AR74" s="117">
        <f t="shared" si="54"/>
        <v>3.1446540880503146E-3</v>
      </c>
      <c r="AS74" s="117">
        <f t="shared" si="40"/>
        <v>3.1446540880503145E-2</v>
      </c>
      <c r="AT74" s="117">
        <f t="shared" si="41"/>
        <v>0.48113207547169812</v>
      </c>
      <c r="AU74" s="117">
        <f t="shared" si="42"/>
        <v>5.2410901467505244E-3</v>
      </c>
      <c r="AV74" s="117">
        <f t="shared" si="43"/>
        <v>0.33542976939203356</v>
      </c>
      <c r="AW74" s="117">
        <f t="shared" si="44"/>
        <v>1.1530398322851153E-2</v>
      </c>
      <c r="AX74" s="117">
        <f t="shared" si="45"/>
        <v>0.13207547169811321</v>
      </c>
      <c r="AY74">
        <f t="shared" si="55"/>
        <v>1</v>
      </c>
    </row>
    <row r="75" spans="2:51" ht="15" x14ac:dyDescent="0.25">
      <c r="B75" s="6" t="s">
        <v>36</v>
      </c>
      <c r="C75" s="7" t="s">
        <v>37</v>
      </c>
      <c r="D75" s="16">
        <f>'[14]Table 4.2'!T138</f>
        <v>1353</v>
      </c>
      <c r="E75" s="16">
        <f>'[14]Table 4.2'!U138</f>
        <v>465</v>
      </c>
      <c r="F75" s="16">
        <f>'[14]Table 4.2'!V138</f>
        <v>19</v>
      </c>
      <c r="G75" s="16">
        <f>'[14]Table 4.2'!W138</f>
        <v>6</v>
      </c>
      <c r="H75" s="16">
        <f>'[14]Table 4.2'!X138</f>
        <v>585</v>
      </c>
      <c r="I75" s="16">
        <f>'[14]Table 4.2'!Y138</f>
        <v>4</v>
      </c>
      <c r="J75" s="16">
        <f>'[14]Table 4.2'!Z138</f>
        <v>21</v>
      </c>
      <c r="K75" s="16">
        <f>'[14]Table 4.2'!AA138</f>
        <v>201</v>
      </c>
      <c r="L75" s="16">
        <f>'[14]Table 4.2'!AB138</f>
        <v>52</v>
      </c>
      <c r="M75" s="16">
        <f>'[14]Table 4.2'!AC138</f>
        <v>888</v>
      </c>
      <c r="N75" s="16">
        <f>'[14]Table 4.2'!AD138</f>
        <v>888</v>
      </c>
      <c r="O75" s="16"/>
      <c r="P75" s="16"/>
      <c r="R75" s="2">
        <f>'[15]Table 7.2'!AS140</f>
        <v>12.67</v>
      </c>
      <c r="S75" s="2">
        <f>'[15]Table 7.2'!AU140</f>
        <v>6.04</v>
      </c>
      <c r="T75" s="2">
        <f>'[15]Table 7.2'!AT140</f>
        <v>15.44</v>
      </c>
      <c r="U75" s="2">
        <f>'[15]Table 7.2'!AV140</f>
        <v>8.39</v>
      </c>
      <c r="V75" s="2">
        <f>'[15]Table 7.2'!AW140</f>
        <v>14.6</v>
      </c>
      <c r="W75" s="2">
        <f>'[15]Table 7.2'!AX140</f>
        <v>3.56</v>
      </c>
      <c r="X75" s="2">
        <f>'[15]Table 7.2'!AY140</f>
        <v>7.72</v>
      </c>
      <c r="Y75" s="4">
        <f>'[16]Table 7.6'!O112</f>
        <v>2.992481203007519</v>
      </c>
      <c r="Z75" s="4"/>
      <c r="AB75" s="51">
        <f>'[17]Table 7.6'!C112</f>
        <v>84</v>
      </c>
      <c r="AC75" s="51">
        <f>'[17]Table 7.6'!D112</f>
        <v>13703</v>
      </c>
      <c r="AD75" s="14">
        <f t="shared" si="46"/>
        <v>37.245364000000002</v>
      </c>
      <c r="AE75" s="3">
        <f>'[13]3DNAICS'!AX415</f>
        <v>9210</v>
      </c>
      <c r="AF75" s="52">
        <f t="shared" si="47"/>
        <v>247.27909760796001</v>
      </c>
      <c r="AG75" s="3"/>
      <c r="AH75" t="str">
        <f t="shared" si="48"/>
        <v>331</v>
      </c>
      <c r="AI75" s="9" t="str">
        <f t="shared" si="49"/>
        <v>Primary Metals</v>
      </c>
      <c r="AJ75" s="4">
        <f>'[6]Table 7.6'!BG89</f>
        <v>0</v>
      </c>
      <c r="AK75" s="4">
        <f>'[6]Table 7.6'!BH89</f>
        <v>0</v>
      </c>
      <c r="AL75">
        <f t="shared" si="50"/>
        <v>5891.55</v>
      </c>
      <c r="AM75" s="4">
        <f t="shared" si="51"/>
        <v>0</v>
      </c>
      <c r="AN75" s="14">
        <f t="shared" si="52"/>
        <v>6956.0390225563915</v>
      </c>
      <c r="AO75" s="4">
        <f t="shared" si="53"/>
        <v>7.8333772776535939</v>
      </c>
      <c r="AP75" s="3">
        <f>'[13]3DNAICS'!AX415</f>
        <v>9210</v>
      </c>
      <c r="AR75" s="117">
        <f t="shared" si="54"/>
        <v>2.1396396396396396E-2</v>
      </c>
      <c r="AS75" s="117">
        <f t="shared" si="40"/>
        <v>6.7567567567567571E-3</v>
      </c>
      <c r="AT75" s="117">
        <f t="shared" si="41"/>
        <v>0.65878378378378377</v>
      </c>
      <c r="AU75" s="117">
        <f t="shared" si="42"/>
        <v>4.5045045045045045E-3</v>
      </c>
      <c r="AV75" s="117">
        <f t="shared" si="43"/>
        <v>2.364864864864865E-2</v>
      </c>
      <c r="AW75" s="117">
        <f t="shared" si="44"/>
        <v>0.22635135135135134</v>
      </c>
      <c r="AX75" s="117">
        <f t="shared" si="45"/>
        <v>5.8558558558558557E-2</v>
      </c>
      <c r="AY75">
        <f t="shared" si="55"/>
        <v>0.99999999999999989</v>
      </c>
    </row>
    <row r="76" spans="2:51" ht="15" x14ac:dyDescent="0.25">
      <c r="B76" s="6" t="s">
        <v>38</v>
      </c>
      <c r="C76" s="7" t="s">
        <v>39</v>
      </c>
      <c r="D76" s="16">
        <f>'[14]Table 4.2'!T139</f>
        <v>396</v>
      </c>
      <c r="E76" s="16">
        <f>'[14]Table 4.2'!U139</f>
        <v>143</v>
      </c>
      <c r="F76" s="16">
        <f>'[14]Table 4.2'!V139</f>
        <v>0.5</v>
      </c>
      <c r="G76" s="16">
        <f>'[14]Table 4.2'!W139</f>
        <v>2</v>
      </c>
      <c r="H76" s="16">
        <f>'[14]Table 4.2'!X139</f>
        <v>240</v>
      </c>
      <c r="I76" s="16">
        <f>'[14]Table 4.2'!Y139</f>
        <v>4</v>
      </c>
      <c r="J76" s="16">
        <f>'[14]Table 4.2'!Z139</f>
        <v>0</v>
      </c>
      <c r="K76" s="16">
        <f>'[14]Table 4.2'!AA139</f>
        <v>3</v>
      </c>
      <c r="L76" s="16">
        <f>'[14]Table 4.2'!AB139</f>
        <v>3</v>
      </c>
      <c r="M76" s="16">
        <f>'[14]Table 4.2'!AC139</f>
        <v>252.5</v>
      </c>
      <c r="N76" s="16">
        <f>'[14]Table 4.2'!AD139</f>
        <v>253</v>
      </c>
      <c r="O76" s="16"/>
      <c r="P76" s="16"/>
      <c r="R76" s="2">
        <f>'[15]Table 7.2'!AS141</f>
        <v>21.48</v>
      </c>
      <c r="S76" s="10">
        <f>'[15]Table 7.2'!AU141</f>
        <v>8</v>
      </c>
      <c r="T76" s="2">
        <f>'[15]Table 7.2'!AT141</f>
        <v>20.399999999999999</v>
      </c>
      <c r="U76" s="2">
        <f>'[15]Table 7.2'!AV141</f>
        <v>8.8699999999999992</v>
      </c>
      <c r="V76" s="2">
        <f>'[15]Table 7.2'!AW141</f>
        <v>16.66</v>
      </c>
      <c r="W76" s="2">
        <f>'[15]Table 7.2'!AX141</f>
        <v>0</v>
      </c>
      <c r="X76" s="10">
        <f>'[15]Table 7.2'!AY141</f>
        <v>7.5</v>
      </c>
      <c r="Y76" s="43">
        <v>10</v>
      </c>
      <c r="Z76" s="43"/>
      <c r="AB76" s="51">
        <f>'[17]Table 7.6'!C113</f>
        <v>1766</v>
      </c>
      <c r="AC76" s="51">
        <f>'[17]Table 7.6'!D113</f>
        <v>48788</v>
      </c>
      <c r="AD76" s="14">
        <f t="shared" si="46"/>
        <v>1599.5353439999999</v>
      </c>
      <c r="AE76" s="3">
        <f>'[13]3DNAICS'!AX416</f>
        <v>2362</v>
      </c>
      <c r="AF76" s="52">
        <f t="shared" si="47"/>
        <v>1.4766788423025932</v>
      </c>
      <c r="AG76" s="3"/>
      <c r="AH76" t="str">
        <f t="shared" si="48"/>
        <v>332</v>
      </c>
      <c r="AI76" s="9" t="str">
        <f t="shared" si="49"/>
        <v>Fabricated Metal Products</v>
      </c>
      <c r="AJ76" s="4">
        <f>'[6]Table 7.6'!BG90</f>
        <v>0</v>
      </c>
      <c r="AK76" s="4">
        <f>'[6]Table 7.6'!BH90</f>
        <v>0</v>
      </c>
      <c r="AL76">
        <f t="shared" si="50"/>
        <v>3071.64</v>
      </c>
      <c r="AM76" s="4">
        <f t="shared" si="51"/>
        <v>0</v>
      </c>
      <c r="AN76" s="14">
        <f t="shared" si="52"/>
        <v>2292.7399999999998</v>
      </c>
      <c r="AO76" s="4">
        <f t="shared" si="53"/>
        <v>9.0801584158415825</v>
      </c>
      <c r="AP76" s="3">
        <f>'[13]3DNAICS'!AX416</f>
        <v>2362</v>
      </c>
      <c r="AR76" s="117">
        <f t="shared" si="54"/>
        <v>1.9801980198019802E-3</v>
      </c>
      <c r="AS76" s="117">
        <f t="shared" si="40"/>
        <v>7.9207920792079209E-3</v>
      </c>
      <c r="AT76" s="117">
        <f t="shared" si="41"/>
        <v>0.95049504950495045</v>
      </c>
      <c r="AU76" s="117">
        <f t="shared" si="42"/>
        <v>1.5841584158415842E-2</v>
      </c>
      <c r="AV76" s="117">
        <f t="shared" si="43"/>
        <v>0</v>
      </c>
      <c r="AW76" s="117">
        <f t="shared" si="44"/>
        <v>1.1881188118811881E-2</v>
      </c>
      <c r="AX76" s="117">
        <f t="shared" si="45"/>
        <v>1.1881188118811881E-2</v>
      </c>
      <c r="AY76">
        <f t="shared" si="55"/>
        <v>1</v>
      </c>
    </row>
    <row r="77" spans="2:51" ht="15" x14ac:dyDescent="0.25">
      <c r="B77" s="6" t="s">
        <v>40</v>
      </c>
      <c r="C77" s="7" t="s">
        <v>41</v>
      </c>
      <c r="D77" s="16">
        <f>'[14]Table 4.2'!T140</f>
        <v>204</v>
      </c>
      <c r="E77" s="16">
        <f>'[14]Table 4.2'!U140</f>
        <v>111</v>
      </c>
      <c r="F77" s="16">
        <f>'[14]Table 4.2'!V140</f>
        <v>1</v>
      </c>
      <c r="G77" s="16">
        <f>'[14]Table 4.2'!W140</f>
        <v>2</v>
      </c>
      <c r="H77" s="16">
        <f>'[14]Table 4.2'!X140</f>
        <v>84</v>
      </c>
      <c r="I77" s="16">
        <f>'[14]Table 4.2'!Y140</f>
        <v>3</v>
      </c>
      <c r="J77" s="16">
        <f>'[14]Table 4.2'!Z140</f>
        <v>1</v>
      </c>
      <c r="K77" s="16">
        <f>'[14]Table 4.2'!AA140</f>
        <v>0</v>
      </c>
      <c r="L77" s="16">
        <f>'[14]Table 4.2'!AB140</f>
        <v>2</v>
      </c>
      <c r="M77" s="16">
        <f>'[14]Table 4.2'!AC140</f>
        <v>93</v>
      </c>
      <c r="N77" s="16">
        <f>'[14]Table 4.2'!AD140</f>
        <v>93</v>
      </c>
      <c r="O77" s="16"/>
      <c r="P77" s="16"/>
      <c r="R77" s="2">
        <f>'[15]Table 7.2'!AS142</f>
        <v>20.98</v>
      </c>
      <c r="S77" s="10">
        <f>'[15]Table 7.2'!AU142</f>
        <v>8</v>
      </c>
      <c r="T77" s="2">
        <f>'[15]Table 7.2'!AT142</f>
        <v>18.73</v>
      </c>
      <c r="U77" s="2">
        <f>'[15]Table 7.2'!AV142</f>
        <v>12.09</v>
      </c>
      <c r="V77" s="2">
        <f>'[15]Table 7.2'!AW142</f>
        <v>16.73</v>
      </c>
      <c r="W77" s="2">
        <f>'[15]Table 7.2'!AX142</f>
        <v>2.67</v>
      </c>
      <c r="X77" s="2">
        <f>'[15]Table 7.2'!AY142</f>
        <v>0</v>
      </c>
      <c r="Y77" s="43">
        <v>20</v>
      </c>
      <c r="Z77" s="43"/>
      <c r="AB77" s="51">
        <f>'[17]Table 7.6'!C114</f>
        <v>5133</v>
      </c>
      <c r="AC77" s="51">
        <f>'[17]Table 7.6'!D114</f>
        <v>141054</v>
      </c>
      <c r="AD77" s="14">
        <f t="shared" si="46"/>
        <v>4651.7237519999999</v>
      </c>
      <c r="AE77" s="3">
        <f>'[13]3DNAICS'!AX417</f>
        <v>1157</v>
      </c>
      <c r="AF77" s="52">
        <f t="shared" si="47"/>
        <v>0.24872500210326334</v>
      </c>
      <c r="AG77" s="3"/>
      <c r="AH77" t="str">
        <f t="shared" si="48"/>
        <v>333</v>
      </c>
      <c r="AI77" s="9" t="str">
        <f t="shared" si="49"/>
        <v>Machinery</v>
      </c>
      <c r="AJ77" s="4">
        <f>'[6]Table 7.6'!BG91</f>
        <v>0</v>
      </c>
      <c r="AK77" s="4">
        <f>'[6]Table 7.6'!BH91</f>
        <v>0</v>
      </c>
      <c r="AL77">
        <f t="shared" si="50"/>
        <v>2328.7800000000002</v>
      </c>
      <c r="AM77" s="4">
        <f t="shared" si="51"/>
        <v>0</v>
      </c>
      <c r="AN77" s="14">
        <f t="shared" si="52"/>
        <v>1153.8800000000001</v>
      </c>
      <c r="AO77" s="4">
        <f t="shared" si="53"/>
        <v>12.40731182795699</v>
      </c>
      <c r="AP77" s="3">
        <f>'[13]3DNAICS'!AX417</f>
        <v>1157</v>
      </c>
      <c r="AR77" s="117">
        <f t="shared" si="54"/>
        <v>1.0752688172043012E-2</v>
      </c>
      <c r="AS77" s="117">
        <f t="shared" si="40"/>
        <v>2.1505376344086023E-2</v>
      </c>
      <c r="AT77" s="117">
        <f t="shared" si="41"/>
        <v>0.90322580645161288</v>
      </c>
      <c r="AU77" s="117">
        <f t="shared" si="42"/>
        <v>3.2258064516129031E-2</v>
      </c>
      <c r="AV77" s="117">
        <f t="shared" si="43"/>
        <v>1.0752688172043012E-2</v>
      </c>
      <c r="AW77" s="117">
        <f t="shared" si="44"/>
        <v>0</v>
      </c>
      <c r="AX77" s="117">
        <f t="shared" si="45"/>
        <v>2.1505376344086023E-2</v>
      </c>
      <c r="AY77">
        <f t="shared" si="55"/>
        <v>0.99999999999999989</v>
      </c>
    </row>
    <row r="78" spans="2:51" ht="15" x14ac:dyDescent="0.25">
      <c r="B78" s="6" t="s">
        <v>42</v>
      </c>
      <c r="C78" s="7" t="s">
        <v>43</v>
      </c>
      <c r="D78" s="16">
        <f>'[14]Table 4.2'!T141</f>
        <v>141</v>
      </c>
      <c r="E78" s="16">
        <f>'[14]Table 4.2'!U141</f>
        <v>94</v>
      </c>
      <c r="F78" s="16">
        <f>'[14]Table 4.2'!V141</f>
        <v>0.1</v>
      </c>
      <c r="G78" s="16">
        <f>'[14]Table 4.2'!W141</f>
        <v>1</v>
      </c>
      <c r="H78" s="16">
        <f>'[14]Table 4.2'!X141</f>
        <v>45</v>
      </c>
      <c r="I78" s="16">
        <f>'[14]Table 4.2'!Y141</f>
        <v>0.1</v>
      </c>
      <c r="J78" s="16">
        <f>'[14]Table 4.2'!Z141</f>
        <v>0</v>
      </c>
      <c r="K78" s="16">
        <f>'[14]Table 4.2'!AA141</f>
        <v>0</v>
      </c>
      <c r="L78" s="16">
        <f>'[14]Table 4.2'!AB141</f>
        <v>1</v>
      </c>
      <c r="M78" s="16">
        <f>'[14]Table 4.2'!AC141</f>
        <v>47.2</v>
      </c>
      <c r="N78" s="16">
        <f>'[14]Table 4.2'!AD141</f>
        <v>47</v>
      </c>
      <c r="O78" s="16"/>
      <c r="P78" s="16"/>
      <c r="R78" s="2">
        <f>'[15]Table 7.2'!AS143</f>
        <v>22.17</v>
      </c>
      <c r="S78" s="2">
        <f>'[15]Table 7.2'!AU143</f>
        <v>9.19</v>
      </c>
      <c r="T78" s="2">
        <f>'[15]Table 7.2'!AT143</f>
        <v>14.38</v>
      </c>
      <c r="U78" s="2">
        <f>'[15]Table 7.2'!AV143</f>
        <v>9.7799999999999994</v>
      </c>
      <c r="V78" s="2">
        <f>'[15]Table 7.2'!AW143</f>
        <v>18.059999999999999</v>
      </c>
      <c r="W78" s="2">
        <f>'[15]Table 7.2'!AX143</f>
        <v>0</v>
      </c>
      <c r="X78" s="2">
        <f>'[15]Table 7.2'!AY143</f>
        <v>0</v>
      </c>
      <c r="Y78" s="4">
        <f>'[16]Table 7.6'!O115</f>
        <v>6.5</v>
      </c>
      <c r="Z78" s="4"/>
      <c r="AB78" s="51">
        <f>'[17]Table 7.6'!C115</f>
        <v>272</v>
      </c>
      <c r="AC78" s="51">
        <f>'[17]Table 7.6'!D115</f>
        <v>45764</v>
      </c>
      <c r="AD78" s="14">
        <f t="shared" si="46"/>
        <v>115.85323199999999</v>
      </c>
      <c r="AE78" s="3">
        <f>'[13]3DNAICS'!AX418</f>
        <v>450</v>
      </c>
      <c r="AF78" s="52">
        <f t="shared" si="47"/>
        <v>3.8842248268050046</v>
      </c>
      <c r="AG78" s="3"/>
      <c r="AH78" t="str">
        <f t="shared" si="48"/>
        <v>334</v>
      </c>
      <c r="AI78" s="9" t="str">
        <f t="shared" si="49"/>
        <v>Computer and Electronic Products</v>
      </c>
      <c r="AJ78" s="4">
        <f>'[6]Table 7.6'!BG92</f>
        <v>0</v>
      </c>
      <c r="AK78" s="4">
        <f>'[6]Table 7.6'!BH92</f>
        <v>0</v>
      </c>
      <c r="AL78">
        <f t="shared" si="50"/>
        <v>2083.98</v>
      </c>
      <c r="AM78" s="4">
        <f t="shared" si="51"/>
        <v>0</v>
      </c>
      <c r="AN78" s="14">
        <f t="shared" si="52"/>
        <v>463.70499999999993</v>
      </c>
      <c r="AO78" s="4">
        <f t="shared" si="53"/>
        <v>9.8242584745762684</v>
      </c>
      <c r="AP78" s="3">
        <f>'[13]3DNAICS'!AX418</f>
        <v>450</v>
      </c>
      <c r="AR78" s="117">
        <f t="shared" si="54"/>
        <v>2.1186440677966102E-3</v>
      </c>
      <c r="AS78" s="117">
        <f t="shared" si="40"/>
        <v>2.1186440677966101E-2</v>
      </c>
      <c r="AT78" s="117">
        <f t="shared" si="41"/>
        <v>0.95338983050847448</v>
      </c>
      <c r="AU78" s="117">
        <f t="shared" si="42"/>
        <v>2.1186440677966102E-3</v>
      </c>
      <c r="AV78" s="117">
        <f t="shared" si="43"/>
        <v>0</v>
      </c>
      <c r="AW78" s="117">
        <f t="shared" si="44"/>
        <v>0</v>
      </c>
      <c r="AX78" s="117">
        <f t="shared" si="45"/>
        <v>2.1186440677966101E-2</v>
      </c>
      <c r="AY78">
        <f t="shared" si="55"/>
        <v>1</v>
      </c>
    </row>
    <row r="79" spans="2:51" ht="15" x14ac:dyDescent="0.25">
      <c r="B79" s="6" t="s">
        <v>44</v>
      </c>
      <c r="C79" s="7" t="s">
        <v>45</v>
      </c>
      <c r="D79" s="16">
        <f>'[14]Table 4.2'!T142</f>
        <v>87</v>
      </c>
      <c r="E79" s="16">
        <f>'[14]Table 4.2'!U142</f>
        <v>44</v>
      </c>
      <c r="F79" s="16">
        <f>'[14]Table 4.2'!V142</f>
        <v>0</v>
      </c>
      <c r="G79" s="16">
        <f>'[14]Table 4.2'!W142</f>
        <v>1</v>
      </c>
      <c r="H79" s="16">
        <f>'[14]Table 4.2'!X142</f>
        <v>41</v>
      </c>
      <c r="I79" s="16">
        <f>'[14]Table 4.2'!Y142</f>
        <v>1</v>
      </c>
      <c r="J79" s="16">
        <f>'[14]Table 4.2'!Z142</f>
        <v>0</v>
      </c>
      <c r="K79" s="16">
        <f>'[14]Table 4.2'!AA142</f>
        <v>0</v>
      </c>
      <c r="L79" s="16">
        <f>'[14]Table 4.2'!AB142</f>
        <v>0.3</v>
      </c>
      <c r="M79" s="16">
        <f>'[14]Table 4.2'!AC142</f>
        <v>43.3</v>
      </c>
      <c r="N79" s="16">
        <f>'[14]Table 4.2'!AD142</f>
        <v>43</v>
      </c>
      <c r="O79" s="16"/>
      <c r="P79" s="16"/>
      <c r="R79" s="2">
        <f>'[15]Table 7.2'!AS144</f>
        <v>19.09</v>
      </c>
      <c r="S79" s="10">
        <v>9</v>
      </c>
      <c r="T79" s="2">
        <f>'[15]Table 7.2'!AT144</f>
        <v>12.52</v>
      </c>
      <c r="U79" s="2">
        <f>'[15]Table 7.2'!AV144</f>
        <v>9.4600000000000009</v>
      </c>
      <c r="V79" s="2">
        <f>'[15]Table 7.2'!AW144</f>
        <v>20.58</v>
      </c>
      <c r="W79" s="10">
        <f>'[15]Table 7.2'!AX144</f>
        <v>3.5</v>
      </c>
      <c r="X79" s="2">
        <f>'[15]Table 7.2'!AY144</f>
        <v>0</v>
      </c>
      <c r="Y79" s="4">
        <f>'[16]Table 7.6'!O116</f>
        <v>6</v>
      </c>
      <c r="Z79" s="4"/>
      <c r="AB79" s="51">
        <f>'[17]Table 7.6'!C116</f>
        <v>714</v>
      </c>
      <c r="AC79" s="51">
        <f>'[17]Table 7.6'!D116</f>
        <v>32508</v>
      </c>
      <c r="AD79" s="14">
        <f t="shared" si="46"/>
        <v>603.08270400000004</v>
      </c>
      <c r="AE79" s="3">
        <f>'[13]3DNAICS'!AX419</f>
        <v>517</v>
      </c>
      <c r="AF79" s="52">
        <f t="shared" si="47"/>
        <v>0.85726219069283738</v>
      </c>
      <c r="AG79" s="3"/>
      <c r="AH79" t="str">
        <f t="shared" si="48"/>
        <v>335</v>
      </c>
      <c r="AI79" s="9" t="str">
        <f t="shared" si="49"/>
        <v>Electrical Equip., Appliances, and Components</v>
      </c>
      <c r="AJ79" s="4">
        <f>'[6]Table 7.6'!BG93</f>
        <v>0</v>
      </c>
      <c r="AK79" s="4">
        <f>'[6]Table 7.6'!BH93</f>
        <v>0</v>
      </c>
      <c r="AL79">
        <f t="shared" si="50"/>
        <v>839.96</v>
      </c>
      <c r="AM79" s="4">
        <f t="shared" si="51"/>
        <v>0</v>
      </c>
      <c r="AN79" s="14">
        <f t="shared" si="52"/>
        <v>422.76</v>
      </c>
      <c r="AO79" s="4">
        <f t="shared" si="53"/>
        <v>9.7635103926096996</v>
      </c>
      <c r="AP79" s="3">
        <f>'[13]3DNAICS'!AX419</f>
        <v>517</v>
      </c>
      <c r="AR79" s="117">
        <f t="shared" si="54"/>
        <v>0</v>
      </c>
      <c r="AS79" s="117">
        <f t="shared" si="40"/>
        <v>2.3094688221709007E-2</v>
      </c>
      <c r="AT79" s="117">
        <f t="shared" si="41"/>
        <v>0.94688221709006937</v>
      </c>
      <c r="AU79" s="117">
        <f t="shared" si="42"/>
        <v>2.3094688221709007E-2</v>
      </c>
      <c r="AV79" s="117">
        <f t="shared" si="43"/>
        <v>0</v>
      </c>
      <c r="AW79" s="117">
        <f t="shared" si="44"/>
        <v>0</v>
      </c>
      <c r="AX79" s="117">
        <f t="shared" si="45"/>
        <v>6.9284064665127024E-3</v>
      </c>
      <c r="AY79">
        <f t="shared" si="55"/>
        <v>1</v>
      </c>
    </row>
    <row r="80" spans="2:51" ht="15" x14ac:dyDescent="0.25">
      <c r="B80" s="6" t="s">
        <v>46</v>
      </c>
      <c r="C80" s="7" t="s">
        <v>47</v>
      </c>
      <c r="D80" s="16">
        <f>'[14]Table 4.2'!T143</f>
        <v>476</v>
      </c>
      <c r="E80" s="16">
        <f>'[14]Table 4.2'!U143</f>
        <v>195</v>
      </c>
      <c r="F80" s="16">
        <f>'[14]Table 4.2'!V143</f>
        <v>7</v>
      </c>
      <c r="G80" s="16">
        <f>'[14]Table 4.2'!W143</f>
        <v>3</v>
      </c>
      <c r="H80" s="16">
        <f>'[14]Table 4.2'!X143</f>
        <v>249</v>
      </c>
      <c r="I80" s="16">
        <f>'[14]Table 4.2'!Y143</f>
        <v>4</v>
      </c>
      <c r="J80" s="16">
        <f>'[14]Table 4.2'!Z143</f>
        <v>5</v>
      </c>
      <c r="K80" s="30">
        <v>0.1</v>
      </c>
      <c r="L80" s="16">
        <f>'[14]Table 4.2'!AB143</f>
        <v>13</v>
      </c>
      <c r="M80" s="16">
        <f>'[14]Table 4.2'!AC143</f>
        <v>281</v>
      </c>
      <c r="N80" s="16">
        <f>'[14]Table 4.2'!AD143</f>
        <v>281</v>
      </c>
      <c r="O80" s="16"/>
      <c r="P80" s="16"/>
      <c r="R80" s="2">
        <f>'[15]Table 7.2'!AS145</f>
        <v>18.09</v>
      </c>
      <c r="S80" s="2">
        <f>'[15]Table 7.2'!AU145</f>
        <v>7.56</v>
      </c>
      <c r="T80" s="2">
        <f>'[15]Table 7.2'!AT145</f>
        <v>16.579999999999998</v>
      </c>
      <c r="U80" s="2">
        <f>'[15]Table 7.2'!AV145</f>
        <v>7.04</v>
      </c>
      <c r="V80" s="2">
        <f>'[15]Table 7.2'!AW145</f>
        <v>13.57</v>
      </c>
      <c r="W80" s="2">
        <f>'[15]Table 7.2'!AX145</f>
        <v>3.09</v>
      </c>
      <c r="X80" s="10">
        <f>'[15]Table 7.2'!AY145</f>
        <v>7.5</v>
      </c>
      <c r="Y80" s="4">
        <f>'[16]Table 7.6'!O117</f>
        <v>7.4</v>
      </c>
      <c r="Z80" s="4"/>
      <c r="AB80" s="51">
        <f>'[17]Table 7.6'!C117</f>
        <v>1820</v>
      </c>
      <c r="AC80" s="51">
        <f>'[17]Table 7.6'!D117</f>
        <v>120608</v>
      </c>
      <c r="AD80" s="14">
        <f t="shared" si="46"/>
        <v>1408.485504</v>
      </c>
      <c r="AE80" s="3">
        <f>'[13]3DNAICS'!AX420</f>
        <v>2040</v>
      </c>
      <c r="AF80" s="52">
        <f t="shared" si="47"/>
        <v>1.4483642140487376</v>
      </c>
      <c r="AG80" s="3"/>
      <c r="AH80" t="str">
        <f t="shared" si="48"/>
        <v>336</v>
      </c>
      <c r="AI80" s="9" t="str">
        <f t="shared" si="49"/>
        <v>Transportation Equipment</v>
      </c>
      <c r="AJ80" s="4">
        <f>'[6]Table 7.6'!BG94</f>
        <v>0</v>
      </c>
      <c r="AK80" s="4">
        <f>'[6]Table 7.6'!BH94</f>
        <v>0</v>
      </c>
      <c r="AL80">
        <f t="shared" si="50"/>
        <v>3527.55</v>
      </c>
      <c r="AM80" s="4">
        <f t="shared" si="51"/>
        <v>0</v>
      </c>
      <c r="AN80" s="14">
        <f t="shared" si="52"/>
        <v>2022.3000000000002</v>
      </c>
      <c r="AO80" s="4">
        <f t="shared" si="53"/>
        <v>7.196797153024912</v>
      </c>
      <c r="AP80" s="3">
        <f>'[13]3DNAICS'!AX420</f>
        <v>2040</v>
      </c>
      <c r="AR80" s="117">
        <f t="shared" si="54"/>
        <v>2.491103202846975E-2</v>
      </c>
      <c r="AS80" s="117">
        <f t="shared" si="40"/>
        <v>1.0676156583629894E-2</v>
      </c>
      <c r="AT80" s="117">
        <f t="shared" si="41"/>
        <v>0.88612099644128117</v>
      </c>
      <c r="AU80" s="117">
        <f t="shared" si="42"/>
        <v>1.4234875444839857E-2</v>
      </c>
      <c r="AV80" s="117">
        <f t="shared" si="43"/>
        <v>1.7793594306049824E-2</v>
      </c>
      <c r="AW80" s="117">
        <f t="shared" si="44"/>
        <v>3.5587188612099647E-4</v>
      </c>
      <c r="AX80" s="117">
        <f t="shared" si="45"/>
        <v>4.6263345195729534E-2</v>
      </c>
      <c r="AY80">
        <f t="shared" si="55"/>
        <v>1.000355871886121</v>
      </c>
    </row>
    <row r="81" spans="2:51" ht="15" x14ac:dyDescent="0.25">
      <c r="B81" s="6" t="s">
        <v>48</v>
      </c>
      <c r="C81" s="7" t="s">
        <v>49</v>
      </c>
      <c r="D81" s="16">
        <f>'[14]Table 4.2'!T144</f>
        <v>54</v>
      </c>
      <c r="E81" s="16">
        <f>'[14]Table 4.2'!U144</f>
        <v>32</v>
      </c>
      <c r="F81" s="16">
        <f>'[14]Table 4.2'!V144</f>
        <v>0.2</v>
      </c>
      <c r="G81" s="16">
        <f>'[14]Table 4.2'!W144</f>
        <v>0.1</v>
      </c>
      <c r="H81" s="16">
        <f>'[14]Table 4.2'!X144</f>
        <v>17</v>
      </c>
      <c r="I81" s="16">
        <f>'[14]Table 4.2'!Y144</f>
        <v>1</v>
      </c>
      <c r="J81" s="16">
        <f>'[14]Table 4.2'!Z144</f>
        <v>3</v>
      </c>
      <c r="K81" s="16">
        <f>'[14]Table 4.2'!AA144</f>
        <v>0</v>
      </c>
      <c r="L81" s="16">
        <f>'[14]Table 4.2'!AB144</f>
        <v>1</v>
      </c>
      <c r="M81" s="16">
        <f>'[14]Table 4.2'!AC144</f>
        <v>22.3</v>
      </c>
      <c r="N81" s="16">
        <f>'[14]Table 4.2'!AD144</f>
        <v>22</v>
      </c>
      <c r="O81" s="16"/>
      <c r="P81" s="16"/>
      <c r="R81" s="2">
        <f>'[15]Table 7.2'!AS146</f>
        <v>20.57</v>
      </c>
      <c r="S81" s="10">
        <f>'[15]Table 7.2'!AU146</f>
        <v>8</v>
      </c>
      <c r="T81" s="2">
        <f>'[15]Table 7.2'!AT146</f>
        <v>16.940000000000001</v>
      </c>
      <c r="U81" s="2">
        <f>'[15]Table 7.2'!AV146</f>
        <v>10.33</v>
      </c>
      <c r="V81" s="2">
        <f>'[15]Table 7.2'!AW146</f>
        <v>17.87</v>
      </c>
      <c r="W81" s="2">
        <f>'[15]Table 7.2'!AX146</f>
        <v>1.87</v>
      </c>
      <c r="X81" s="2">
        <f>'[15]Table 7.2'!AY146</f>
        <v>0</v>
      </c>
      <c r="Y81" s="4">
        <f>'[16]Table 7.6'!O118</f>
        <v>3.5</v>
      </c>
      <c r="Z81" s="4"/>
      <c r="AB81" s="51">
        <f>'[17]Table 7.6'!C118</f>
        <v>300</v>
      </c>
      <c r="AC81" s="51">
        <f>'[17]Table 7.6'!D118</f>
        <v>37410</v>
      </c>
      <c r="AD81" s="14">
        <f t="shared" si="46"/>
        <v>172.35708</v>
      </c>
      <c r="AE81" s="3">
        <f>'[13]3DNAICS'!AX421</f>
        <v>223</v>
      </c>
      <c r="AF81" s="52">
        <f t="shared" si="47"/>
        <v>1.2938255858128951</v>
      </c>
      <c r="AG81" s="3"/>
      <c r="AH81" t="str">
        <f t="shared" si="48"/>
        <v>337</v>
      </c>
      <c r="AI81" s="9" t="str">
        <f t="shared" si="49"/>
        <v>Furniture and Related Products</v>
      </c>
      <c r="AJ81" s="4">
        <f>'[6]Table 7.6'!BG95</f>
        <v>0</v>
      </c>
      <c r="AK81" s="4">
        <f>'[6]Table 7.6'!BH95</f>
        <v>0</v>
      </c>
      <c r="AL81">
        <f t="shared" si="50"/>
        <v>658.24</v>
      </c>
      <c r="AM81" s="4">
        <f t="shared" si="51"/>
        <v>0</v>
      </c>
      <c r="AN81" s="14">
        <f t="shared" si="52"/>
        <v>205.88400000000004</v>
      </c>
      <c r="AO81" s="4">
        <f t="shared" si="53"/>
        <v>9.2324663677130054</v>
      </c>
      <c r="AP81" s="3">
        <f>'[13]3DNAICS'!AX421</f>
        <v>223</v>
      </c>
      <c r="AR81" s="117">
        <f t="shared" si="54"/>
        <v>8.9686098654708519E-3</v>
      </c>
      <c r="AS81" s="117">
        <f t="shared" si="40"/>
        <v>4.4843049327354259E-3</v>
      </c>
      <c r="AT81" s="117">
        <f t="shared" si="41"/>
        <v>0.7623318385650224</v>
      </c>
      <c r="AU81" s="117">
        <f t="shared" si="42"/>
        <v>4.4843049327354258E-2</v>
      </c>
      <c r="AV81" s="117">
        <f t="shared" si="43"/>
        <v>0.13452914798206278</v>
      </c>
      <c r="AW81" s="117">
        <f t="shared" si="44"/>
        <v>0</v>
      </c>
      <c r="AX81" s="117">
        <f t="shared" si="45"/>
        <v>4.4843049327354258E-2</v>
      </c>
      <c r="AY81">
        <f t="shared" si="55"/>
        <v>1</v>
      </c>
    </row>
    <row r="82" spans="2:51" ht="15" x14ac:dyDescent="0.25">
      <c r="B82" s="6" t="s">
        <v>50</v>
      </c>
      <c r="C82" s="7" t="s">
        <v>51</v>
      </c>
      <c r="D82" s="16">
        <f>'[14]Table 4.2'!T145</f>
        <v>66</v>
      </c>
      <c r="E82" s="16">
        <f>'[14]Table 4.2'!U145</f>
        <v>33</v>
      </c>
      <c r="F82" s="16">
        <f>'[14]Table 4.2'!V145</f>
        <v>2.5</v>
      </c>
      <c r="G82" s="16">
        <f>'[14]Table 4.2'!W145</f>
        <v>1</v>
      </c>
      <c r="H82" s="16">
        <f>'[14]Table 4.2'!X145</f>
        <v>25</v>
      </c>
      <c r="I82" s="16">
        <f>'[14]Table 4.2'!Y145</f>
        <v>1</v>
      </c>
      <c r="J82" s="16">
        <f>'[14]Table 4.2'!Z145</f>
        <v>0</v>
      </c>
      <c r="K82" s="16">
        <f>'[14]Table 4.2'!AA145</f>
        <v>0</v>
      </c>
      <c r="L82" s="16">
        <f>'[14]Table 4.2'!AB145</f>
        <v>3</v>
      </c>
      <c r="M82" s="16">
        <f>'[14]Table 4.2'!AC145</f>
        <v>32.5</v>
      </c>
      <c r="N82" s="16">
        <f>'[14]Table 4.2'!AD145</f>
        <v>33</v>
      </c>
      <c r="O82" s="16"/>
      <c r="P82" s="16"/>
      <c r="R82" s="2">
        <f>'[15]Table 7.2'!AS147</f>
        <v>25.55</v>
      </c>
      <c r="S82" s="10">
        <f>'[15]Table 7.2'!AU147</f>
        <v>8</v>
      </c>
      <c r="T82" s="2">
        <f>'[15]Table 7.2'!AT147</f>
        <v>17.32</v>
      </c>
      <c r="U82" s="2">
        <f>'[15]Table 7.2'!AV147</f>
        <v>9.7799999999999994</v>
      </c>
      <c r="V82" s="2">
        <f>'[15]Table 7.2'!AW147</f>
        <v>18.760000000000002</v>
      </c>
      <c r="W82" s="2">
        <f>'[15]Table 7.2'!AX147</f>
        <v>0</v>
      </c>
      <c r="X82" s="2">
        <f>'[15]Table 7.2'!AY147</f>
        <v>0</v>
      </c>
      <c r="Y82" s="4">
        <f>'[16]Table 7.6'!O119</f>
        <v>4</v>
      </c>
      <c r="Z82" s="4"/>
      <c r="AB82" s="51">
        <f>'[17]Table 7.6'!C119</f>
        <v>148</v>
      </c>
      <c r="AC82" s="51">
        <f>'[17]Table 7.6'!D119</f>
        <v>20385</v>
      </c>
      <c r="AD82" s="14">
        <f t="shared" si="46"/>
        <v>78.446380000000005</v>
      </c>
      <c r="AE82" s="3">
        <f>'[13]3DNAICS'!AX422</f>
        <v>266</v>
      </c>
      <c r="AF82" s="52">
        <f t="shared" si="47"/>
        <v>3.3908511775814256</v>
      </c>
      <c r="AG82" s="3"/>
      <c r="AH82" t="str">
        <f t="shared" si="48"/>
        <v>339</v>
      </c>
      <c r="AI82" s="9" t="str">
        <f t="shared" si="49"/>
        <v>Miscellaneous</v>
      </c>
      <c r="AJ82" s="4">
        <f>'[6]Table 7.6'!BG96</f>
        <v>0</v>
      </c>
      <c r="AK82" s="4">
        <f>'[6]Table 7.6'!BH96</f>
        <v>0</v>
      </c>
      <c r="AL82">
        <f t="shared" si="50"/>
        <v>843.15</v>
      </c>
      <c r="AM82" s="4">
        <f t="shared" si="51"/>
        <v>0</v>
      </c>
      <c r="AN82" s="14">
        <f t="shared" si="52"/>
        <v>312.58</v>
      </c>
      <c r="AO82" s="4">
        <f t="shared" si="53"/>
        <v>9.6178461538461537</v>
      </c>
      <c r="AP82" s="3">
        <f>'[13]3DNAICS'!AX422</f>
        <v>266</v>
      </c>
      <c r="AR82" s="117">
        <f t="shared" si="54"/>
        <v>7.6923076923076927E-2</v>
      </c>
      <c r="AS82" s="117">
        <f t="shared" si="40"/>
        <v>3.0769230769230771E-2</v>
      </c>
      <c r="AT82" s="117">
        <f t="shared" si="41"/>
        <v>0.76923076923076927</v>
      </c>
      <c r="AU82" s="117">
        <f t="shared" si="42"/>
        <v>3.0769230769230771E-2</v>
      </c>
      <c r="AV82" s="117">
        <f t="shared" si="43"/>
        <v>0</v>
      </c>
      <c r="AW82" s="117">
        <f t="shared" si="44"/>
        <v>0</v>
      </c>
      <c r="AX82" s="117">
        <f t="shared" si="45"/>
        <v>9.2307692307692313E-2</v>
      </c>
      <c r="AY82">
        <f t="shared" si="55"/>
        <v>1</v>
      </c>
    </row>
    <row r="83" spans="2:51" ht="15" x14ac:dyDescent="0.25">
      <c r="B83" s="6"/>
      <c r="C83" s="8" t="s">
        <v>0</v>
      </c>
      <c r="D83" s="16">
        <f>'[14]Table 4.2'!T146</f>
        <v>11647</v>
      </c>
      <c r="E83" s="16">
        <f>'[14]Table 4.2'!U146</f>
        <v>2914</v>
      </c>
      <c r="F83" s="16">
        <f>'[14]Table 4.2'!V146</f>
        <v>233</v>
      </c>
      <c r="G83" s="16">
        <f>'[14]Table 4.2'!W146</f>
        <v>121</v>
      </c>
      <c r="H83" s="16">
        <f>'[14]Table 4.2'!X146</f>
        <v>5506</v>
      </c>
      <c r="I83" s="16">
        <f>'[14]Table 4.2'!Y146</f>
        <v>54</v>
      </c>
      <c r="J83" s="16">
        <f>'[14]Table 4.2'!Z146</f>
        <v>1016</v>
      </c>
      <c r="K83" s="16">
        <f>'[14]Table 4.2'!AA146</f>
        <v>216</v>
      </c>
      <c r="L83" s="16">
        <f>'[14]Table 4.2'!AB146</f>
        <v>1586</v>
      </c>
      <c r="M83" s="16">
        <f>'[14]Table 4.2'!AC146</f>
        <v>8732</v>
      </c>
      <c r="N83" s="16">
        <f>'[14]Table 4.2'!AD146</f>
        <v>8733</v>
      </c>
      <c r="O83" s="16"/>
      <c r="P83" s="16"/>
      <c r="R83" s="2">
        <f>'[15]Table 7.2'!AS148</f>
        <v>17.28</v>
      </c>
      <c r="S83" s="2">
        <f>'[15]Table 7.2'!AU148</f>
        <v>7.74</v>
      </c>
      <c r="T83" s="2">
        <f>'[15]Table 7.2'!AT148</f>
        <v>15.65</v>
      </c>
      <c r="U83" s="2">
        <f>'[15]Table 7.2'!AV148</f>
        <v>7.84</v>
      </c>
      <c r="V83" s="2">
        <f>'[15]Table 7.2'!AW148</f>
        <v>13.14</v>
      </c>
      <c r="W83" s="2">
        <f>'[15]Table 7.2'!AX148</f>
        <v>2.97</v>
      </c>
      <c r="X83" s="2">
        <f>'[15]Table 7.2'!AY148</f>
        <v>7.55</v>
      </c>
      <c r="Y83" s="4">
        <f>'[16]Table 7.6'!O120</f>
        <v>3.9037780401416766</v>
      </c>
      <c r="Z83" s="4"/>
      <c r="AB83" s="51">
        <f>'[17]Table 7.6'!C120</f>
        <v>145</v>
      </c>
      <c r="AC83" s="51">
        <f>'[17]Table 7.6'!D120</f>
        <v>29491</v>
      </c>
      <c r="AD83" s="14">
        <f t="shared" si="46"/>
        <v>44.376707999999994</v>
      </c>
      <c r="AN83" s="14"/>
      <c r="AO83" s="4"/>
    </row>
    <row r="84" spans="2:51" ht="15" x14ac:dyDescent="0.25">
      <c r="B84" s="6"/>
      <c r="C84" s="8" t="s">
        <v>52</v>
      </c>
      <c r="D84" s="16">
        <f>'[14]Table 4.2'!T147</f>
        <v>11647</v>
      </c>
      <c r="E84" s="16">
        <f>'[14]Table 4.2'!U147</f>
        <v>2915</v>
      </c>
      <c r="F84" s="16">
        <f>'[14]Table 4.2'!V147</f>
        <v>232.99999999999997</v>
      </c>
      <c r="G84" s="16">
        <f>'[14]Table 4.2'!W147</f>
        <v>122.4</v>
      </c>
      <c r="H84" s="16">
        <f>'[14]Table 4.2'!X147</f>
        <v>5503</v>
      </c>
      <c r="I84" s="16">
        <f>'[14]Table 4.2'!Y147</f>
        <v>55.300000000000004</v>
      </c>
      <c r="J84" s="16">
        <f>'[14]Table 4.2'!Z147</f>
        <v>1014</v>
      </c>
      <c r="K84" s="16">
        <f>'[14]Table 4.2'!AA147</f>
        <v>216.7</v>
      </c>
      <c r="L84" s="16">
        <f>'[14]Table 4.2'!AB147</f>
        <v>1586.1</v>
      </c>
      <c r="M84" s="16">
        <f>'[14]Table 4.2'!AC147</f>
        <v>8730.5</v>
      </c>
      <c r="N84" s="16">
        <f>'[14]Table 4.2'!AD147</f>
        <v>8732</v>
      </c>
      <c r="O84" s="16"/>
      <c r="P84" s="16"/>
      <c r="Y84" s="4">
        <f>'[16]Table 7.6'!O121</f>
        <v>6.0528756957328387</v>
      </c>
      <c r="Z84" s="4"/>
      <c r="AN84" s="14">
        <f>SUM(AN62:AN83)</f>
        <v>61342.700142586931</v>
      </c>
      <c r="AO84" s="4"/>
    </row>
    <row r="85" spans="2:51" x14ac:dyDescent="0.2">
      <c r="AN85" s="14"/>
      <c r="AO85" s="4"/>
    </row>
    <row r="86" spans="2:51" x14ac:dyDescent="0.2">
      <c r="AN86" s="14"/>
      <c r="AO86" s="4"/>
    </row>
    <row r="87" spans="2:51" x14ac:dyDescent="0.2">
      <c r="C87" t="s">
        <v>133</v>
      </c>
      <c r="R87" t="s">
        <v>70</v>
      </c>
      <c r="AN87" s="14"/>
      <c r="AO87" s="4"/>
    </row>
    <row r="88" spans="2:51" ht="26.25" x14ac:dyDescent="0.25">
      <c r="F88" t="s">
        <v>53</v>
      </c>
      <c r="G88" t="s">
        <v>54</v>
      </c>
      <c r="I88" t="s">
        <v>55</v>
      </c>
      <c r="K88" t="s">
        <v>56</v>
      </c>
      <c r="AB88" s="126" t="s">
        <v>222</v>
      </c>
      <c r="AC88" s="126"/>
      <c r="AD88" s="126"/>
      <c r="AE88" s="126"/>
      <c r="AF88" s="126"/>
      <c r="AH88" s="20">
        <v>2010</v>
      </c>
      <c r="AN88" s="14"/>
      <c r="AO88" s="4"/>
      <c r="AR88" s="11" t="s">
        <v>85</v>
      </c>
      <c r="AS88">
        <v>2010</v>
      </c>
    </row>
    <row r="89" spans="2:51" ht="51" x14ac:dyDescent="0.2">
      <c r="B89" s="33">
        <v>2010</v>
      </c>
      <c r="D89" t="s">
        <v>0</v>
      </c>
      <c r="E89" t="s">
        <v>57</v>
      </c>
      <c r="F89" t="s">
        <v>58</v>
      </c>
      <c r="G89" t="s">
        <v>59</v>
      </c>
      <c r="H89" t="s">
        <v>60</v>
      </c>
      <c r="I89" t="s">
        <v>61</v>
      </c>
      <c r="J89" t="s">
        <v>62</v>
      </c>
      <c r="K89" t="s">
        <v>63</v>
      </c>
      <c r="L89" t="s">
        <v>64</v>
      </c>
      <c r="M89" s="40" t="s">
        <v>333</v>
      </c>
      <c r="N89" s="40" t="s">
        <v>334</v>
      </c>
      <c r="Q89" s="33">
        <v>2010</v>
      </c>
      <c r="R89" t="s">
        <v>2</v>
      </c>
      <c r="S89" t="s">
        <v>53</v>
      </c>
      <c r="T89" t="s">
        <v>54</v>
      </c>
      <c r="U89" t="s">
        <v>67</v>
      </c>
      <c r="V89" t="s">
        <v>68</v>
      </c>
      <c r="W89" t="s">
        <v>71</v>
      </c>
      <c r="X89" t="s">
        <v>56</v>
      </c>
      <c r="Y89" s="40" t="s">
        <v>338</v>
      </c>
      <c r="AB89" s="40" t="s">
        <v>129</v>
      </c>
      <c r="AC89" s="40"/>
      <c r="AD89" s="40" t="s">
        <v>132</v>
      </c>
      <c r="AE89" s="40" t="s">
        <v>128</v>
      </c>
      <c r="AF89" s="40" t="s">
        <v>130</v>
      </c>
      <c r="AJ89" s="11" t="s">
        <v>76</v>
      </c>
      <c r="AK89" s="11" t="s">
        <v>72</v>
      </c>
      <c r="AL89" s="11" t="s">
        <v>73</v>
      </c>
      <c r="AM89" s="11" t="s">
        <v>74</v>
      </c>
      <c r="AN89" s="18" t="s">
        <v>80</v>
      </c>
      <c r="AO89" s="12" t="s">
        <v>77</v>
      </c>
      <c r="AP89" s="11" t="s">
        <v>93</v>
      </c>
      <c r="AR89" t="s">
        <v>53</v>
      </c>
      <c r="AS89" t="s">
        <v>54</v>
      </c>
      <c r="AT89" t="s">
        <v>67</v>
      </c>
      <c r="AU89" t="s">
        <v>68</v>
      </c>
      <c r="AV89" t="s">
        <v>71</v>
      </c>
      <c r="AW89" t="s">
        <v>56</v>
      </c>
      <c r="AX89" t="s">
        <v>69</v>
      </c>
      <c r="AY89" t="s">
        <v>86</v>
      </c>
    </row>
    <row r="90" spans="2:51" ht="15" x14ac:dyDescent="0.25">
      <c r="B90" s="6" t="s">
        <v>10</v>
      </c>
      <c r="C90" s="7" t="s">
        <v>11</v>
      </c>
      <c r="D90" s="14">
        <f>'[18]Table 4.2'!C128</f>
        <v>1113</v>
      </c>
      <c r="E90" s="14">
        <f>'[18]Table 4.2'!D128</f>
        <v>258</v>
      </c>
      <c r="F90" s="14">
        <f>'[18]Table 4.2'!E128</f>
        <v>12</v>
      </c>
      <c r="G90" s="14">
        <f>'[18]Table 4.2'!F128</f>
        <v>22</v>
      </c>
      <c r="H90" s="14">
        <f>'[18]Table 4.2'!G128</f>
        <v>579</v>
      </c>
      <c r="I90" s="14">
        <f>'[18]Table 4.2'!H128</f>
        <v>5</v>
      </c>
      <c r="J90" s="14">
        <f>'[18]Table 4.2'!I128</f>
        <v>182</v>
      </c>
      <c r="K90" s="14">
        <f>'[18]Table 4.2'!J128</f>
        <v>2</v>
      </c>
      <c r="L90" s="14">
        <f>'[18]Table 4.2'!K128</f>
        <v>54</v>
      </c>
      <c r="M90" s="14">
        <f>'[18]Table 4.2'!L128</f>
        <v>856</v>
      </c>
      <c r="N90" s="14">
        <f>'[18]Table 4.2'!M128</f>
        <v>855</v>
      </c>
      <c r="O90" s="14"/>
      <c r="P90" s="14"/>
      <c r="R90" s="4">
        <f>'[5]Table 7.2'!AS107</f>
        <v>20.64</v>
      </c>
      <c r="S90" s="4">
        <f>'[5]Table 7.2'!AV107</f>
        <v>11.16</v>
      </c>
      <c r="T90" s="4">
        <f>'[5]Table 7.2'!AU107</f>
        <v>18.62</v>
      </c>
      <c r="U90" s="4">
        <f>'[5]Table 7.2'!AT107</f>
        <v>5.85</v>
      </c>
      <c r="V90" s="4">
        <f>'[5]Table 7.2'!AY107</f>
        <v>19.04</v>
      </c>
      <c r="W90" s="4">
        <f>'[5]Table 7.2'!AW107</f>
        <v>2.41</v>
      </c>
      <c r="X90" s="4">
        <f>'[5]Table 7.2'!AX107</f>
        <v>15.96</v>
      </c>
      <c r="Y90" s="4">
        <f>'[19]Table 7.6'!BF104</f>
        <v>5</v>
      </c>
      <c r="Z90" s="4"/>
      <c r="AB90" s="4">
        <f>'[19]Table 7.6'!C104</f>
        <v>1108</v>
      </c>
      <c r="AC90" s="4">
        <f>'[6]Table 7.6'!D104</f>
        <v>413</v>
      </c>
      <c r="AD90" s="14">
        <f t="shared" ref="AD90:AD110" si="56">AB90-(0.003412*AC90)</f>
        <v>1106.5908440000001</v>
      </c>
      <c r="AE90" s="3">
        <f>'[13]3DNAICS'!AX486</f>
        <v>4783</v>
      </c>
      <c r="AF90" s="52">
        <f>AE90/AD90</f>
        <v>4.3222840907583002</v>
      </c>
      <c r="AH90" t="str">
        <f>B90</f>
        <v>311</v>
      </c>
      <c r="AI90" s="9" t="str">
        <f>C90</f>
        <v>Food</v>
      </c>
      <c r="AJ90" s="4">
        <f>'[19]Table 7.6'!BG104</f>
        <v>10111</v>
      </c>
      <c r="AK90" s="4">
        <f>'[19]Table 7.6'!BH104</f>
        <v>5328</v>
      </c>
      <c r="AL90">
        <f>E90*R90</f>
        <v>5325.12</v>
      </c>
      <c r="AM90" s="4">
        <f>AJ90-AK90</f>
        <v>4783</v>
      </c>
      <c r="AN90" s="125">
        <f>SUMPRODUCT(F90:L90,S90:Y90)</f>
        <v>4766.45</v>
      </c>
      <c r="AO90" s="4">
        <f>AN90/M90</f>
        <v>5.568282710280374</v>
      </c>
      <c r="AP90" s="3">
        <f>'[20]3DNAICS'!AX486</f>
        <v>4783</v>
      </c>
      <c r="AQ90" s="3"/>
      <c r="AR90" s="117">
        <f>F90/$M90</f>
        <v>1.4018691588785047E-2</v>
      </c>
      <c r="AS90" s="117">
        <f t="shared" ref="AS90:AS110" si="57">G90/$M90</f>
        <v>2.5700934579439252E-2</v>
      </c>
      <c r="AT90" s="117">
        <f t="shared" ref="AT90:AT110" si="58">H90/$M90</f>
        <v>0.67640186915887845</v>
      </c>
      <c r="AU90" s="117">
        <f t="shared" ref="AU90:AU110" si="59">I90/$M90</f>
        <v>5.8411214953271026E-3</v>
      </c>
      <c r="AV90" s="117">
        <f t="shared" ref="AV90:AV110" si="60">J90/$M90</f>
        <v>0.21261682242990654</v>
      </c>
      <c r="AW90" s="117">
        <f t="shared" ref="AW90:AW110" si="61">K90/$M90</f>
        <v>2.3364485981308409E-3</v>
      </c>
      <c r="AX90" s="117">
        <f t="shared" ref="AX90:AX110" si="62">L90/$M90</f>
        <v>6.3084112149532703E-2</v>
      </c>
      <c r="AY90">
        <f>SUM(AR90:AX90)</f>
        <v>1</v>
      </c>
    </row>
    <row r="91" spans="2:51" ht="15" x14ac:dyDescent="0.25">
      <c r="B91" s="6" t="s">
        <v>12</v>
      </c>
      <c r="C91" s="7" t="s">
        <v>13</v>
      </c>
      <c r="D91" s="14">
        <f>'[18]Table 4.2'!C129</f>
        <v>85</v>
      </c>
      <c r="E91" s="14">
        <f>'[18]Table 4.2'!D129</f>
        <v>29</v>
      </c>
      <c r="F91" s="14">
        <f>'[18]Table 4.2'!E129</f>
        <v>1</v>
      </c>
      <c r="G91" s="14">
        <f>'[18]Table 4.2'!F129</f>
        <v>1</v>
      </c>
      <c r="H91" s="14">
        <f>'[18]Table 4.2'!G129</f>
        <v>38</v>
      </c>
      <c r="I91" s="14">
        <f>'[18]Table 4.2'!H129</f>
        <v>1</v>
      </c>
      <c r="J91" s="14">
        <f>'[18]Table 4.2'!I129</f>
        <v>10</v>
      </c>
      <c r="K91" s="14">
        <f>'[18]Table 4.2'!J129</f>
        <v>0</v>
      </c>
      <c r="L91" s="14">
        <f>'[18]Table 4.2'!K129</f>
        <v>5</v>
      </c>
      <c r="M91" s="14">
        <f>'[18]Table 4.2'!L129</f>
        <v>56</v>
      </c>
      <c r="N91" s="14">
        <f>'[18]Table 4.2'!M129</f>
        <v>56</v>
      </c>
      <c r="O91" s="14"/>
      <c r="P91" s="14"/>
      <c r="R91" s="4">
        <f>'[5]Table 7.2'!AS108</f>
        <v>25.6</v>
      </c>
      <c r="S91" s="4">
        <f>'[5]Table 7.2'!AV108</f>
        <v>11.02</v>
      </c>
      <c r="T91" s="4">
        <f>'[5]Table 7.2'!AU108</f>
        <v>13</v>
      </c>
      <c r="U91" s="4">
        <f>'[5]Table 7.2'!AT108</f>
        <v>6.48</v>
      </c>
      <c r="V91" s="4">
        <f>'[5]Table 7.2'!AY108</f>
        <v>20.32</v>
      </c>
      <c r="W91" s="4">
        <f>'[5]Table 7.2'!AW108</f>
        <v>4.29</v>
      </c>
      <c r="X91" s="4">
        <f>'[5]Table 7.2'!AX108</f>
        <v>0</v>
      </c>
      <c r="Y91" s="4">
        <f>'[19]Table 7.6'!BF105</f>
        <v>7</v>
      </c>
      <c r="Z91" s="4"/>
      <c r="AB91" s="4">
        <f>'[19]Table 7.6'!C105</f>
        <v>85</v>
      </c>
      <c r="AC91" s="4">
        <f>'[6]Table 7.6'!D105</f>
        <v>27443</v>
      </c>
      <c r="AD91" s="14">
        <f t="shared" si="56"/>
        <v>-8.6355160000000097</v>
      </c>
      <c r="AE91" s="3">
        <f>'[13]3DNAICS'!AX487</f>
        <v>380</v>
      </c>
      <c r="AF91" s="52">
        <f t="shared" ref="AF91:AF110" si="63">AE91/AD91</f>
        <v>-44.00431890809994</v>
      </c>
      <c r="AH91" t="str">
        <f t="shared" ref="AH91:AH110" si="64">B91</f>
        <v>312</v>
      </c>
      <c r="AI91" s="9" t="str">
        <f t="shared" ref="AI91:AI110" si="65">C91</f>
        <v>Beverage and Tobacco Products</v>
      </c>
      <c r="AJ91" s="4">
        <f>'[19]Table 7.6'!BG105</f>
        <v>1106</v>
      </c>
      <c r="AK91" s="4">
        <f>'[19]Table 7.6'!BH105</f>
        <v>728</v>
      </c>
      <c r="AL91">
        <f t="shared" ref="AL91:AL110" si="66">E91*R91</f>
        <v>742.40000000000009</v>
      </c>
      <c r="AM91" s="4">
        <f t="shared" ref="AM91:AM110" si="67">AJ91-AK91</f>
        <v>378</v>
      </c>
      <c r="AN91" s="125">
        <f t="shared" ref="AN91:AN110" si="68">SUMPRODUCT(F91:L91,S91:Y91)</f>
        <v>368.47999999999996</v>
      </c>
      <c r="AO91" s="4">
        <f t="shared" ref="AO91:AO110" si="69">AN91/M91</f>
        <v>6.5799999999999992</v>
      </c>
      <c r="AP91" s="3">
        <f>'[20]3DNAICS'!AX487</f>
        <v>380</v>
      </c>
      <c r="AQ91" s="3"/>
      <c r="AR91" s="117">
        <f t="shared" ref="AR91:AR110" si="70">F91/$M91</f>
        <v>1.7857142857142856E-2</v>
      </c>
      <c r="AS91" s="117">
        <f t="shared" si="57"/>
        <v>1.7857142857142856E-2</v>
      </c>
      <c r="AT91" s="117">
        <f t="shared" si="58"/>
        <v>0.6785714285714286</v>
      </c>
      <c r="AU91" s="117">
        <f t="shared" si="59"/>
        <v>1.7857142857142856E-2</v>
      </c>
      <c r="AV91" s="117">
        <f t="shared" si="60"/>
        <v>0.17857142857142858</v>
      </c>
      <c r="AW91" s="117">
        <f t="shared" si="61"/>
        <v>0</v>
      </c>
      <c r="AX91" s="117">
        <f t="shared" si="62"/>
        <v>8.9285714285714288E-2</v>
      </c>
      <c r="AY91">
        <f t="shared" ref="AY91:AY110" si="71">SUM(AR91:AX91)</f>
        <v>1</v>
      </c>
    </row>
    <row r="92" spans="2:51" ht="15" x14ac:dyDescent="0.25">
      <c r="B92" s="6" t="s">
        <v>14</v>
      </c>
      <c r="C92" s="7" t="s">
        <v>15</v>
      </c>
      <c r="D92" s="14">
        <f>'[18]Table 4.2'!C130</f>
        <v>95</v>
      </c>
      <c r="E92" s="14">
        <f>'[18]Table 4.2'!D130</f>
        <v>46</v>
      </c>
      <c r="F92" s="14">
        <f>'[18]Table 4.2'!E130</f>
        <v>2</v>
      </c>
      <c r="G92" s="14">
        <f>'[18]Table 4.2'!F130</f>
        <v>1</v>
      </c>
      <c r="H92" s="14">
        <f>'[18]Table 4.2'!G130</f>
        <v>31</v>
      </c>
      <c r="I92" s="14">
        <f>'[18]Table 4.2'!H130</f>
        <v>1</v>
      </c>
      <c r="J92" s="14">
        <f>'[18]Table 4.2'!I130</f>
        <v>8</v>
      </c>
      <c r="K92" s="14">
        <f>'[18]Table 4.2'!J130</f>
        <v>0</v>
      </c>
      <c r="L92" s="14">
        <f>'[18]Table 4.2'!K130</f>
        <v>6</v>
      </c>
      <c r="M92" s="14">
        <f>'[18]Table 4.2'!L130</f>
        <v>49</v>
      </c>
      <c r="N92" s="14">
        <f>'[18]Table 4.2'!M130</f>
        <v>49</v>
      </c>
      <c r="O92" s="14"/>
      <c r="P92" s="14"/>
      <c r="R92" s="4">
        <f>'[5]Table 7.2'!AS109</f>
        <v>18.899999999999999</v>
      </c>
      <c r="S92" s="4">
        <f>'[5]Table 7.2'!AV109</f>
        <v>13.84</v>
      </c>
      <c r="T92" s="4">
        <f>'[5]Table 7.2'!AU109</f>
        <v>16.940000000000001</v>
      </c>
      <c r="U92" s="4">
        <f>'[5]Table 7.2'!AT109</f>
        <v>6.95</v>
      </c>
      <c r="V92" s="4">
        <f>'[5]Table 7.2'!AY109</f>
        <v>17.899999999999999</v>
      </c>
      <c r="W92" s="4">
        <f>'[5]Table 7.2'!AW109</f>
        <v>4.67</v>
      </c>
      <c r="X92" s="4">
        <f>'[5]Table 7.2'!AX109</f>
        <v>0</v>
      </c>
      <c r="Y92" s="4">
        <f>'[19]Table 7.6'!BF106</f>
        <v>5.4285714285714288</v>
      </c>
      <c r="Z92" s="4"/>
      <c r="AB92" s="4">
        <f>'[19]Table 7.6'!C106</f>
        <v>95</v>
      </c>
      <c r="AC92" s="4">
        <f>'[6]Table 7.6'!D106</f>
        <v>76538</v>
      </c>
      <c r="AD92" s="14">
        <f t="shared" si="56"/>
        <v>-166.14765599999998</v>
      </c>
      <c r="AE92" s="3">
        <f>'[13]3DNAICS'!AX488</f>
        <v>351</v>
      </c>
      <c r="AF92" s="52">
        <f t="shared" si="63"/>
        <v>-2.1125787052933207</v>
      </c>
      <c r="AH92" t="str">
        <f t="shared" si="64"/>
        <v>313</v>
      </c>
      <c r="AI92" s="9" t="str">
        <f t="shared" si="65"/>
        <v>Textile Mills</v>
      </c>
      <c r="AJ92" s="4">
        <f>'[19]Table 7.6'!BG106</f>
        <v>1212</v>
      </c>
      <c r="AK92" s="4">
        <f>'[19]Table 7.6'!BH106</f>
        <v>861</v>
      </c>
      <c r="AL92">
        <f t="shared" si="66"/>
        <v>869.4</v>
      </c>
      <c r="AM92" s="4">
        <f t="shared" si="67"/>
        <v>351</v>
      </c>
      <c r="AN92" s="125">
        <f t="shared" si="68"/>
        <v>347.9014285714286</v>
      </c>
      <c r="AO92" s="4">
        <f t="shared" si="69"/>
        <v>7.1000291545189507</v>
      </c>
      <c r="AP92" s="3">
        <f>'[20]3DNAICS'!AX488</f>
        <v>351</v>
      </c>
      <c r="AQ92" s="3"/>
      <c r="AR92" s="117">
        <f t="shared" si="70"/>
        <v>4.0816326530612242E-2</v>
      </c>
      <c r="AS92" s="117">
        <f t="shared" si="57"/>
        <v>2.0408163265306121E-2</v>
      </c>
      <c r="AT92" s="117">
        <f t="shared" si="58"/>
        <v>0.63265306122448983</v>
      </c>
      <c r="AU92" s="117">
        <f t="shared" si="59"/>
        <v>2.0408163265306121E-2</v>
      </c>
      <c r="AV92" s="117">
        <f t="shared" si="60"/>
        <v>0.16326530612244897</v>
      </c>
      <c r="AW92" s="117">
        <f t="shared" si="61"/>
        <v>0</v>
      </c>
      <c r="AX92" s="117">
        <f t="shared" si="62"/>
        <v>0.12244897959183673</v>
      </c>
      <c r="AY92">
        <f t="shared" si="71"/>
        <v>1</v>
      </c>
    </row>
    <row r="93" spans="2:51" ht="15" x14ac:dyDescent="0.25">
      <c r="B93" s="6" t="s">
        <v>16</v>
      </c>
      <c r="C93" s="7" t="s">
        <v>17</v>
      </c>
      <c r="D93" s="14">
        <f>'[18]Table 4.2'!C131</f>
        <v>20</v>
      </c>
      <c r="E93" s="14">
        <f>'[18]Table 4.2'!D131</f>
        <v>8</v>
      </c>
      <c r="F93" s="14">
        <f>'[18]Table 4.2'!E131</f>
        <v>0.1</v>
      </c>
      <c r="G93" s="14">
        <f>'[18]Table 4.2'!F131</f>
        <v>0.1</v>
      </c>
      <c r="H93" s="14">
        <f>'[18]Table 4.2'!G131</f>
        <v>9</v>
      </c>
      <c r="I93" s="14">
        <f>'[18]Table 4.2'!H131</f>
        <v>0.1</v>
      </c>
      <c r="J93" s="14">
        <f>'[18]Table 4.2'!I131</f>
        <v>2</v>
      </c>
      <c r="K93" s="14">
        <f>'[18]Table 4.2'!J131</f>
        <v>0</v>
      </c>
      <c r="L93" s="14">
        <f>'[18]Table 4.2'!K131</f>
        <v>0.3</v>
      </c>
      <c r="M93" s="14">
        <f>'[18]Table 4.2'!L131</f>
        <v>11.6</v>
      </c>
      <c r="N93" s="14">
        <f>'[18]Table 4.2'!M131</f>
        <v>12</v>
      </c>
      <c r="O93" s="14"/>
      <c r="P93" s="14"/>
      <c r="R93" s="4">
        <f>'[5]Table 7.2'!AS110</f>
        <v>22.06</v>
      </c>
      <c r="S93" s="4">
        <f>'[5]Table 7.2'!AV110</f>
        <v>17.64</v>
      </c>
      <c r="T93" s="4">
        <f>'[5]Table 7.2'!AU110</f>
        <v>14.42</v>
      </c>
      <c r="U93" s="4">
        <f>'[5]Table 7.2'!AT110</f>
        <v>6.77</v>
      </c>
      <c r="V93" s="4">
        <f>'[5]Table 7.2'!AY110</f>
        <v>18.53</v>
      </c>
      <c r="W93" s="4">
        <f>'[5]Table 7.2'!AW110</f>
        <v>3.65</v>
      </c>
      <c r="X93" s="4">
        <f>'[5]Table 7.2'!AX110</f>
        <v>0</v>
      </c>
      <c r="Y93" s="4">
        <f>'[19]Table 7.6'!BF107</f>
        <v>5</v>
      </c>
      <c r="Z93" s="4"/>
      <c r="AB93" s="4">
        <f>'[19]Table 7.6'!C107</f>
        <v>20</v>
      </c>
      <c r="AC93" s="4">
        <f>'[6]Table 7.6'!D107</f>
        <v>12991</v>
      </c>
      <c r="AD93" s="14">
        <f t="shared" si="56"/>
        <v>-24.325292000000005</v>
      </c>
      <c r="AE93" s="3">
        <f>'[13]3DNAICS'!AX489</f>
        <v>81</v>
      </c>
      <c r="AF93" s="52">
        <f t="shared" si="63"/>
        <v>-3.3298675304699317</v>
      </c>
      <c r="AH93" t="str">
        <f t="shared" si="64"/>
        <v>314</v>
      </c>
      <c r="AI93" s="9" t="str">
        <f t="shared" si="65"/>
        <v>Textile Product Mills</v>
      </c>
      <c r="AJ93" s="4">
        <f>'[19]Table 7.6'!BG107</f>
        <v>266</v>
      </c>
      <c r="AK93" s="4">
        <f>'[19]Table 7.6'!BH107</f>
        <v>185</v>
      </c>
      <c r="AL93">
        <f t="shared" si="66"/>
        <v>176.48</v>
      </c>
      <c r="AM93" s="4">
        <f t="shared" si="67"/>
        <v>81</v>
      </c>
      <c r="AN93" s="125">
        <f t="shared" si="68"/>
        <v>74.788999999999987</v>
      </c>
      <c r="AO93" s="4">
        <f t="shared" si="69"/>
        <v>6.4473275862068959</v>
      </c>
      <c r="AP93" s="3">
        <f>'[20]3DNAICS'!AX489</f>
        <v>81</v>
      </c>
      <c r="AQ93" s="3"/>
      <c r="AR93" s="117">
        <f t="shared" si="70"/>
        <v>8.6206896551724137E-3</v>
      </c>
      <c r="AS93" s="117">
        <f t="shared" si="57"/>
        <v>8.6206896551724137E-3</v>
      </c>
      <c r="AT93" s="117">
        <f t="shared" si="58"/>
        <v>0.77586206896551724</v>
      </c>
      <c r="AU93" s="117">
        <f t="shared" si="59"/>
        <v>8.6206896551724137E-3</v>
      </c>
      <c r="AV93" s="117">
        <f t="shared" si="60"/>
        <v>0.17241379310344829</v>
      </c>
      <c r="AW93" s="117">
        <f t="shared" si="61"/>
        <v>0</v>
      </c>
      <c r="AX93" s="117">
        <f t="shared" si="62"/>
        <v>2.5862068965517241E-2</v>
      </c>
      <c r="AY93">
        <f t="shared" si="71"/>
        <v>1</v>
      </c>
    </row>
    <row r="94" spans="2:51" ht="15" x14ac:dyDescent="0.25">
      <c r="B94" s="6" t="s">
        <v>18</v>
      </c>
      <c r="C94" s="7" t="s">
        <v>19</v>
      </c>
      <c r="D94" s="14">
        <f>'[18]Table 4.2'!C132</f>
        <v>6</v>
      </c>
      <c r="E94" s="14">
        <f>'[18]Table 4.2'!D132</f>
        <v>4</v>
      </c>
      <c r="F94" s="14">
        <f>'[18]Table 4.2'!E132</f>
        <v>0</v>
      </c>
      <c r="G94" s="14">
        <f>'[18]Table 4.2'!F132</f>
        <v>0.1</v>
      </c>
      <c r="H94" s="14">
        <f>'[18]Table 4.2'!G132</f>
        <v>2</v>
      </c>
      <c r="I94" s="14">
        <f>'[18]Table 4.2'!H132</f>
        <v>0.1</v>
      </c>
      <c r="J94" s="14">
        <f>'[18]Table 4.2'!I132</f>
        <v>0</v>
      </c>
      <c r="K94" s="14">
        <f>'[18]Table 4.2'!J132</f>
        <v>0</v>
      </c>
      <c r="L94" s="14">
        <f>'[18]Table 4.2'!K132</f>
        <v>1E-3</v>
      </c>
      <c r="M94" s="14">
        <f>'[18]Table 4.2'!L132</f>
        <v>2.2010000000000001</v>
      </c>
      <c r="N94" s="14">
        <f>'[18]Table 4.2'!M132</f>
        <v>2</v>
      </c>
      <c r="O94" s="14"/>
      <c r="P94" s="14"/>
      <c r="R94" s="4">
        <f>'[5]Table 7.2'!AS111</f>
        <v>25.98</v>
      </c>
      <c r="S94" s="36">
        <v>19</v>
      </c>
      <c r="T94" s="4">
        <f>'[5]Table 7.2'!AU111</f>
        <v>15.3</v>
      </c>
      <c r="U94" s="4">
        <f>'[5]Table 7.2'!AT111</f>
        <v>8.6199999999999992</v>
      </c>
      <c r="V94" s="4">
        <f>'[5]Table 7.2'!AY111</f>
        <v>23.11</v>
      </c>
      <c r="W94" s="4">
        <f>'[5]Table 7.2'!AW111</f>
        <v>0</v>
      </c>
      <c r="X94" s="4">
        <f>'[5]Table 7.2'!AX111</f>
        <v>0</v>
      </c>
      <c r="Y94" s="4">
        <f>'[19]Table 7.6'!BF108</f>
        <v>5</v>
      </c>
      <c r="Z94" s="4"/>
      <c r="AB94" s="4">
        <f>'[19]Table 7.6'!C108</f>
        <v>6</v>
      </c>
      <c r="AC94" s="4">
        <f>'[6]Table 7.6'!D108</f>
        <v>43853</v>
      </c>
      <c r="AD94" s="14">
        <f t="shared" si="56"/>
        <v>-143.62643600000001</v>
      </c>
      <c r="AE94" s="3">
        <f>'[13]3DNAICS'!AX490</f>
        <v>25</v>
      </c>
      <c r="AF94" s="52">
        <f t="shared" si="63"/>
        <v>-0.17406266350576294</v>
      </c>
      <c r="AH94" t="str">
        <f t="shared" si="64"/>
        <v>315</v>
      </c>
      <c r="AI94" s="9" t="str">
        <f t="shared" si="65"/>
        <v>Apparel</v>
      </c>
      <c r="AJ94" s="4">
        <f>'[19]Table 7.6'!BG108</f>
        <v>120</v>
      </c>
      <c r="AK94" s="4">
        <f>'[19]Table 7.6'!BH108</f>
        <v>95</v>
      </c>
      <c r="AL94">
        <f t="shared" si="66"/>
        <v>103.92</v>
      </c>
      <c r="AM94" s="4">
        <f t="shared" si="67"/>
        <v>25</v>
      </c>
      <c r="AN94" s="125">
        <f t="shared" si="68"/>
        <v>21.085999999999999</v>
      </c>
      <c r="AO94" s="4">
        <f t="shared" si="69"/>
        <v>9.5801908223534742</v>
      </c>
      <c r="AP94" s="3">
        <f>'[20]3DNAICS'!AX490</f>
        <v>25</v>
      </c>
      <c r="AQ94" s="3"/>
      <c r="AR94" s="117">
        <f t="shared" si="70"/>
        <v>0</v>
      </c>
      <c r="AS94" s="117">
        <f t="shared" si="57"/>
        <v>4.5433893684688781E-2</v>
      </c>
      <c r="AT94" s="117">
        <f t="shared" si="58"/>
        <v>0.90867787369377551</v>
      </c>
      <c r="AU94" s="117">
        <f t="shared" si="59"/>
        <v>4.5433893684688781E-2</v>
      </c>
      <c r="AV94" s="117">
        <f t="shared" si="60"/>
        <v>0</v>
      </c>
      <c r="AW94" s="117">
        <f t="shared" si="61"/>
        <v>0</v>
      </c>
      <c r="AX94" s="117">
        <f t="shared" si="62"/>
        <v>4.5433893684688776E-4</v>
      </c>
      <c r="AY94">
        <f t="shared" si="71"/>
        <v>0.99999999999999989</v>
      </c>
    </row>
    <row r="95" spans="2:51" ht="15" x14ac:dyDescent="0.25">
      <c r="B95" s="6" t="s">
        <v>20</v>
      </c>
      <c r="C95" s="7" t="s">
        <v>21</v>
      </c>
      <c r="D95" s="14">
        <f>'[18]Table 4.2'!C133</f>
        <v>2</v>
      </c>
      <c r="E95" s="14">
        <f>'[18]Table 4.2'!D133</f>
        <v>1</v>
      </c>
      <c r="F95" s="14">
        <f>'[18]Table 4.2'!E133</f>
        <v>0.1</v>
      </c>
      <c r="G95" s="14">
        <f>'[18]Table 4.2'!F133</f>
        <v>0.1</v>
      </c>
      <c r="H95" s="14">
        <f>'[18]Table 4.2'!G133</f>
        <v>1</v>
      </c>
      <c r="I95" s="14">
        <f>'[18]Table 4.2'!H133</f>
        <v>0.1</v>
      </c>
      <c r="J95" s="14">
        <f>'[18]Table 4.2'!I133</f>
        <v>0</v>
      </c>
      <c r="K95" s="14">
        <f>'[18]Table 4.2'!J133</f>
        <v>0</v>
      </c>
      <c r="L95" s="14">
        <f>'[18]Table 4.2'!K133</f>
        <v>1E-3</v>
      </c>
      <c r="M95" s="14">
        <f>'[18]Table 4.2'!L133</f>
        <v>1.3009999999999999</v>
      </c>
      <c r="N95" s="14">
        <f>'[18]Table 4.2'!M133</f>
        <v>1</v>
      </c>
      <c r="O95" s="14"/>
      <c r="P95" s="14"/>
      <c r="R95" s="4">
        <f>'[5]Table 7.2'!AS112</f>
        <v>29.9</v>
      </c>
      <c r="S95" s="4">
        <f>'[5]Table 7.2'!AV112</f>
        <v>16.05</v>
      </c>
      <c r="T95" s="4">
        <f>'[5]Table 7.2'!AU112</f>
        <v>21.02</v>
      </c>
      <c r="U95" s="4">
        <f>'[5]Table 7.2'!AT112</f>
        <v>7.57</v>
      </c>
      <c r="V95" s="4">
        <f>'[5]Table 7.2'!AY112</f>
        <v>22.2</v>
      </c>
      <c r="W95" s="4">
        <f>'[5]Table 7.2'!AW112</f>
        <v>0</v>
      </c>
      <c r="X95" s="4">
        <f>'[5]Table 7.2'!AX112</f>
        <v>0</v>
      </c>
      <c r="Y95" s="4">
        <f>'[19]Table 7.6'!BF109</f>
        <v>5</v>
      </c>
      <c r="Z95" s="4"/>
      <c r="AB95" s="4">
        <f>'[19]Table 7.6'!C109</f>
        <v>2</v>
      </c>
      <c r="AC95" s="4">
        <f>'[6]Table 7.6'!D109</f>
        <v>156682</v>
      </c>
      <c r="AD95" s="14">
        <f t="shared" si="56"/>
        <v>-532.59898399999997</v>
      </c>
      <c r="AE95" s="3">
        <f>'[13]3DNAICS'!AX491</f>
        <v>9</v>
      </c>
      <c r="AF95" s="52">
        <f t="shared" si="63"/>
        <v>-1.6898267308748754E-2</v>
      </c>
      <c r="AH95" t="str">
        <f t="shared" si="64"/>
        <v>316</v>
      </c>
      <c r="AI95" s="9" t="str">
        <f t="shared" si="65"/>
        <v>Leather and Allied Products</v>
      </c>
      <c r="AJ95" s="4">
        <f>'[19]Table 7.6'!BG109</f>
        <v>34</v>
      </c>
      <c r="AK95" s="4">
        <f>'[19]Table 7.6'!BH109</f>
        <v>25</v>
      </c>
      <c r="AL95">
        <f t="shared" si="66"/>
        <v>29.9</v>
      </c>
      <c r="AM95" s="4">
        <f t="shared" si="67"/>
        <v>9</v>
      </c>
      <c r="AN95" s="125">
        <f t="shared" si="68"/>
        <v>13.502000000000002</v>
      </c>
      <c r="AO95" s="4">
        <f t="shared" si="69"/>
        <v>10.378170637970793</v>
      </c>
      <c r="AP95" s="3">
        <f>'[20]3DNAICS'!AX491</f>
        <v>9</v>
      </c>
      <c r="AQ95" s="3"/>
      <c r="AR95" s="117">
        <f t="shared" si="70"/>
        <v>7.6863950807071493E-2</v>
      </c>
      <c r="AS95" s="117">
        <f t="shared" si="57"/>
        <v>7.6863950807071493E-2</v>
      </c>
      <c r="AT95" s="117">
        <f t="shared" si="58"/>
        <v>0.76863950807071491</v>
      </c>
      <c r="AU95" s="117">
        <f t="shared" si="59"/>
        <v>7.6863950807071493E-2</v>
      </c>
      <c r="AV95" s="117">
        <f t="shared" si="60"/>
        <v>0</v>
      </c>
      <c r="AW95" s="117">
        <f t="shared" si="61"/>
        <v>0</v>
      </c>
      <c r="AX95" s="117">
        <f t="shared" si="62"/>
        <v>7.6863950807071484E-4</v>
      </c>
      <c r="AY95">
        <f t="shared" si="71"/>
        <v>1.0000000000000002</v>
      </c>
    </row>
    <row r="96" spans="2:51" ht="15" x14ac:dyDescent="0.25">
      <c r="B96" s="6" t="s">
        <v>22</v>
      </c>
      <c r="C96" s="7" t="s">
        <v>23</v>
      </c>
      <c r="D96" s="14">
        <f>'[18]Table 4.2'!C134</f>
        <v>266</v>
      </c>
      <c r="E96" s="14">
        <f>'[18]Table 4.2'!D134</f>
        <v>55</v>
      </c>
      <c r="F96" s="14">
        <f>'[18]Table 4.2'!E134</f>
        <v>0.5</v>
      </c>
      <c r="G96" s="14">
        <f>'[18]Table 4.2'!F134</f>
        <v>22</v>
      </c>
      <c r="H96" s="14">
        <f>'[18]Table 4.2'!G134</f>
        <v>34</v>
      </c>
      <c r="I96" s="14">
        <f>'[18]Table 4.2'!H134</f>
        <v>3</v>
      </c>
      <c r="J96" s="14">
        <f>'[18]Table 4.2'!I134</f>
        <v>1</v>
      </c>
      <c r="K96" s="14">
        <f>'[18]Table 4.2'!J134</f>
        <v>0</v>
      </c>
      <c r="L96" s="14">
        <f>'[18]Table 4.2'!K134</f>
        <v>150</v>
      </c>
      <c r="M96" s="14">
        <f>'[18]Table 4.2'!L134</f>
        <v>210.5</v>
      </c>
      <c r="N96" s="14">
        <f>'[18]Table 4.2'!M134</f>
        <v>211</v>
      </c>
      <c r="O96" s="14"/>
      <c r="P96" s="14"/>
      <c r="R96" s="4">
        <f>'[5]Table 7.2'!AS113</f>
        <v>22.27</v>
      </c>
      <c r="S96" s="4">
        <f>'[5]Table 7.2'!AV113</f>
        <v>11.44</v>
      </c>
      <c r="T96" s="4">
        <f>'[5]Table 7.2'!AU113</f>
        <v>16.05</v>
      </c>
      <c r="U96" s="4">
        <f>'[5]Table 7.2'!AT113</f>
        <v>6.57</v>
      </c>
      <c r="V96" s="4">
        <f>'[5]Table 7.2'!AY113</f>
        <v>19.46</v>
      </c>
      <c r="W96" s="4">
        <f>'[5]Table 7.2'!AW113</f>
        <v>5.81</v>
      </c>
      <c r="X96" s="4">
        <f>'[5]Table 7.2'!AX113</f>
        <v>0</v>
      </c>
      <c r="Y96" s="4">
        <f>'[19]Table 7.6'!BF110</f>
        <v>2.0877192982456139</v>
      </c>
      <c r="Z96" s="4"/>
      <c r="AB96" s="4">
        <f>'[19]Table 7.6'!C110</f>
        <v>223</v>
      </c>
      <c r="AC96" s="4">
        <f>'[6]Table 7.6'!D110</f>
        <v>53402</v>
      </c>
      <c r="AD96" s="14">
        <f t="shared" si="56"/>
        <v>40.79237599999999</v>
      </c>
      <c r="AE96" s="3">
        <f>'[13]3DNAICS'!AX492</f>
        <v>767</v>
      </c>
      <c r="AF96" s="52">
        <f t="shared" si="63"/>
        <v>18.802533100793152</v>
      </c>
      <c r="AH96" t="str">
        <f t="shared" si="64"/>
        <v>321</v>
      </c>
      <c r="AI96" s="9" t="str">
        <f t="shared" si="65"/>
        <v>Wood Products</v>
      </c>
      <c r="AJ96" s="4">
        <f>'[19]Table 7.6'!BG110</f>
        <v>1990</v>
      </c>
      <c r="AK96" s="4">
        <f>'[19]Table 7.6'!BH110</f>
        <v>1229</v>
      </c>
      <c r="AL96">
        <f t="shared" si="66"/>
        <v>1224.8499999999999</v>
      </c>
      <c r="AM96" s="4">
        <f t="shared" si="67"/>
        <v>761</v>
      </c>
      <c r="AN96" s="125">
        <f t="shared" si="68"/>
        <v>959.54789473684207</v>
      </c>
      <c r="AO96" s="4">
        <f t="shared" si="69"/>
        <v>4.5584223027878483</v>
      </c>
      <c r="AP96" s="3">
        <f>'[20]3DNAICS'!AX492</f>
        <v>767</v>
      </c>
      <c r="AQ96" s="3"/>
      <c r="AR96" s="117">
        <f t="shared" si="70"/>
        <v>2.3752969121140144E-3</v>
      </c>
      <c r="AS96" s="117">
        <f t="shared" si="57"/>
        <v>0.10451306413301663</v>
      </c>
      <c r="AT96" s="117">
        <f t="shared" si="58"/>
        <v>0.16152019002375298</v>
      </c>
      <c r="AU96" s="117">
        <f t="shared" si="59"/>
        <v>1.4251781472684086E-2</v>
      </c>
      <c r="AV96" s="117">
        <f t="shared" si="60"/>
        <v>4.7505938242280287E-3</v>
      </c>
      <c r="AW96" s="117">
        <f t="shared" si="61"/>
        <v>0</v>
      </c>
      <c r="AX96" s="117">
        <f t="shared" si="62"/>
        <v>0.71258907363420432</v>
      </c>
      <c r="AY96">
        <f t="shared" si="71"/>
        <v>1</v>
      </c>
    </row>
    <row r="97" spans="2:51" ht="15" x14ac:dyDescent="0.25">
      <c r="B97" s="6" t="s">
        <v>24</v>
      </c>
      <c r="C97" s="7" t="s">
        <v>25</v>
      </c>
      <c r="D97" s="14">
        <f>'[18]Table 4.2'!C135</f>
        <v>1182</v>
      </c>
      <c r="E97" s="14">
        <f>'[18]Table 4.2'!D135</f>
        <v>228</v>
      </c>
      <c r="F97" s="14">
        <f>'[18]Table 4.2'!E135</f>
        <v>35</v>
      </c>
      <c r="G97" s="14">
        <f>'[18]Table 4.2'!F135</f>
        <v>6</v>
      </c>
      <c r="H97" s="14">
        <f>'[18]Table 4.2'!G135</f>
        <v>398</v>
      </c>
      <c r="I97" s="14">
        <f>'[18]Table 4.2'!H135</f>
        <v>4</v>
      </c>
      <c r="J97" s="14">
        <f>'[18]Table 4.2'!I135</f>
        <v>207</v>
      </c>
      <c r="K97" s="14">
        <f>'[18]Table 4.2'!J135</f>
        <v>0.05</v>
      </c>
      <c r="L97" s="14">
        <f>'[18]Table 4.2'!K135</f>
        <v>304</v>
      </c>
      <c r="M97" s="14">
        <f>'[18]Table 4.2'!L135</f>
        <v>954.05</v>
      </c>
      <c r="N97" s="14">
        <f>'[18]Table 4.2'!M135</f>
        <v>954</v>
      </c>
      <c r="O97" s="14"/>
      <c r="P97" s="14"/>
      <c r="R97" s="4">
        <f>'[5]Table 7.2'!AS114</f>
        <v>16.510000000000002</v>
      </c>
      <c r="S97" s="4">
        <f>'[5]Table 7.2'!AV114</f>
        <v>11.46</v>
      </c>
      <c r="T97" s="4">
        <f>'[5]Table 7.2'!AU114</f>
        <v>16.11</v>
      </c>
      <c r="U97" s="4">
        <f>'[5]Table 7.2'!AT114</f>
        <v>5.55</v>
      </c>
      <c r="V97" s="4">
        <f>'[5]Table 7.2'!AY114</f>
        <v>20.43</v>
      </c>
      <c r="W97" s="4">
        <f>'[5]Table 7.2'!AW114</f>
        <v>3.61</v>
      </c>
      <c r="X97" s="4">
        <f>'[5]Table 7.2'!AX114</f>
        <v>5.49</v>
      </c>
      <c r="Y97" s="4">
        <f>'[19]Table 7.6'!BF111</f>
        <v>3.1075949367088609</v>
      </c>
      <c r="Z97" s="4"/>
      <c r="AB97" s="4">
        <f>'[19]Table 7.6'!C111</f>
        <v>1195</v>
      </c>
      <c r="AC97" s="4">
        <f>'[6]Table 7.6'!D111</f>
        <v>43854</v>
      </c>
      <c r="AD97" s="14">
        <f t="shared" si="56"/>
        <v>1045.370152</v>
      </c>
      <c r="AE97" s="3">
        <f>'[13]3DNAICS'!AX493</f>
        <v>4523</v>
      </c>
      <c r="AF97" s="52">
        <f t="shared" si="63"/>
        <v>4.3266970951357333</v>
      </c>
      <c r="AH97" t="str">
        <f t="shared" si="64"/>
        <v>322</v>
      </c>
      <c r="AI97" s="9" t="str">
        <f t="shared" si="65"/>
        <v>Paper</v>
      </c>
      <c r="AJ97" s="4">
        <f>'[19]Table 7.6'!BG111</f>
        <v>8275</v>
      </c>
      <c r="AK97" s="4">
        <f>'[19]Table 7.6'!BH111</f>
        <v>3752</v>
      </c>
      <c r="AL97">
        <f t="shared" si="66"/>
        <v>3764.28</v>
      </c>
      <c r="AM97" s="4">
        <f t="shared" si="67"/>
        <v>4523</v>
      </c>
      <c r="AN97" s="125">
        <f t="shared" si="68"/>
        <v>4480.6333607594934</v>
      </c>
      <c r="AO97" s="4">
        <f t="shared" si="69"/>
        <v>4.6964345272883952</v>
      </c>
      <c r="AP97" s="3">
        <f>'[20]3DNAICS'!AX493</f>
        <v>4523</v>
      </c>
      <c r="AQ97" s="3"/>
      <c r="AR97" s="117">
        <f t="shared" si="70"/>
        <v>3.6685708296210894E-2</v>
      </c>
      <c r="AS97" s="117">
        <f t="shared" si="57"/>
        <v>6.2889785650647248E-3</v>
      </c>
      <c r="AT97" s="117">
        <f t="shared" si="58"/>
        <v>0.41716891148262669</v>
      </c>
      <c r="AU97" s="117">
        <f t="shared" si="59"/>
        <v>4.192652376709816E-3</v>
      </c>
      <c r="AV97" s="117">
        <f t="shared" si="60"/>
        <v>0.21696976049473299</v>
      </c>
      <c r="AW97" s="117">
        <f t="shared" si="61"/>
        <v>5.2408154708872704E-5</v>
      </c>
      <c r="AX97" s="117">
        <f t="shared" si="62"/>
        <v>0.31864158062994602</v>
      </c>
      <c r="AY97">
        <f t="shared" si="71"/>
        <v>1</v>
      </c>
    </row>
    <row r="98" spans="2:51" ht="15" x14ac:dyDescent="0.25">
      <c r="B98" s="6" t="s">
        <v>26</v>
      </c>
      <c r="C98" s="7" t="s">
        <v>27</v>
      </c>
      <c r="D98" s="14">
        <f>'[18]Table 4.2'!C136</f>
        <v>83</v>
      </c>
      <c r="E98" s="14">
        <f>'[18]Table 4.2'!D136</f>
        <v>47</v>
      </c>
      <c r="F98" s="14">
        <f>'[18]Table 4.2'!E136</f>
        <v>0.05</v>
      </c>
      <c r="G98" s="14">
        <f>'[18]Table 4.2'!F136</f>
        <v>0.1</v>
      </c>
      <c r="H98" s="14">
        <f>'[18]Table 4.2'!G136</f>
        <v>34</v>
      </c>
      <c r="I98" s="14">
        <f>'[18]Table 4.2'!H136</f>
        <v>1</v>
      </c>
      <c r="J98" s="14">
        <f>'[18]Table 4.2'!I136</f>
        <v>0</v>
      </c>
      <c r="K98" s="14">
        <f>'[18]Table 4.2'!J136</f>
        <v>0</v>
      </c>
      <c r="L98" s="14">
        <f>'[18]Table 4.2'!K136</f>
        <v>0.3</v>
      </c>
      <c r="M98" s="14">
        <f>'[18]Table 4.2'!L136</f>
        <v>35.449999999999996</v>
      </c>
      <c r="N98" s="14">
        <f>'[18]Table 4.2'!M136</f>
        <v>36</v>
      </c>
      <c r="O98" s="14"/>
      <c r="P98" s="14"/>
      <c r="R98" s="4">
        <f>'[5]Table 7.2'!AS115</f>
        <v>26.54</v>
      </c>
      <c r="S98" s="4">
        <f>'[5]Table 7.2'!AV115</f>
        <v>9.82</v>
      </c>
      <c r="T98" s="4">
        <f>'[5]Table 7.2'!AU115</f>
        <v>20.54</v>
      </c>
      <c r="U98" s="4">
        <f>'[5]Table 7.2'!AT115</f>
        <v>7.01</v>
      </c>
      <c r="V98" s="4">
        <f>'[5]Table 7.2'!AY115</f>
        <v>19.21</v>
      </c>
      <c r="W98" s="4">
        <f>'[5]Table 7.2'!AW115</f>
        <v>0</v>
      </c>
      <c r="X98" s="4">
        <f>'[5]Table 7.2'!AX115</f>
        <v>0</v>
      </c>
      <c r="Y98" s="4">
        <f>'[19]Table 7.6'!BF112</f>
        <v>5</v>
      </c>
      <c r="Z98" s="4"/>
      <c r="AB98" s="4">
        <f>'[19]Table 7.6'!C112</f>
        <v>84</v>
      </c>
      <c r="AC98" s="4">
        <f>'[6]Table 7.6'!D112</f>
        <v>133236</v>
      </c>
      <c r="AD98" s="14">
        <f t="shared" si="56"/>
        <v>-370.60123200000004</v>
      </c>
      <c r="AE98" s="3">
        <f>'[13]3DNAICS'!AX494</f>
        <v>276</v>
      </c>
      <c r="AF98" s="52">
        <f t="shared" si="63"/>
        <v>-0.74473578652323524</v>
      </c>
      <c r="AH98" t="str">
        <f t="shared" si="64"/>
        <v>323</v>
      </c>
      <c r="AI98" s="9" t="str">
        <f t="shared" si="65"/>
        <v>Printing and Related Support</v>
      </c>
      <c r="AJ98" s="4">
        <f>'[19]Table 7.6'!BG112</f>
        <v>1517</v>
      </c>
      <c r="AK98" s="4">
        <f>'[19]Table 7.6'!BH112</f>
        <v>1241</v>
      </c>
      <c r="AL98">
        <f t="shared" si="66"/>
        <v>1247.3799999999999</v>
      </c>
      <c r="AM98" s="4">
        <f t="shared" si="67"/>
        <v>276</v>
      </c>
      <c r="AN98" s="125">
        <f t="shared" si="68"/>
        <v>261.59499999999997</v>
      </c>
      <c r="AO98" s="4">
        <f t="shared" si="69"/>
        <v>7.3792665726375173</v>
      </c>
      <c r="AP98" s="3">
        <f>'[20]3DNAICS'!AX494</f>
        <v>276</v>
      </c>
      <c r="AQ98" s="3"/>
      <c r="AR98" s="117">
        <f t="shared" si="70"/>
        <v>1.4104372355430185E-3</v>
      </c>
      <c r="AS98" s="117">
        <f t="shared" si="57"/>
        <v>2.8208744710860371E-3</v>
      </c>
      <c r="AT98" s="117">
        <f t="shared" si="58"/>
        <v>0.95909732016925253</v>
      </c>
      <c r="AU98" s="117">
        <f t="shared" si="59"/>
        <v>2.8208744710860371E-2</v>
      </c>
      <c r="AV98" s="117">
        <f t="shared" si="60"/>
        <v>0</v>
      </c>
      <c r="AW98" s="117">
        <f t="shared" si="61"/>
        <v>0</v>
      </c>
      <c r="AX98" s="117">
        <f t="shared" si="62"/>
        <v>8.4626234132581107E-3</v>
      </c>
      <c r="AY98">
        <f t="shared" si="71"/>
        <v>1</v>
      </c>
    </row>
    <row r="99" spans="2:51" ht="15" x14ac:dyDescent="0.25">
      <c r="B99" s="6" t="s">
        <v>28</v>
      </c>
      <c r="C99" s="7" t="s">
        <v>29</v>
      </c>
      <c r="D99" s="14">
        <f>'[18]Table 4.2'!C137</f>
        <v>1517</v>
      </c>
      <c r="E99" s="14">
        <f>'[18]Table 4.2'!D137</f>
        <v>179</v>
      </c>
      <c r="F99" s="14">
        <f>'[18]Table 4.2'!E137</f>
        <v>12</v>
      </c>
      <c r="G99" s="14">
        <f>'[18]Table 4.2'!F137</f>
        <v>17</v>
      </c>
      <c r="H99" s="14">
        <f>'[18]Table 4.2'!G137</f>
        <v>918</v>
      </c>
      <c r="I99" s="14">
        <f>'[18]Table 4.2'!H137</f>
        <v>5</v>
      </c>
      <c r="J99" s="14">
        <f>'[18]Table 4.2'!I137</f>
        <v>11</v>
      </c>
      <c r="K99" s="14">
        <f>'[18]Table 4.2'!J137</f>
        <v>0</v>
      </c>
      <c r="L99" s="14">
        <f>'[18]Table 4.2'!K137</f>
        <v>374</v>
      </c>
      <c r="M99" s="14">
        <f>'[18]Table 4.2'!L137</f>
        <v>1337</v>
      </c>
      <c r="N99" s="14">
        <f>'[18]Table 4.2'!M137</f>
        <v>1338</v>
      </c>
      <c r="O99" s="14"/>
      <c r="P99" s="14"/>
      <c r="R99" s="4">
        <f>'[5]Table 7.2'!AS116</f>
        <v>16.64</v>
      </c>
      <c r="S99" s="4">
        <f>'[5]Table 7.2'!AV116</f>
        <v>8.3699999999999992</v>
      </c>
      <c r="T99" s="4">
        <f>'[5]Table 7.2'!AU116</f>
        <v>16.37</v>
      </c>
      <c r="U99" s="4">
        <f>'[5]Table 7.2'!AT116</f>
        <v>4.87</v>
      </c>
      <c r="V99" s="4">
        <f>'[5]Table 7.2'!AY116</f>
        <v>19.82</v>
      </c>
      <c r="W99" s="4">
        <f>'[5]Table 7.2'!AW116</f>
        <v>4.79</v>
      </c>
      <c r="X99" s="4">
        <f>'[5]Table 7.2'!AX116</f>
        <v>5.42</v>
      </c>
      <c r="Y99" s="4">
        <f>'[19]Table 7.6'!BF113</f>
        <v>4.2644230769230766</v>
      </c>
      <c r="Z99" s="4"/>
      <c r="AB99" s="4">
        <f>'[19]Table 7.6'!C113</f>
        <v>1766</v>
      </c>
      <c r="AC99" s="4">
        <f>'[6]Table 7.6'!D113</f>
        <v>41965</v>
      </c>
      <c r="AD99" s="14">
        <f t="shared" si="56"/>
        <v>1622.8154199999999</v>
      </c>
      <c r="AE99" s="3">
        <f>'[13]3DNAICS'!AX495</f>
        <v>7694</v>
      </c>
      <c r="AF99" s="52">
        <f t="shared" si="63"/>
        <v>4.741143019210404</v>
      </c>
      <c r="AH99" t="str">
        <f t="shared" si="64"/>
        <v>324</v>
      </c>
      <c r="AI99" s="9" t="str">
        <f t="shared" si="65"/>
        <v>Petroleum and Coal Products</v>
      </c>
      <c r="AJ99" s="4">
        <f>'[19]Table 7.6'!BG113</f>
        <v>10463</v>
      </c>
      <c r="AK99" s="4">
        <f>'[19]Table 7.6'!BH113</f>
        <v>2769</v>
      </c>
      <c r="AL99">
        <f t="shared" si="66"/>
        <v>2978.56</v>
      </c>
      <c r="AM99" s="4">
        <f t="shared" si="67"/>
        <v>7694</v>
      </c>
      <c r="AN99" s="125">
        <f t="shared" si="68"/>
        <v>6596.0742307692299</v>
      </c>
      <c r="AO99" s="4">
        <f t="shared" si="69"/>
        <v>4.9334885794833436</v>
      </c>
      <c r="AP99" s="3">
        <f>'[20]3DNAICS'!AX495</f>
        <v>7694</v>
      </c>
      <c r="AQ99" s="3"/>
      <c r="AR99" s="117">
        <f t="shared" si="70"/>
        <v>8.9753178758414359E-3</v>
      </c>
      <c r="AS99" s="117">
        <f t="shared" si="57"/>
        <v>1.2715033657442034E-2</v>
      </c>
      <c r="AT99" s="117">
        <f t="shared" si="58"/>
        <v>0.68661181750186984</v>
      </c>
      <c r="AU99" s="117">
        <f t="shared" si="59"/>
        <v>3.7397157816005983E-3</v>
      </c>
      <c r="AV99" s="117">
        <f t="shared" si="60"/>
        <v>8.2273747195213166E-3</v>
      </c>
      <c r="AW99" s="117">
        <f t="shared" si="61"/>
        <v>0</v>
      </c>
      <c r="AX99" s="117">
        <f t="shared" si="62"/>
        <v>0.27973074046372476</v>
      </c>
      <c r="AY99">
        <f t="shared" si="71"/>
        <v>1</v>
      </c>
    </row>
    <row r="100" spans="2:51" ht="15" x14ac:dyDescent="0.25">
      <c r="B100" s="6" t="s">
        <v>30</v>
      </c>
      <c r="C100" s="7" t="s">
        <v>31</v>
      </c>
      <c r="D100" s="14">
        <f>'[18]Table 4.2'!C138</f>
        <v>2913</v>
      </c>
      <c r="E100" s="14">
        <f>'[18]Table 4.2'!D138</f>
        <v>499</v>
      </c>
      <c r="F100" s="14">
        <f>'[18]Table 4.2'!E138</f>
        <v>6</v>
      </c>
      <c r="G100" s="14">
        <f>'[18]Table 4.2'!F138</f>
        <v>8</v>
      </c>
      <c r="H100" s="14">
        <f>'[18]Table 4.2'!G138</f>
        <v>1774</v>
      </c>
      <c r="I100" s="14">
        <f>'[18]Table 4.2'!H138</f>
        <v>7</v>
      </c>
      <c r="J100" s="14">
        <f>'[18]Table 4.2'!I138</f>
        <v>200</v>
      </c>
      <c r="K100" s="14">
        <f>'[18]Table 4.2'!J138</f>
        <v>0</v>
      </c>
      <c r="L100" s="14">
        <f>'[18]Table 4.2'!K138</f>
        <v>420</v>
      </c>
      <c r="M100" s="14">
        <f>'[18]Table 4.2'!L138</f>
        <v>2415</v>
      </c>
      <c r="N100" s="14">
        <f>'[18]Table 4.2'!M138</f>
        <v>2414</v>
      </c>
      <c r="O100" s="14"/>
      <c r="P100" s="14"/>
      <c r="R100" s="4">
        <f>'[5]Table 7.2'!AS117</f>
        <v>16.309999999999999</v>
      </c>
      <c r="S100" s="4">
        <f>'[5]Table 7.2'!AV117</f>
        <v>10.61</v>
      </c>
      <c r="T100" s="4">
        <f>'[5]Table 7.2'!AU117</f>
        <v>17.05</v>
      </c>
      <c r="U100" s="4">
        <f>'[5]Table 7.2'!AT117</f>
        <v>4.8600000000000003</v>
      </c>
      <c r="V100" s="4">
        <f>'[5]Table 7.2'!AY117</f>
        <v>13.98</v>
      </c>
      <c r="W100" s="4">
        <f>'[5]Table 7.2'!AW117</f>
        <v>3.28</v>
      </c>
      <c r="X100" s="4">
        <f>'[5]Table 7.2'!AX117</f>
        <v>8.08</v>
      </c>
      <c r="Y100" s="4">
        <f>'[19]Table 7.6'!BF114</f>
        <v>6.5774999999999997</v>
      </c>
      <c r="Z100" s="4"/>
      <c r="AB100" s="4">
        <f>'[19]Table 7.6'!C114</f>
        <v>5133</v>
      </c>
      <c r="AC100" s="4">
        <f>'[6]Table 7.6'!D114</f>
        <v>32266</v>
      </c>
      <c r="AD100" s="14">
        <f t="shared" si="56"/>
        <v>5022.9084080000002</v>
      </c>
      <c r="AE100" s="3">
        <f>'[13]3DNAICS'!AX496</f>
        <v>40247</v>
      </c>
      <c r="AF100" s="52">
        <f t="shared" si="63"/>
        <v>8.0126884129319365</v>
      </c>
      <c r="AH100" t="str">
        <f t="shared" si="64"/>
        <v>325</v>
      </c>
      <c r="AI100" s="9" t="str">
        <f t="shared" si="65"/>
        <v>Chemicals</v>
      </c>
      <c r="AJ100" s="4">
        <f>'[19]Table 7.6'!BG114</f>
        <v>48096</v>
      </c>
      <c r="AK100" s="4">
        <f>'[19]Table 7.6'!BH114</f>
        <v>7849</v>
      </c>
      <c r="AL100">
        <f t="shared" si="66"/>
        <v>8138.69</v>
      </c>
      <c r="AM100" s="4">
        <f t="shared" si="67"/>
        <v>40247</v>
      </c>
      <c r="AN100" s="125">
        <f t="shared" si="68"/>
        <v>12338.11</v>
      </c>
      <c r="AO100" s="4">
        <f t="shared" si="69"/>
        <v>5.1089482401656321</v>
      </c>
      <c r="AP100" s="3">
        <f>'[20]3DNAICS'!AX496</f>
        <v>40247</v>
      </c>
      <c r="AQ100" s="3"/>
      <c r="AR100" s="117">
        <f t="shared" si="70"/>
        <v>2.4844720496894411E-3</v>
      </c>
      <c r="AS100" s="117">
        <f t="shared" si="57"/>
        <v>3.3126293995859213E-3</v>
      </c>
      <c r="AT100" s="117">
        <f t="shared" si="58"/>
        <v>0.73457556935817803</v>
      </c>
      <c r="AU100" s="117">
        <f t="shared" si="59"/>
        <v>2.8985507246376812E-3</v>
      </c>
      <c r="AV100" s="117">
        <f t="shared" si="60"/>
        <v>8.2815734989648032E-2</v>
      </c>
      <c r="AW100" s="117">
        <f t="shared" si="61"/>
        <v>0</v>
      </c>
      <c r="AX100" s="117">
        <f t="shared" si="62"/>
        <v>0.17391304347826086</v>
      </c>
      <c r="AY100">
        <f t="shared" si="71"/>
        <v>0.99999999999999989</v>
      </c>
    </row>
    <row r="101" spans="2:51" ht="15" x14ac:dyDescent="0.25">
      <c r="B101" s="6" t="s">
        <v>32</v>
      </c>
      <c r="C101" s="7" t="s">
        <v>33</v>
      </c>
      <c r="D101" s="14">
        <f>'[18]Table 4.2'!C139</f>
        <v>271</v>
      </c>
      <c r="E101" s="14">
        <f>'[18]Table 4.2'!D139</f>
        <v>156</v>
      </c>
      <c r="F101" s="14">
        <f>'[18]Table 4.2'!E139</f>
        <v>0.1</v>
      </c>
      <c r="G101" s="14">
        <f>'[18]Table 4.2'!F139</f>
        <v>2</v>
      </c>
      <c r="H101" s="14">
        <f>'[18]Table 4.2'!G139</f>
        <v>103</v>
      </c>
      <c r="I101" s="14">
        <f>'[18]Table 4.2'!H139</f>
        <v>2</v>
      </c>
      <c r="J101" s="14">
        <f>'[18]Table 4.2'!I139</f>
        <v>4</v>
      </c>
      <c r="K101" s="14">
        <f>'[18]Table 4.2'!J139</f>
        <v>0</v>
      </c>
      <c r="L101" s="14">
        <f>'[18]Table 4.2'!K139</f>
        <v>3.7</v>
      </c>
      <c r="M101" s="14">
        <f>'[18]Table 4.2'!L139</f>
        <v>114.8</v>
      </c>
      <c r="N101" s="14">
        <f>'[18]Table 4.2'!M139</f>
        <v>115</v>
      </c>
      <c r="O101" s="14"/>
      <c r="P101" s="14"/>
      <c r="R101" s="4">
        <f>'[5]Table 7.2'!AS118</f>
        <v>22.68</v>
      </c>
      <c r="S101" s="4">
        <f>'[5]Table 7.2'!AV118</f>
        <v>12.8</v>
      </c>
      <c r="T101" s="4">
        <f>'[5]Table 7.2'!AU118</f>
        <v>22.73</v>
      </c>
      <c r="U101" s="4">
        <f>'[5]Table 7.2'!AT118</f>
        <v>6.45</v>
      </c>
      <c r="V101" s="4">
        <f>'[5]Table 7.2'!AY118</f>
        <v>18.12</v>
      </c>
      <c r="W101" s="4">
        <f>'[5]Table 7.2'!AW118</f>
        <v>6.1</v>
      </c>
      <c r="X101" s="4">
        <f>'[5]Table 7.2'!AX118</f>
        <v>0</v>
      </c>
      <c r="Y101" s="4">
        <f>'[19]Table 7.6'!BF115</f>
        <v>5</v>
      </c>
      <c r="Z101" s="4"/>
      <c r="AB101" s="4">
        <f>'[19]Table 7.6'!C115</f>
        <v>272</v>
      </c>
      <c r="AC101" s="4">
        <f>'[6]Table 7.6'!D115</f>
        <v>27399</v>
      </c>
      <c r="AD101" s="14">
        <f t="shared" si="56"/>
        <v>178.514612</v>
      </c>
      <c r="AE101" s="3">
        <f>'[13]3DNAICS'!AX497</f>
        <v>830</v>
      </c>
      <c r="AF101" s="52">
        <f t="shared" si="63"/>
        <v>4.6494793378594688</v>
      </c>
      <c r="AH101" t="str">
        <f t="shared" si="64"/>
        <v>326</v>
      </c>
      <c r="AI101" s="9" t="str">
        <f t="shared" si="65"/>
        <v>Plastics and Rubber Products</v>
      </c>
      <c r="AJ101" s="4">
        <f>'[19]Table 7.6'!BG115</f>
        <v>4371</v>
      </c>
      <c r="AK101" s="4">
        <f>'[19]Table 7.6'!BH115</f>
        <v>3541</v>
      </c>
      <c r="AL101">
        <f t="shared" si="66"/>
        <v>3538.08</v>
      </c>
      <c r="AM101" s="4">
        <f t="shared" si="67"/>
        <v>830</v>
      </c>
      <c r="AN101" s="125">
        <f t="shared" si="68"/>
        <v>790.23</v>
      </c>
      <c r="AO101" s="4">
        <f t="shared" si="69"/>
        <v>6.8835365853658539</v>
      </c>
      <c r="AP101" s="3">
        <f>'[20]3DNAICS'!AX497</f>
        <v>830</v>
      </c>
      <c r="AQ101" s="3"/>
      <c r="AR101" s="117">
        <f t="shared" si="70"/>
        <v>8.7108013937282241E-4</v>
      </c>
      <c r="AS101" s="117">
        <f t="shared" si="57"/>
        <v>1.7421602787456445E-2</v>
      </c>
      <c r="AT101" s="117">
        <f t="shared" si="58"/>
        <v>0.89721254355400704</v>
      </c>
      <c r="AU101" s="117">
        <f t="shared" si="59"/>
        <v>1.7421602787456445E-2</v>
      </c>
      <c r="AV101" s="117">
        <f t="shared" si="60"/>
        <v>3.484320557491289E-2</v>
      </c>
      <c r="AW101" s="117">
        <f t="shared" si="61"/>
        <v>0</v>
      </c>
      <c r="AX101" s="117">
        <f t="shared" si="62"/>
        <v>3.2229965156794424E-2</v>
      </c>
      <c r="AY101">
        <f t="shared" si="71"/>
        <v>1</v>
      </c>
    </row>
    <row r="102" spans="2:51" ht="15" x14ac:dyDescent="0.25">
      <c r="B102" s="6" t="s">
        <v>34</v>
      </c>
      <c r="C102" s="7" t="s">
        <v>35</v>
      </c>
      <c r="D102" s="14">
        <f>'[18]Table 4.2'!C140</f>
        <v>709</v>
      </c>
      <c r="E102" s="14">
        <f>'[18]Table 4.2'!D140</f>
        <v>111</v>
      </c>
      <c r="F102" s="14">
        <f>'[18]Table 4.2'!E140</f>
        <v>1</v>
      </c>
      <c r="G102" s="14">
        <f>'[18]Table 4.2'!F140</f>
        <v>23</v>
      </c>
      <c r="H102" s="14">
        <f>'[18]Table 4.2'!G140</f>
        <v>273</v>
      </c>
      <c r="I102" s="14">
        <f>'[18]Table 4.2'!H140</f>
        <v>2</v>
      </c>
      <c r="J102" s="14">
        <f>'[18]Table 4.2'!I140</f>
        <v>217</v>
      </c>
      <c r="K102" s="14">
        <f>'[18]Table 4.2'!J140</f>
        <v>8</v>
      </c>
      <c r="L102" s="14">
        <f>'[18]Table 4.2'!K140</f>
        <v>74</v>
      </c>
      <c r="M102" s="14">
        <f>'[18]Table 4.2'!L140</f>
        <v>598</v>
      </c>
      <c r="N102" s="14">
        <f>'[18]Table 4.2'!M140</f>
        <v>598</v>
      </c>
      <c r="O102" s="14"/>
      <c r="P102" s="14"/>
      <c r="R102" s="4">
        <f>'[5]Table 7.2'!AS119</f>
        <v>20.67</v>
      </c>
      <c r="S102" s="4">
        <f>'[5]Table 7.2'!AV119</f>
        <v>11.6</v>
      </c>
      <c r="T102" s="4">
        <f>'[5]Table 7.2'!AU119</f>
        <v>16.7</v>
      </c>
      <c r="U102" s="4">
        <f>'[5]Table 7.2'!AT119</f>
        <v>5.9</v>
      </c>
      <c r="V102" s="4">
        <f>'[5]Table 7.2'!AY119</f>
        <v>18.91</v>
      </c>
      <c r="W102" s="4">
        <f>'[5]Table 7.2'!AW119</f>
        <v>3.07</v>
      </c>
      <c r="X102" s="4">
        <f>'[5]Table 7.2'!AX119</f>
        <v>8.6999999999999993</v>
      </c>
      <c r="Y102" s="4">
        <f>'[19]Table 7.6'!BF116</f>
        <v>2.2564102564102564</v>
      </c>
      <c r="Z102" s="4"/>
      <c r="AB102" s="4">
        <f>'[19]Table 7.6'!C116</f>
        <v>714</v>
      </c>
      <c r="AC102" s="4">
        <f>'[6]Table 7.6'!D116</f>
        <v>12869</v>
      </c>
      <c r="AD102" s="14">
        <f t="shared" si="56"/>
        <v>670.09097199999997</v>
      </c>
      <c r="AE102" s="3">
        <f>'[13]3DNAICS'!AX498</f>
        <v>2999</v>
      </c>
      <c r="AF102" s="52">
        <f t="shared" si="63"/>
        <v>4.4755117220113814</v>
      </c>
      <c r="AH102" t="str">
        <f t="shared" si="64"/>
        <v>327</v>
      </c>
      <c r="AI102" s="9" t="str">
        <f t="shared" si="65"/>
        <v>Nonmetallic Mineral Products</v>
      </c>
      <c r="AJ102" s="4">
        <f>'[19]Table 7.6'!BG116</f>
        <v>5291</v>
      </c>
      <c r="AK102" s="4">
        <f>'[19]Table 7.6'!BH116</f>
        <v>2292</v>
      </c>
      <c r="AL102">
        <f t="shared" si="66"/>
        <v>2294.3700000000003</v>
      </c>
      <c r="AM102" s="4">
        <f t="shared" si="67"/>
        <v>2999</v>
      </c>
      <c r="AN102" s="125">
        <f t="shared" si="68"/>
        <v>2946.9843589743587</v>
      </c>
      <c r="AO102" s="4">
        <f t="shared" si="69"/>
        <v>4.9280674899236763</v>
      </c>
      <c r="AP102" s="3">
        <f>'[20]3DNAICS'!AX498</f>
        <v>2999</v>
      </c>
      <c r="AQ102" s="3"/>
      <c r="AR102" s="117">
        <f t="shared" si="70"/>
        <v>1.6722408026755853E-3</v>
      </c>
      <c r="AS102" s="117">
        <f t="shared" si="57"/>
        <v>3.8461538461538464E-2</v>
      </c>
      <c r="AT102" s="117">
        <f t="shared" si="58"/>
        <v>0.45652173913043476</v>
      </c>
      <c r="AU102" s="117">
        <f t="shared" si="59"/>
        <v>3.3444816053511705E-3</v>
      </c>
      <c r="AV102" s="117">
        <f t="shared" si="60"/>
        <v>0.36287625418060199</v>
      </c>
      <c r="AW102" s="117">
        <f t="shared" si="61"/>
        <v>1.3377926421404682E-2</v>
      </c>
      <c r="AX102" s="117">
        <f t="shared" si="62"/>
        <v>0.12374581939799331</v>
      </c>
      <c r="AY102">
        <f t="shared" si="71"/>
        <v>1</v>
      </c>
    </row>
    <row r="103" spans="2:51" ht="15" x14ac:dyDescent="0.25">
      <c r="B103" s="6" t="s">
        <v>36</v>
      </c>
      <c r="C103" s="7" t="s">
        <v>37</v>
      </c>
      <c r="D103" s="14">
        <f>'[18]Table 4.2'!C141</f>
        <v>1328</v>
      </c>
      <c r="E103" s="14">
        <f>'[18]Table 4.2'!D141</f>
        <v>412</v>
      </c>
      <c r="F103" s="14">
        <f>'[18]Table 4.2'!E141</f>
        <v>1</v>
      </c>
      <c r="G103" s="14">
        <f>'[18]Table 4.2'!F141</f>
        <v>9</v>
      </c>
      <c r="H103" s="14">
        <f>'[18]Table 4.2'!G141</f>
        <v>537</v>
      </c>
      <c r="I103" s="14">
        <f>'[18]Table 4.2'!H141</f>
        <v>3</v>
      </c>
      <c r="J103" s="14">
        <f>'[18]Table 4.2'!I141</f>
        <v>23</v>
      </c>
      <c r="K103" s="14">
        <f>'[18]Table 4.2'!J141</f>
        <v>291</v>
      </c>
      <c r="L103" s="14">
        <f>'[18]Table 4.2'!K141</f>
        <v>53</v>
      </c>
      <c r="M103" s="14">
        <f>'[18]Table 4.2'!L141</f>
        <v>917</v>
      </c>
      <c r="N103" s="14">
        <f>'[18]Table 4.2'!M141</f>
        <v>916</v>
      </c>
      <c r="O103" s="14"/>
      <c r="P103" s="14"/>
      <c r="R103" s="4">
        <f>'[5]Table 7.2'!AS120</f>
        <v>14.28</v>
      </c>
      <c r="S103" s="4">
        <f>'[5]Table 7.2'!AV120</f>
        <v>10.37</v>
      </c>
      <c r="T103" s="4">
        <f>'[5]Table 7.2'!AU120</f>
        <v>15.01</v>
      </c>
      <c r="U103" s="4">
        <f>'[5]Table 7.2'!AT120</f>
        <v>5.37</v>
      </c>
      <c r="V103" s="4">
        <f>'[5]Table 7.2'!AY120</f>
        <v>16.53</v>
      </c>
      <c r="W103" s="4">
        <f>'[5]Table 7.2'!AW120</f>
        <v>4.79</v>
      </c>
      <c r="X103" s="4">
        <f>'[5]Table 7.2'!AX120</f>
        <v>10.4</v>
      </c>
      <c r="Y103" s="4">
        <f>'[19]Table 7.6'!BF117</f>
        <v>3.7254901960784315</v>
      </c>
      <c r="Z103" s="4"/>
      <c r="AB103" s="4">
        <f>'[19]Table 7.6'!C117</f>
        <v>1820</v>
      </c>
      <c r="AC103" s="4">
        <f>'[6]Table 7.6'!D117</f>
        <v>57241</v>
      </c>
      <c r="AD103" s="14">
        <f t="shared" si="56"/>
        <v>1624.693708</v>
      </c>
      <c r="AE103" s="3">
        <f>'[13]3DNAICS'!AX499</f>
        <v>8620</v>
      </c>
      <c r="AF103" s="52">
        <f t="shared" si="63"/>
        <v>5.3056154261908421</v>
      </c>
      <c r="AH103" t="str">
        <f t="shared" si="64"/>
        <v>331</v>
      </c>
      <c r="AI103" s="9" t="str">
        <f t="shared" si="65"/>
        <v>Primary Metals</v>
      </c>
      <c r="AJ103" s="4">
        <f>'[19]Table 7.6'!BG117</f>
        <v>14498</v>
      </c>
      <c r="AK103" s="4">
        <f>'[19]Table 7.6'!BH117</f>
        <v>5878</v>
      </c>
      <c r="AL103">
        <f t="shared" si="66"/>
        <v>5883.36</v>
      </c>
      <c r="AM103" s="4">
        <f t="shared" si="67"/>
        <v>8620</v>
      </c>
      <c r="AN103" s="125">
        <f t="shared" si="68"/>
        <v>6412.7609803921569</v>
      </c>
      <c r="AO103" s="4">
        <f t="shared" si="69"/>
        <v>6.9931962708747619</v>
      </c>
      <c r="AP103" s="3">
        <f>'[20]3DNAICS'!AX499</f>
        <v>8620</v>
      </c>
      <c r="AQ103" s="3"/>
      <c r="AR103" s="117">
        <f t="shared" si="70"/>
        <v>1.0905125408942203E-3</v>
      </c>
      <c r="AS103" s="117">
        <f t="shared" si="57"/>
        <v>9.8146128680479828E-3</v>
      </c>
      <c r="AT103" s="117">
        <f t="shared" si="58"/>
        <v>0.5856052344601963</v>
      </c>
      <c r="AU103" s="117">
        <f t="shared" si="59"/>
        <v>3.2715376226826608E-3</v>
      </c>
      <c r="AV103" s="117">
        <f t="shared" si="60"/>
        <v>2.5081788440567066E-2</v>
      </c>
      <c r="AW103" s="117">
        <f t="shared" si="61"/>
        <v>0.31733914940021812</v>
      </c>
      <c r="AX103" s="117">
        <f t="shared" si="62"/>
        <v>5.7797164667393673E-2</v>
      </c>
      <c r="AY103">
        <f t="shared" si="71"/>
        <v>1</v>
      </c>
    </row>
    <row r="104" spans="2:51" ht="15" x14ac:dyDescent="0.25">
      <c r="B104" s="6" t="s">
        <v>38</v>
      </c>
      <c r="C104" s="7" t="s">
        <v>39</v>
      </c>
      <c r="D104" s="14">
        <f>'[18]Table 4.2'!C142</f>
        <v>300</v>
      </c>
      <c r="E104" s="14">
        <f>'[18]Table 4.2'!D142</f>
        <v>128</v>
      </c>
      <c r="F104" s="14">
        <f>'[18]Table 4.2'!E142</f>
        <v>0.1</v>
      </c>
      <c r="G104" s="14">
        <f>'[18]Table 4.2'!F142</f>
        <v>3</v>
      </c>
      <c r="H104" s="14">
        <f>'[18]Table 4.2'!G142</f>
        <v>162</v>
      </c>
      <c r="I104" s="14">
        <f>'[18]Table 4.2'!H142</f>
        <v>5</v>
      </c>
      <c r="J104" s="14">
        <f>'[18]Table 4.2'!I142</f>
        <v>0.1</v>
      </c>
      <c r="K104" s="14">
        <f>'[18]Table 4.2'!J142</f>
        <v>0</v>
      </c>
      <c r="L104" s="14">
        <f>'[18]Table 4.2'!K142</f>
        <v>2</v>
      </c>
      <c r="M104" s="14">
        <f>'[18]Table 4.2'!L142</f>
        <v>172.2</v>
      </c>
      <c r="N104" s="14">
        <f>'[18]Table 4.2'!M142</f>
        <v>172</v>
      </c>
      <c r="O104" s="14"/>
      <c r="P104" s="14"/>
      <c r="R104" s="4">
        <f>'[5]Table 7.2'!AS121</f>
        <v>24.6</v>
      </c>
      <c r="S104" s="4">
        <f>'[5]Table 7.2'!AV121</f>
        <v>6.36</v>
      </c>
      <c r="T104" s="4">
        <f>'[5]Table 7.2'!AU121</f>
        <v>21.39</v>
      </c>
      <c r="U104" s="4">
        <f>'[5]Table 7.2'!AT121</f>
        <v>6.73</v>
      </c>
      <c r="V104" s="4">
        <f>'[5]Table 7.2'!AY121</f>
        <v>22.17</v>
      </c>
      <c r="W104" s="4">
        <f>'[5]Table 7.2'!AW121</f>
        <v>4.8499999999999996</v>
      </c>
      <c r="X104" s="4">
        <f>'[5]Table 7.2'!AX121</f>
        <v>8.06</v>
      </c>
      <c r="Y104" s="4">
        <f>'[19]Table 7.6'!BF118</f>
        <v>5.333333333333333</v>
      </c>
      <c r="Z104" s="4"/>
      <c r="AB104" s="4">
        <f>'[19]Table 7.6'!C118</f>
        <v>300</v>
      </c>
      <c r="AC104" s="4">
        <f>'[6]Table 7.6'!D118</f>
        <v>9264</v>
      </c>
      <c r="AD104" s="14">
        <f t="shared" si="56"/>
        <v>268.391232</v>
      </c>
      <c r="AE104" s="3">
        <f>'[13]3DNAICS'!AX500</f>
        <v>1318</v>
      </c>
      <c r="AF104" s="52">
        <f t="shared" si="63"/>
        <v>4.9107416444960466</v>
      </c>
      <c r="AH104" t="str">
        <f t="shared" si="64"/>
        <v>332</v>
      </c>
      <c r="AI104" s="9" t="str">
        <f t="shared" si="65"/>
        <v>Fabricated Metal Products</v>
      </c>
      <c r="AJ104" s="4">
        <f>'[19]Table 7.6'!BG118</f>
        <v>4457</v>
      </c>
      <c r="AK104" s="4">
        <f>'[19]Table 7.6'!BH118</f>
        <v>3139</v>
      </c>
      <c r="AL104">
        <f t="shared" si="66"/>
        <v>3148.8</v>
      </c>
      <c r="AM104" s="4">
        <f t="shared" si="67"/>
        <v>1318</v>
      </c>
      <c r="AN104" s="125">
        <f t="shared" si="68"/>
        <v>1277.0676666666666</v>
      </c>
      <c r="AO104" s="4">
        <f t="shared" si="69"/>
        <v>7.4161885404568331</v>
      </c>
      <c r="AP104" s="3">
        <f>'[20]3DNAICS'!AX500</f>
        <v>1318</v>
      </c>
      <c r="AQ104" s="3"/>
      <c r="AR104" s="117">
        <f t="shared" si="70"/>
        <v>5.8072009291521497E-4</v>
      </c>
      <c r="AS104" s="117">
        <f t="shared" si="57"/>
        <v>1.7421602787456449E-2</v>
      </c>
      <c r="AT104" s="117">
        <f t="shared" si="58"/>
        <v>0.94076655052264813</v>
      </c>
      <c r="AU104" s="117">
        <f t="shared" si="59"/>
        <v>2.9036004645760744E-2</v>
      </c>
      <c r="AV104" s="117">
        <f t="shared" si="60"/>
        <v>5.8072009291521497E-4</v>
      </c>
      <c r="AW104" s="117">
        <f t="shared" si="61"/>
        <v>0</v>
      </c>
      <c r="AX104" s="117">
        <f t="shared" si="62"/>
        <v>1.1614401858304297E-2</v>
      </c>
      <c r="AY104">
        <f t="shared" si="71"/>
        <v>1</v>
      </c>
    </row>
    <row r="105" spans="2:51" ht="15" x14ac:dyDescent="0.25">
      <c r="B105" s="6" t="s">
        <v>40</v>
      </c>
      <c r="C105" s="7" t="s">
        <v>41</v>
      </c>
      <c r="D105" s="14">
        <f>'[18]Table 4.2'!C143</f>
        <v>148</v>
      </c>
      <c r="E105" s="14">
        <f>'[18]Table 4.2'!D143</f>
        <v>70</v>
      </c>
      <c r="F105" s="14">
        <f>'[18]Table 4.2'!E143</f>
        <v>0.1</v>
      </c>
      <c r="G105" s="14">
        <f>'[18]Table 4.2'!F143</f>
        <v>3</v>
      </c>
      <c r="H105" s="14">
        <f>'[18]Table 4.2'!G143</f>
        <v>71</v>
      </c>
      <c r="I105" s="14">
        <f>'[18]Table 4.2'!H143</f>
        <v>2</v>
      </c>
      <c r="J105" s="14">
        <f>'[18]Table 4.2'!I143</f>
        <v>0</v>
      </c>
      <c r="K105" s="14">
        <f>'[18]Table 4.2'!J143</f>
        <v>0</v>
      </c>
      <c r="L105" s="14">
        <f>'[18]Table 4.2'!K143</f>
        <v>1</v>
      </c>
      <c r="M105" s="14">
        <f>'[18]Table 4.2'!L143</f>
        <v>77.099999999999994</v>
      </c>
      <c r="N105" s="14">
        <f>'[18]Table 4.2'!M143</f>
        <v>78</v>
      </c>
      <c r="O105" s="14"/>
      <c r="P105" s="14"/>
      <c r="R105" s="4">
        <f>'[5]Table 7.2'!AS122</f>
        <v>24.94</v>
      </c>
      <c r="S105" s="4">
        <f>'[5]Table 7.2'!AV122</f>
        <v>7.7</v>
      </c>
      <c r="T105" s="4">
        <f>'[5]Table 7.2'!AU122</f>
        <v>19.73</v>
      </c>
      <c r="U105" s="4">
        <f>'[5]Table 7.2'!AT122</f>
        <v>7.06</v>
      </c>
      <c r="V105" s="4">
        <f>'[5]Table 7.2'!AY122</f>
        <v>20.82</v>
      </c>
      <c r="W105" s="4">
        <f>'[5]Table 7.2'!AW122</f>
        <v>0</v>
      </c>
      <c r="X105" s="4">
        <f>'[5]Table 7.2'!AX122</f>
        <v>0</v>
      </c>
      <c r="Y105" s="4">
        <f>'[19]Table 7.6'!BF119</f>
        <v>13.5</v>
      </c>
      <c r="Z105" s="4"/>
      <c r="AB105" s="4">
        <f>'[19]Table 7.6'!C119</f>
        <v>148</v>
      </c>
      <c r="AC105" s="4">
        <f>'[6]Table 7.6'!D119</f>
        <v>9677</v>
      </c>
      <c r="AD105" s="14">
        <f t="shared" si="56"/>
        <v>114.98207600000001</v>
      </c>
      <c r="AE105" s="3">
        <f>'[13]3DNAICS'!AX501</f>
        <v>644</v>
      </c>
      <c r="AF105" s="52">
        <f t="shared" si="63"/>
        <v>5.6008729569293907</v>
      </c>
      <c r="AH105" t="str">
        <f t="shared" si="64"/>
        <v>333</v>
      </c>
      <c r="AI105" s="9" t="str">
        <f t="shared" si="65"/>
        <v>Machinery</v>
      </c>
      <c r="AJ105" s="4">
        <f>'[19]Table 7.6'!BG119</f>
        <v>2379</v>
      </c>
      <c r="AK105" s="4">
        <f>'[19]Table 7.6'!BH119</f>
        <v>1735</v>
      </c>
      <c r="AL105">
        <f t="shared" si="66"/>
        <v>1745.8000000000002</v>
      </c>
      <c r="AM105" s="4">
        <f t="shared" si="67"/>
        <v>644</v>
      </c>
      <c r="AN105" s="125">
        <f t="shared" si="68"/>
        <v>616.36</v>
      </c>
      <c r="AO105" s="4">
        <f t="shared" si="69"/>
        <v>7.9942931258106364</v>
      </c>
      <c r="AP105" s="3">
        <f>'[20]3DNAICS'!AX501</f>
        <v>644</v>
      </c>
      <c r="AQ105" s="3"/>
      <c r="AR105" s="117">
        <f t="shared" si="70"/>
        <v>1.297016861219196E-3</v>
      </c>
      <c r="AS105" s="117">
        <f t="shared" si="57"/>
        <v>3.8910505836575876E-2</v>
      </c>
      <c r="AT105" s="117">
        <f t="shared" si="58"/>
        <v>0.92088197146562911</v>
      </c>
      <c r="AU105" s="117">
        <f t="shared" si="59"/>
        <v>2.5940337224383919E-2</v>
      </c>
      <c r="AV105" s="117">
        <f t="shared" si="60"/>
        <v>0</v>
      </c>
      <c r="AW105" s="117">
        <f t="shared" si="61"/>
        <v>0</v>
      </c>
      <c r="AX105" s="117">
        <f t="shared" si="62"/>
        <v>1.2970168612191959E-2</v>
      </c>
      <c r="AY105">
        <f t="shared" si="71"/>
        <v>1</v>
      </c>
    </row>
    <row r="106" spans="2:51" ht="15" x14ac:dyDescent="0.25">
      <c r="B106" s="6" t="s">
        <v>42</v>
      </c>
      <c r="C106" s="7" t="s">
        <v>43</v>
      </c>
      <c r="D106" s="14">
        <f>'[18]Table 4.2'!C144</f>
        <v>144</v>
      </c>
      <c r="E106" s="14">
        <f>'[18]Table 4.2'!D144</f>
        <v>101</v>
      </c>
      <c r="F106" s="14">
        <f>'[18]Table 4.2'!E144</f>
        <v>0.1</v>
      </c>
      <c r="G106" s="14">
        <f>'[18]Table 4.2'!F144</f>
        <v>0.1</v>
      </c>
      <c r="H106" s="14">
        <f>'[18]Table 4.2'!G144</f>
        <v>42</v>
      </c>
      <c r="I106" s="14">
        <f>'[18]Table 4.2'!H144</f>
        <v>0.1</v>
      </c>
      <c r="J106" s="14">
        <f>'[18]Table 4.2'!I144</f>
        <v>0</v>
      </c>
      <c r="K106" s="14">
        <f>'[18]Table 4.2'!J144</f>
        <v>0</v>
      </c>
      <c r="L106" s="14">
        <f>'[18]Table 4.2'!K144</f>
        <v>0.2</v>
      </c>
      <c r="M106" s="14">
        <f>'[18]Table 4.2'!L144</f>
        <v>42.500000000000007</v>
      </c>
      <c r="N106" s="14">
        <f>'[18]Table 4.2'!M144</f>
        <v>43</v>
      </c>
      <c r="O106" s="14"/>
      <c r="P106" s="14"/>
      <c r="R106" s="4">
        <f>'[5]Table 7.2'!AS123</f>
        <v>23.29</v>
      </c>
      <c r="S106" s="4">
        <f>'[5]Table 7.2'!AV123</f>
        <v>14.32</v>
      </c>
      <c r="T106" s="4">
        <f>'[5]Table 7.2'!AU123</f>
        <v>19.8</v>
      </c>
      <c r="U106" s="4">
        <f>'[5]Table 7.2'!AT123</f>
        <v>6.56</v>
      </c>
      <c r="V106" s="4">
        <f>'[5]Table 7.2'!AY123</f>
        <v>24.93</v>
      </c>
      <c r="W106" s="4">
        <f>'[5]Table 7.2'!AW123</f>
        <v>0</v>
      </c>
      <c r="X106" s="4">
        <f>'[5]Table 7.2'!AX123</f>
        <v>0</v>
      </c>
      <c r="Y106" s="4">
        <f>'[19]Table 7.6'!BF120</f>
        <v>14</v>
      </c>
      <c r="Z106" s="4"/>
      <c r="AB106" s="4">
        <f>'[19]Table 7.6'!C120</f>
        <v>145</v>
      </c>
      <c r="AC106" s="4">
        <f>'[6]Table 7.6'!D120</f>
        <v>848241</v>
      </c>
      <c r="AD106" s="14">
        <f t="shared" si="56"/>
        <v>-2749.198292</v>
      </c>
      <c r="AE106" s="3">
        <f>'[13]3DNAICS'!AX502</f>
        <v>312</v>
      </c>
      <c r="AF106" s="52">
        <f t="shared" si="63"/>
        <v>-0.11348763052410626</v>
      </c>
      <c r="AH106" t="str">
        <f t="shared" si="64"/>
        <v>334</v>
      </c>
      <c r="AI106" s="9" t="str">
        <f t="shared" si="65"/>
        <v>Computer and Electronic Products</v>
      </c>
      <c r="AJ106" s="4">
        <f>'[19]Table 7.6'!BG120</f>
        <v>2655</v>
      </c>
      <c r="AK106" s="4">
        <f>'[19]Table 7.6'!BH120</f>
        <v>2343</v>
      </c>
      <c r="AL106">
        <f t="shared" si="66"/>
        <v>2352.29</v>
      </c>
      <c r="AM106" s="4">
        <f t="shared" si="67"/>
        <v>312</v>
      </c>
      <c r="AN106" s="125">
        <f t="shared" si="68"/>
        <v>284.22499999999997</v>
      </c>
      <c r="AO106" s="4">
        <f t="shared" si="69"/>
        <v>6.6876470588235275</v>
      </c>
      <c r="AP106" s="3">
        <f>'[20]3DNAICS'!AX502</f>
        <v>312</v>
      </c>
      <c r="AQ106" s="3"/>
      <c r="AR106" s="117">
        <f t="shared" si="70"/>
        <v>2.352941176470588E-3</v>
      </c>
      <c r="AS106" s="117">
        <f t="shared" si="57"/>
        <v>2.352941176470588E-3</v>
      </c>
      <c r="AT106" s="117">
        <f t="shared" si="58"/>
        <v>0.98823529411764688</v>
      </c>
      <c r="AU106" s="117">
        <f t="shared" si="59"/>
        <v>2.352941176470588E-3</v>
      </c>
      <c r="AV106" s="117">
        <f t="shared" si="60"/>
        <v>0</v>
      </c>
      <c r="AW106" s="117">
        <f t="shared" si="61"/>
        <v>0</v>
      </c>
      <c r="AX106" s="117">
        <f t="shared" si="62"/>
        <v>4.7058823529411761E-3</v>
      </c>
      <c r="AY106">
        <f t="shared" si="71"/>
        <v>0.99999999999999989</v>
      </c>
    </row>
    <row r="107" spans="2:51" ht="15" x14ac:dyDescent="0.25">
      <c r="B107" s="6" t="s">
        <v>44</v>
      </c>
      <c r="C107" s="7" t="s">
        <v>45</v>
      </c>
      <c r="D107" s="14">
        <f>'[18]Table 4.2'!C145</f>
        <v>74</v>
      </c>
      <c r="E107" s="14">
        <f>'[18]Table 4.2'!D145</f>
        <v>36</v>
      </c>
      <c r="F107" s="14">
        <f>'[18]Table 4.2'!E145</f>
        <v>0.05</v>
      </c>
      <c r="G107" s="14">
        <f>'[18]Table 4.2'!F145</f>
        <v>1</v>
      </c>
      <c r="H107" s="14">
        <f>'[18]Table 4.2'!G145</f>
        <v>36</v>
      </c>
      <c r="I107" s="14">
        <f>'[18]Table 4.2'!H145</f>
        <v>1</v>
      </c>
      <c r="J107" s="14">
        <f>'[18]Table 4.2'!I145</f>
        <v>0</v>
      </c>
      <c r="K107" s="14">
        <f>'[18]Table 4.2'!J145</f>
        <v>0.05</v>
      </c>
      <c r="L107" s="14">
        <f>'[18]Table 4.2'!K145</f>
        <v>0.2</v>
      </c>
      <c r="M107" s="14">
        <f>'[18]Table 4.2'!L145</f>
        <v>38.299999999999997</v>
      </c>
      <c r="N107" s="14">
        <f>'[18]Table 4.2'!M145</f>
        <v>38</v>
      </c>
      <c r="O107" s="14"/>
      <c r="P107" s="14"/>
      <c r="R107" s="4">
        <f>'[5]Table 7.2'!AS124</f>
        <v>22.75</v>
      </c>
      <c r="S107" s="4">
        <f>'[5]Table 7.2'!AV124</f>
        <v>12.64</v>
      </c>
      <c r="T107" s="4">
        <f>'[5]Table 7.2'!AU124</f>
        <v>18.37</v>
      </c>
      <c r="U107" s="4">
        <f>'[5]Table 7.2'!AT124</f>
        <v>6.78</v>
      </c>
      <c r="V107" s="4">
        <f>'[5]Table 7.2'!AY124</f>
        <v>18.22</v>
      </c>
      <c r="W107" s="4">
        <f>'[5]Table 7.2'!AW124</f>
        <v>0</v>
      </c>
      <c r="X107" s="4">
        <f>'[5]Table 7.2'!AX124</f>
        <v>18.75</v>
      </c>
      <c r="Y107" s="4">
        <f>'[19]Table 7.6'!BF121</f>
        <v>7.56</v>
      </c>
      <c r="Z107" s="4"/>
      <c r="AB107" s="4">
        <f>'[19]Table 7.6'!C121</f>
        <v>97</v>
      </c>
      <c r="AC107" s="4">
        <f>'[6]Table 7.6'!D121</f>
        <v>848242</v>
      </c>
      <c r="AD107" s="14">
        <f t="shared" si="56"/>
        <v>-2797.2017040000001</v>
      </c>
      <c r="AE107" s="3">
        <f>'[13]3DNAICS'!AX503</f>
        <v>461</v>
      </c>
      <c r="AF107" s="52">
        <f t="shared" si="63"/>
        <v>-0.16480756441009231</v>
      </c>
      <c r="AH107" t="str">
        <f t="shared" si="64"/>
        <v>335</v>
      </c>
      <c r="AI107" s="9" t="str">
        <f t="shared" si="65"/>
        <v>Electrical Equip., Appliances, and Components</v>
      </c>
      <c r="AJ107" s="4">
        <f>'[19]Table 7.6'!BG121</f>
        <v>1291</v>
      </c>
      <c r="AK107" s="4">
        <f>'[19]Table 7.6'!BH121</f>
        <v>830</v>
      </c>
      <c r="AL107">
        <f t="shared" si="66"/>
        <v>819</v>
      </c>
      <c r="AM107" s="4">
        <f t="shared" si="67"/>
        <v>461</v>
      </c>
      <c r="AN107" s="125">
        <f t="shared" si="68"/>
        <v>283.75150000000002</v>
      </c>
      <c r="AO107" s="4">
        <f t="shared" si="69"/>
        <v>7.4086553524804186</v>
      </c>
      <c r="AP107" s="3">
        <f>'[20]3DNAICS'!AX503</f>
        <v>461</v>
      </c>
      <c r="AQ107" s="3"/>
      <c r="AR107" s="117">
        <f t="shared" si="70"/>
        <v>1.3054830287206269E-3</v>
      </c>
      <c r="AS107" s="117">
        <f t="shared" si="57"/>
        <v>2.6109660574412535E-2</v>
      </c>
      <c r="AT107" s="117">
        <f t="shared" si="58"/>
        <v>0.93994778067885121</v>
      </c>
      <c r="AU107" s="117">
        <f t="shared" si="59"/>
        <v>2.6109660574412535E-2</v>
      </c>
      <c r="AV107" s="117">
        <f t="shared" si="60"/>
        <v>0</v>
      </c>
      <c r="AW107" s="117">
        <f t="shared" si="61"/>
        <v>1.3054830287206269E-3</v>
      </c>
      <c r="AX107" s="117">
        <f t="shared" si="62"/>
        <v>5.2219321148825075E-3</v>
      </c>
      <c r="AY107">
        <f t="shared" si="71"/>
        <v>1</v>
      </c>
    </row>
    <row r="108" spans="2:51" ht="15" x14ac:dyDescent="0.25">
      <c r="B108" s="6" t="s">
        <v>46</v>
      </c>
      <c r="C108" s="7" t="s">
        <v>47</v>
      </c>
      <c r="D108" s="14">
        <f>'[18]Table 4.2'!C146</f>
        <v>276</v>
      </c>
      <c r="E108" s="14">
        <f>'[18]Table 4.2'!D146</f>
        <v>133</v>
      </c>
      <c r="F108" s="14">
        <f>'[18]Table 4.2'!E146</f>
        <v>2</v>
      </c>
      <c r="G108" s="14">
        <f>'[18]Table 4.2'!F146</f>
        <v>3</v>
      </c>
      <c r="H108" s="14">
        <f>'[18]Table 4.2'!G146</f>
        <v>127</v>
      </c>
      <c r="I108" s="14">
        <f>'[18]Table 4.2'!H146</f>
        <v>3</v>
      </c>
      <c r="J108" s="14">
        <f>'[18]Table 4.2'!I146</f>
        <v>3</v>
      </c>
      <c r="K108" s="14">
        <f>'[18]Table 4.2'!J146</f>
        <v>0</v>
      </c>
      <c r="L108" s="14">
        <f>'[18]Table 4.2'!K146</f>
        <v>5</v>
      </c>
      <c r="M108" s="14">
        <f>'[18]Table 4.2'!L146</f>
        <v>143</v>
      </c>
      <c r="N108" s="14">
        <f>'[18]Table 4.2'!M146</f>
        <v>143</v>
      </c>
      <c r="O108" s="14"/>
      <c r="P108" s="14"/>
      <c r="R108" s="4">
        <f>'[5]Table 7.2'!AS125</f>
        <v>21.84</v>
      </c>
      <c r="S108" s="4">
        <f>'[5]Table 7.2'!AV125</f>
        <v>9.23</v>
      </c>
      <c r="T108" s="4">
        <f>'[5]Table 7.2'!AU125</f>
        <v>21.58</v>
      </c>
      <c r="U108" s="4">
        <f>'[5]Table 7.2'!AT125</f>
        <v>6.63</v>
      </c>
      <c r="V108" s="4">
        <f>'[5]Table 7.2'!AY125</f>
        <v>20.86</v>
      </c>
      <c r="W108" s="4">
        <f>'[5]Table 7.2'!AW125</f>
        <v>5.0599999999999996</v>
      </c>
      <c r="X108" s="4">
        <f>'[5]Table 7.2'!AX125</f>
        <v>0</v>
      </c>
      <c r="Y108" s="4">
        <f>'[19]Table 7.6'!BF122</f>
        <v>11.666666666666666</v>
      </c>
      <c r="Z108" s="4"/>
      <c r="AB108" s="4">
        <f>'[19]Table 7.6'!C122</f>
        <v>278</v>
      </c>
      <c r="AC108" s="4">
        <f>'[6]Table 7.6'!D122</f>
        <v>0</v>
      </c>
      <c r="AD108" s="14">
        <f t="shared" si="56"/>
        <v>278</v>
      </c>
      <c r="AE108" s="3">
        <f>'[13]3DNAICS'!AX504</f>
        <v>1097</v>
      </c>
      <c r="AF108" s="52">
        <f t="shared" si="63"/>
        <v>3.9460431654676258</v>
      </c>
      <c r="AH108" t="str">
        <f t="shared" si="64"/>
        <v>336</v>
      </c>
      <c r="AI108" s="9" t="str">
        <f t="shared" si="65"/>
        <v>Transportation Equipment</v>
      </c>
      <c r="AJ108" s="4">
        <f>'[19]Table 7.6'!BG122</f>
        <v>3981</v>
      </c>
      <c r="AK108" s="4">
        <f>'[19]Table 7.6'!BH122</f>
        <v>2884</v>
      </c>
      <c r="AL108">
        <f t="shared" si="66"/>
        <v>2904.72</v>
      </c>
      <c r="AM108" s="4">
        <f t="shared" si="67"/>
        <v>1097</v>
      </c>
      <c r="AN108" s="125">
        <f t="shared" si="68"/>
        <v>1061.3033333333333</v>
      </c>
      <c r="AO108" s="4">
        <f t="shared" si="69"/>
        <v>7.4217016317016311</v>
      </c>
      <c r="AP108" s="3">
        <f>'[20]3DNAICS'!AX504</f>
        <v>1097</v>
      </c>
      <c r="AQ108" s="3"/>
      <c r="AR108" s="117">
        <f t="shared" si="70"/>
        <v>1.3986013986013986E-2</v>
      </c>
      <c r="AS108" s="117">
        <f t="shared" si="57"/>
        <v>2.097902097902098E-2</v>
      </c>
      <c r="AT108" s="117">
        <f t="shared" si="58"/>
        <v>0.88811188811188813</v>
      </c>
      <c r="AU108" s="117">
        <f t="shared" si="59"/>
        <v>2.097902097902098E-2</v>
      </c>
      <c r="AV108" s="117">
        <f t="shared" si="60"/>
        <v>2.097902097902098E-2</v>
      </c>
      <c r="AW108" s="117">
        <f t="shared" si="61"/>
        <v>0</v>
      </c>
      <c r="AX108" s="117">
        <f t="shared" si="62"/>
        <v>3.4965034965034968E-2</v>
      </c>
      <c r="AY108">
        <f t="shared" si="71"/>
        <v>1</v>
      </c>
    </row>
    <row r="109" spans="2:51" ht="15" x14ac:dyDescent="0.25">
      <c r="B109" s="6" t="s">
        <v>48</v>
      </c>
      <c r="C109" s="7" t="s">
        <v>49</v>
      </c>
      <c r="D109" s="14">
        <f>'[18]Table 4.2'!C147</f>
        <v>33</v>
      </c>
      <c r="E109" s="14">
        <f>'[18]Table 4.2'!D147</f>
        <v>17</v>
      </c>
      <c r="F109" s="14">
        <f>'[18]Table 4.2'!E147</f>
        <v>0</v>
      </c>
      <c r="G109" s="14">
        <f>'[18]Table 4.2'!F147</f>
        <v>0.1</v>
      </c>
      <c r="H109" s="14">
        <f>'[18]Table 4.2'!G147</f>
        <v>13</v>
      </c>
      <c r="I109" s="14">
        <f>'[18]Table 4.2'!H147</f>
        <v>1</v>
      </c>
      <c r="J109" s="14">
        <f>'[18]Table 4.2'!I147</f>
        <v>0.2</v>
      </c>
      <c r="K109" s="14">
        <f>'[18]Table 4.2'!J147</f>
        <v>0</v>
      </c>
      <c r="L109" s="14">
        <f>'[18]Table 4.2'!K147</f>
        <v>2</v>
      </c>
      <c r="M109" s="14">
        <f>'[18]Table 4.2'!L147</f>
        <v>16.299999999999997</v>
      </c>
      <c r="N109" s="14">
        <f>'[18]Table 4.2'!M147</f>
        <v>16</v>
      </c>
      <c r="O109" s="14"/>
      <c r="P109" s="14"/>
      <c r="R109" s="4">
        <f>'[5]Table 7.2'!AS126</f>
        <v>27.47</v>
      </c>
      <c r="S109" s="36">
        <v>19</v>
      </c>
      <c r="T109" s="4">
        <f>'[5]Table 7.2'!AU126</f>
        <v>20.07</v>
      </c>
      <c r="U109" s="4">
        <f>'[5]Table 7.2'!AT126</f>
        <v>8.61</v>
      </c>
      <c r="V109" s="4">
        <f>'[5]Table 7.2'!AY126</f>
        <v>20.91</v>
      </c>
      <c r="W109" s="4">
        <f>'[5]Table 7.2'!AW126</f>
        <v>2.64</v>
      </c>
      <c r="X109" s="4">
        <f>'[5]Table 7.2'!AX126</f>
        <v>0</v>
      </c>
      <c r="Y109" s="4">
        <f>'[19]Table 7.6'!BF123</f>
        <v>2</v>
      </c>
      <c r="Z109" s="4"/>
      <c r="AB109" s="4">
        <f>'[19]Table 7.6'!C123</f>
        <v>34</v>
      </c>
      <c r="AC109" s="4">
        <f>'[6]Table 7.6'!D123</f>
        <v>0</v>
      </c>
      <c r="AD109" s="14">
        <f t="shared" si="56"/>
        <v>34</v>
      </c>
      <c r="AE109" s="3">
        <f>'[13]3DNAICS'!AX505</f>
        <v>142</v>
      </c>
      <c r="AF109" s="52">
        <f t="shared" si="63"/>
        <v>4.1764705882352944</v>
      </c>
      <c r="AH109" t="str">
        <f t="shared" si="64"/>
        <v>337</v>
      </c>
      <c r="AI109" s="9" t="str">
        <f t="shared" si="65"/>
        <v>Furniture and Related Products</v>
      </c>
      <c r="AJ109" s="4">
        <f>'[19]Table 7.6'!BG123</f>
        <v>607</v>
      </c>
      <c r="AK109" s="4">
        <f>'[19]Table 7.6'!BH123</f>
        <v>465</v>
      </c>
      <c r="AL109">
        <f t="shared" si="66"/>
        <v>466.99</v>
      </c>
      <c r="AM109" s="4">
        <f t="shared" si="67"/>
        <v>142</v>
      </c>
      <c r="AN109" s="125">
        <f t="shared" si="68"/>
        <v>139.375</v>
      </c>
      <c r="AO109" s="4">
        <f t="shared" si="69"/>
        <v>8.5506134969325167</v>
      </c>
      <c r="AP109" s="3">
        <f>'[20]3DNAICS'!AX505</f>
        <v>142</v>
      </c>
      <c r="AQ109" s="3"/>
      <c r="AR109" s="117">
        <f t="shared" si="70"/>
        <v>0</v>
      </c>
      <c r="AS109" s="117">
        <f t="shared" si="57"/>
        <v>6.1349693251533752E-3</v>
      </c>
      <c r="AT109" s="117">
        <f t="shared" si="58"/>
        <v>0.79754601226993882</v>
      </c>
      <c r="AU109" s="117">
        <f t="shared" si="59"/>
        <v>6.1349693251533756E-2</v>
      </c>
      <c r="AV109" s="117">
        <f t="shared" si="60"/>
        <v>1.226993865030675E-2</v>
      </c>
      <c r="AW109" s="117">
        <f t="shared" si="61"/>
        <v>0</v>
      </c>
      <c r="AX109" s="117">
        <f t="shared" si="62"/>
        <v>0.12269938650306751</v>
      </c>
      <c r="AY109">
        <f t="shared" si="71"/>
        <v>1.0000000000000002</v>
      </c>
    </row>
    <row r="110" spans="2:51" ht="15" x14ac:dyDescent="0.25">
      <c r="B110" s="6" t="s">
        <v>50</v>
      </c>
      <c r="C110" s="7" t="s">
        <v>51</v>
      </c>
      <c r="D110" s="14">
        <f>'[18]Table 4.2'!C148</f>
        <v>43</v>
      </c>
      <c r="E110" s="14">
        <f>'[18]Table 4.2'!D148</f>
        <v>26</v>
      </c>
      <c r="F110" s="14">
        <f>'[18]Table 4.2'!E148</f>
        <v>0.1</v>
      </c>
      <c r="G110" s="14">
        <f>'[18]Table 4.2'!F148</f>
        <v>1</v>
      </c>
      <c r="H110" s="14">
        <f>'[18]Table 4.2'!G148</f>
        <v>16</v>
      </c>
      <c r="I110" s="14">
        <f>'[18]Table 4.2'!H148</f>
        <v>0.1</v>
      </c>
      <c r="J110" s="14">
        <f>'[18]Table 4.2'!I148</f>
        <v>0.1</v>
      </c>
      <c r="K110" s="14">
        <f>'[18]Table 4.2'!J148</f>
        <v>0</v>
      </c>
      <c r="L110" s="14">
        <f>'[18]Table 4.2'!K148</f>
        <v>0.1</v>
      </c>
      <c r="M110" s="14">
        <f>'[18]Table 4.2'!L148</f>
        <v>17.400000000000006</v>
      </c>
      <c r="N110" s="14">
        <f>'[18]Table 4.2'!M148</f>
        <v>17</v>
      </c>
      <c r="O110" s="14"/>
      <c r="P110" s="14"/>
      <c r="R110" s="4">
        <f>'[5]Table 7.2'!AS127</f>
        <v>28.28</v>
      </c>
      <c r="S110" s="4">
        <f>'[5]Table 7.2'!AV127</f>
        <v>19.88</v>
      </c>
      <c r="T110" s="4">
        <f>'[5]Table 7.2'!AU127</f>
        <v>18.23</v>
      </c>
      <c r="U110" s="4">
        <f>'[5]Table 7.2'!AT127</f>
        <v>8.32</v>
      </c>
      <c r="V110" s="4">
        <f>'[5]Table 7.2'!AY127</f>
        <v>23.65</v>
      </c>
      <c r="W110" s="4">
        <f>'[5]Table 7.2'!AW127</f>
        <v>3.63</v>
      </c>
      <c r="X110" s="4">
        <f>'[5]Table 7.2'!AX127</f>
        <v>0</v>
      </c>
      <c r="Y110" s="4">
        <f>'[19]Table 7.6'!BF124</f>
        <v>5</v>
      </c>
      <c r="Z110" s="4"/>
      <c r="AB110" s="4">
        <f>'[19]Table 7.6'!C124</f>
        <v>43</v>
      </c>
      <c r="AC110" s="4">
        <f>'[6]Table 7.6'!D124</f>
        <v>0</v>
      </c>
      <c r="AD110" s="14">
        <f t="shared" si="56"/>
        <v>43</v>
      </c>
      <c r="AE110" s="3">
        <f>'[13]3DNAICS'!AX506</f>
        <v>162</v>
      </c>
      <c r="AF110" s="52">
        <f t="shared" si="63"/>
        <v>3.7674418604651163</v>
      </c>
      <c r="AH110" t="str">
        <f t="shared" si="64"/>
        <v>339</v>
      </c>
      <c r="AI110" s="9" t="str">
        <f t="shared" si="65"/>
        <v>Miscellaneous</v>
      </c>
      <c r="AJ110" s="4">
        <f>'[19]Table 7.6'!BG124</f>
        <v>892</v>
      </c>
      <c r="AK110" s="4">
        <f>'[19]Table 7.6'!BH124</f>
        <v>730</v>
      </c>
      <c r="AL110">
        <f t="shared" si="66"/>
        <v>735.28</v>
      </c>
      <c r="AM110" s="4">
        <f t="shared" si="67"/>
        <v>162</v>
      </c>
      <c r="AN110" s="125">
        <f t="shared" si="68"/>
        <v>156.566</v>
      </c>
      <c r="AO110" s="4">
        <f t="shared" si="69"/>
        <v>8.9980459770114916</v>
      </c>
      <c r="AP110" s="3">
        <f>'[20]3DNAICS'!AX506</f>
        <v>162</v>
      </c>
      <c r="AQ110" s="3"/>
      <c r="AR110" s="117">
        <f t="shared" si="70"/>
        <v>5.7471264367816074E-3</v>
      </c>
      <c r="AS110" s="117">
        <f t="shared" si="57"/>
        <v>5.747126436781607E-2</v>
      </c>
      <c r="AT110" s="117">
        <f t="shared" si="58"/>
        <v>0.91954022988505713</v>
      </c>
      <c r="AU110" s="117">
        <f t="shared" si="59"/>
        <v>5.7471264367816074E-3</v>
      </c>
      <c r="AV110" s="117">
        <f t="shared" si="60"/>
        <v>5.7471264367816074E-3</v>
      </c>
      <c r="AW110" s="117">
        <f t="shared" si="61"/>
        <v>0</v>
      </c>
      <c r="AX110" s="117">
        <f t="shared" si="62"/>
        <v>5.7471264367816074E-3</v>
      </c>
      <c r="AY110">
        <f t="shared" si="71"/>
        <v>0.99999999999999978</v>
      </c>
    </row>
    <row r="111" spans="2:51" ht="15" x14ac:dyDescent="0.25">
      <c r="B111" s="6"/>
      <c r="C111" s="8" t="s">
        <v>0</v>
      </c>
      <c r="D111" s="14">
        <f>'[18]Table 4.2'!C149</f>
        <v>10608</v>
      </c>
      <c r="E111" s="14">
        <f>'[18]Table 4.2'!D149</f>
        <v>2543</v>
      </c>
      <c r="F111" s="14">
        <f>'[18]Table 4.2'!E149</f>
        <v>73</v>
      </c>
      <c r="G111" s="14">
        <f>'[18]Table 4.2'!F149</f>
        <v>122</v>
      </c>
      <c r="H111" s="14">
        <f>'[18]Table 4.2'!G149</f>
        <v>5200</v>
      </c>
      <c r="I111" s="14">
        <f>'[18]Table 4.2'!H149</f>
        <v>46</v>
      </c>
      <c r="J111" s="14">
        <f>'[18]Table 4.2'!I149</f>
        <v>868</v>
      </c>
      <c r="K111" s="14">
        <f>'[18]Table 4.2'!J149</f>
        <v>301</v>
      </c>
      <c r="L111" s="14">
        <f>'[18]Table 4.2'!K149</f>
        <v>1455</v>
      </c>
      <c r="M111" s="14">
        <f>'[18]Table 4.2'!L149</f>
        <v>0</v>
      </c>
      <c r="N111" s="14">
        <f>'[18]Table 4.2'!M149</f>
        <v>0</v>
      </c>
      <c r="O111" s="14"/>
      <c r="P111" s="14"/>
      <c r="R111" s="4"/>
      <c r="AD111" s="14">
        <f t="shared" ref="AD111" si="72">AB111-(0.003412*AC111)</f>
        <v>0</v>
      </c>
    </row>
    <row r="112" spans="2:51" ht="15" x14ac:dyDescent="0.25">
      <c r="B112" s="6"/>
      <c r="C112" s="8" t="s">
        <v>52</v>
      </c>
      <c r="D112" s="14">
        <f>'[18]Table 4.2'!C150</f>
        <v>0</v>
      </c>
      <c r="E112" s="14">
        <f>'[18]Table 4.2'!D150</f>
        <v>2544</v>
      </c>
      <c r="F112" s="14">
        <f>'[18]Table 4.2'!E150</f>
        <v>73.299999999999969</v>
      </c>
      <c r="G112" s="14">
        <f>'[18]Table 4.2'!F150</f>
        <v>122.6</v>
      </c>
      <c r="H112" s="14">
        <f>'[18]Table 4.2'!G150</f>
        <v>5198</v>
      </c>
      <c r="I112" s="14">
        <f>'[18]Table 4.2'!H150</f>
        <v>46.5</v>
      </c>
      <c r="J112" s="14">
        <f>'[18]Table 4.2'!I150</f>
        <v>868.40000000000009</v>
      </c>
      <c r="K112" s="14">
        <f>'[18]Table 4.2'!J150</f>
        <v>301.10000000000002</v>
      </c>
      <c r="L112" s="14">
        <f>'[18]Table 4.2'!K150</f>
        <v>1454.8019999999999</v>
      </c>
      <c r="M112" s="14">
        <f>'[18]Table 4.2'!L150</f>
        <v>8064.7020000000002</v>
      </c>
      <c r="N112" s="14">
        <f>'[18]Table 4.2'!M150</f>
        <v>8064</v>
      </c>
      <c r="O112" s="14"/>
      <c r="P112" s="14"/>
      <c r="AN112">
        <f>SUM(AN90:AN111)</f>
        <v>44196.79275420351</v>
      </c>
    </row>
    <row r="115" spans="2:54" x14ac:dyDescent="0.2">
      <c r="C115" t="s">
        <v>133</v>
      </c>
      <c r="S115" s="129" t="s">
        <v>350</v>
      </c>
      <c r="T115" s="129"/>
      <c r="U115" s="128"/>
    </row>
    <row r="116" spans="2:54" ht="27" x14ac:dyDescent="0.3">
      <c r="R116" t="s">
        <v>70</v>
      </c>
      <c r="AD116" s="121" t="s">
        <v>199</v>
      </c>
      <c r="AE116" s="120"/>
      <c r="AF116" s="120"/>
      <c r="AG116" s="34"/>
      <c r="AH116" s="34"/>
      <c r="AJ116" s="122"/>
      <c r="AK116" s="122"/>
      <c r="AL116" s="122"/>
      <c r="AM116" s="122"/>
      <c r="AN116" s="123"/>
      <c r="AO116" s="124"/>
      <c r="AP116" s="122"/>
      <c r="AR116" s="11" t="s">
        <v>85</v>
      </c>
      <c r="AS116">
        <v>2014</v>
      </c>
    </row>
    <row r="117" spans="2:54" ht="53.25" customHeight="1" x14ac:dyDescent="0.25">
      <c r="B117" s="20">
        <v>2014</v>
      </c>
      <c r="D117" t="s">
        <v>0</v>
      </c>
      <c r="E117" t="s">
        <v>57</v>
      </c>
      <c r="F117" t="s">
        <v>349</v>
      </c>
      <c r="G117" t="s">
        <v>59</v>
      </c>
      <c r="H117" t="s">
        <v>60</v>
      </c>
      <c r="I117" t="s">
        <v>61</v>
      </c>
      <c r="J117" t="s">
        <v>62</v>
      </c>
      <c r="K117" t="s">
        <v>63</v>
      </c>
      <c r="L117" t="s">
        <v>64</v>
      </c>
      <c r="M117" s="40" t="s">
        <v>333</v>
      </c>
      <c r="N117" s="40" t="s">
        <v>334</v>
      </c>
      <c r="Q117" s="20">
        <v>2014</v>
      </c>
      <c r="R117" t="s">
        <v>2</v>
      </c>
      <c r="S117" t="s">
        <v>53</v>
      </c>
      <c r="T117" t="s">
        <v>54</v>
      </c>
      <c r="U117" t="s">
        <v>67</v>
      </c>
      <c r="V117" t="s">
        <v>68</v>
      </c>
      <c r="W117" t="s">
        <v>71</v>
      </c>
      <c r="X117" t="s">
        <v>56</v>
      </c>
      <c r="Y117" s="40" t="s">
        <v>69</v>
      </c>
      <c r="AB117" s="40" t="s">
        <v>129</v>
      </c>
      <c r="AC117" s="40"/>
      <c r="AD117" s="40" t="s">
        <v>132</v>
      </c>
      <c r="AE117" s="40" t="s">
        <v>128</v>
      </c>
      <c r="AF117" s="40" t="s">
        <v>130</v>
      </c>
      <c r="AJ117" s="11" t="s">
        <v>76</v>
      </c>
      <c r="AK117" s="11" t="s">
        <v>72</v>
      </c>
      <c r="AL117" s="11" t="s">
        <v>73</v>
      </c>
      <c r="AM117" s="11" t="s">
        <v>341</v>
      </c>
      <c r="AN117" s="18" t="s">
        <v>80</v>
      </c>
      <c r="AO117" s="12" t="s">
        <v>77</v>
      </c>
      <c r="AP117" s="11" t="s">
        <v>93</v>
      </c>
      <c r="AR117" t="s">
        <v>53</v>
      </c>
      <c r="AS117" t="s">
        <v>54</v>
      </c>
      <c r="AT117" t="s">
        <v>67</v>
      </c>
      <c r="AU117" t="s">
        <v>68</v>
      </c>
      <c r="AV117" t="s">
        <v>71</v>
      </c>
      <c r="AW117" t="s">
        <v>56</v>
      </c>
      <c r="AX117" t="s">
        <v>69</v>
      </c>
      <c r="AY117" t="s">
        <v>86</v>
      </c>
      <c r="BA117" t="s">
        <v>346</v>
      </c>
    </row>
    <row r="118" spans="2:54" ht="15" x14ac:dyDescent="0.25">
      <c r="B118" s="6" t="s">
        <v>10</v>
      </c>
      <c r="C118" s="7" t="s">
        <v>11</v>
      </c>
      <c r="D118" s="51">
        <f>'[21]Table 4.2'!C126</f>
        <v>1025</v>
      </c>
      <c r="E118" s="51">
        <f>'[21]Table 4.2'!D126</f>
        <v>247</v>
      </c>
      <c r="F118" s="51">
        <f>'[21]Table 4.2'!E126</f>
        <v>4</v>
      </c>
      <c r="G118" s="51">
        <f>'[21]Table 4.2'!F126</f>
        <v>20</v>
      </c>
      <c r="H118" s="51">
        <f>'[21]Table 4.2'!G126</f>
        <v>570</v>
      </c>
      <c r="I118" s="51">
        <f>'[21]Table 4.2'!H126</f>
        <v>6</v>
      </c>
      <c r="J118" s="51">
        <f>'[21]Table 4.2'!I126</f>
        <v>110</v>
      </c>
      <c r="K118" s="51">
        <f>'[21]Table 4.2'!J126</f>
        <v>1</v>
      </c>
      <c r="L118" s="51">
        <f>'[21]Table 4.2'!K126</f>
        <v>68</v>
      </c>
      <c r="M118" s="51">
        <f>SUM(F118:L118)</f>
        <v>779</v>
      </c>
      <c r="N118" s="51">
        <f>D118-E118</f>
        <v>778</v>
      </c>
      <c r="Q118" t="str">
        <f>B118</f>
        <v>311</v>
      </c>
      <c r="R118" s="4">
        <f>'[22]Table 7.2'!AU105</f>
        <v>23.06</v>
      </c>
      <c r="S118" s="127">
        <f>'[22]Table 7.2'!AW105</f>
        <v>16.98</v>
      </c>
      <c r="T118" s="127">
        <f>'[22]Table 7.2'!AV105</f>
        <v>22.71</v>
      </c>
      <c r="U118" s="4">
        <f>'[22]Table 7.2'!AX105</f>
        <v>5.48</v>
      </c>
      <c r="V118" s="4">
        <f>'[22]Table 7.2'!AY105</f>
        <v>19.309999999999999</v>
      </c>
      <c r="W118" s="4">
        <f>'[22]Table 7.2'!AZ105</f>
        <v>2.56</v>
      </c>
      <c r="X118" s="4">
        <f>'[22]Table 7.2'!BA105</f>
        <v>18.91</v>
      </c>
      <c r="Y118" s="4">
        <f>'[23]Table 7.6'!P100</f>
        <v>6.6046511627906979</v>
      </c>
      <c r="AH118" t="str">
        <f>B118</f>
        <v>311</v>
      </c>
      <c r="AI118" s="9" t="str">
        <f>C118</f>
        <v>Food</v>
      </c>
      <c r="AJ118" s="4">
        <f>'[23]Table 7.6'!N100</f>
        <v>10066</v>
      </c>
      <c r="AK118" s="4">
        <f>'[23]Table 7.6'!O100</f>
        <v>6.6046511627906979</v>
      </c>
      <c r="AL118">
        <f>E118*R118</f>
        <v>5695.82</v>
      </c>
      <c r="AM118" s="4">
        <f>AJ118-AK118</f>
        <v>10059.39534883721</v>
      </c>
      <c r="AN118" s="125">
        <f>SUMPRODUCT(F118:L118,S118:Y118)</f>
        <v>4511.2062790697673</v>
      </c>
      <c r="AO118" s="4">
        <f>AN118/M118</f>
        <v>5.7910221810908435</v>
      </c>
      <c r="AR118" s="117">
        <f>F118/$M118</f>
        <v>5.1347881899871627E-3</v>
      </c>
      <c r="AS118" s="117">
        <f t="shared" ref="AS118:AS138" si="73">G118/$M118</f>
        <v>2.5673940949935817E-2</v>
      </c>
      <c r="AT118" s="117">
        <f t="shared" ref="AT118:AT138" si="74">H118/$M118</f>
        <v>0.73170731707317072</v>
      </c>
      <c r="AU118" s="117">
        <f t="shared" ref="AU118:AU138" si="75">I118/$M118</f>
        <v>7.7021822849807449E-3</v>
      </c>
      <c r="AV118" s="117">
        <f t="shared" ref="AV118:AV138" si="76">J118/$M118</f>
        <v>0.14120667522464697</v>
      </c>
      <c r="AW118" s="117">
        <f t="shared" ref="AW118:AW138" si="77">K118/$M118</f>
        <v>1.2836970474967907E-3</v>
      </c>
      <c r="AX118" s="117">
        <f t="shared" ref="AX118:AX138" si="78">L118/$M118</f>
        <v>8.7291399229781769E-2</v>
      </c>
      <c r="AY118">
        <f>SUM(AR118:AX118)</f>
        <v>0.99999999999999989</v>
      </c>
    </row>
    <row r="119" spans="2:54" ht="15" x14ac:dyDescent="0.25">
      <c r="B119" s="6" t="s">
        <v>12</v>
      </c>
      <c r="C119" s="7" t="s">
        <v>13</v>
      </c>
      <c r="D119" s="51">
        <f>'[21]Table 4.2'!C127</f>
        <v>95</v>
      </c>
      <c r="E119" s="51">
        <f>'[21]Table 4.2'!D127</f>
        <v>33</v>
      </c>
      <c r="F119" s="51">
        <f>'[21]Table 4.2'!E127</f>
        <v>0.5</v>
      </c>
      <c r="G119" s="51">
        <f>'[21]Table 4.2'!F127</f>
        <v>1</v>
      </c>
      <c r="H119" s="51">
        <f>'[21]Table 4.2'!G127</f>
        <v>48</v>
      </c>
      <c r="I119" s="51">
        <f>'[21]Table 4.2'!H127</f>
        <v>1</v>
      </c>
      <c r="J119" s="51">
        <f>'[21]Table 4.2'!I127</f>
        <v>7</v>
      </c>
      <c r="K119" s="51">
        <f>'[21]Table 4.2'!J127</f>
        <v>0</v>
      </c>
      <c r="L119" s="51">
        <f>'[21]Table 4.2'!K127</f>
        <v>4</v>
      </c>
      <c r="M119" s="51">
        <f t="shared" ref="M119:M138" si="79">SUM(F119:L119)</f>
        <v>61.5</v>
      </c>
      <c r="N119" s="51">
        <f t="shared" ref="N119:N138" si="80">D119-E119</f>
        <v>62</v>
      </c>
      <c r="Q119" t="str">
        <f t="shared" ref="Q119:Q138" si="81">B119</f>
        <v>312</v>
      </c>
      <c r="R119" s="4">
        <f>'[22]Table 7.2'!AU106</f>
        <v>27.91</v>
      </c>
      <c r="S119" s="4">
        <f>'[22]Table 7.2'!AW106</f>
        <v>10.87</v>
      </c>
      <c r="T119" s="4">
        <f>'[22]Table 7.2'!AV106</f>
        <v>19.989999999999998</v>
      </c>
      <c r="U119" s="4">
        <f>'[22]Table 7.2'!AX106</f>
        <v>5.35</v>
      </c>
      <c r="V119" s="4">
        <f>'[22]Table 7.2'!AY106</f>
        <v>21.12</v>
      </c>
      <c r="W119" s="4">
        <f>'[22]Table 7.2'!AZ106</f>
        <v>4.47</v>
      </c>
      <c r="X119" s="4">
        <f>'[22]Table 7.2'!BA106</f>
        <v>0</v>
      </c>
      <c r="Y119" s="4">
        <f>'[23]Table 7.6'!P101</f>
        <v>6.5</v>
      </c>
      <c r="AH119" t="str">
        <f t="shared" ref="AH119:AH138" si="82">B119</f>
        <v>312</v>
      </c>
      <c r="AI119" s="9" t="str">
        <f t="shared" ref="AI119:AI138" si="83">C119</f>
        <v>Beverage and Tobacco Products</v>
      </c>
      <c r="AJ119" s="4">
        <f>'[23]Table 7.6'!N101</f>
        <v>1299</v>
      </c>
      <c r="AK119" s="4">
        <f>'[23]Table 7.6'!O101</f>
        <v>6.5</v>
      </c>
      <c r="AL119">
        <f t="shared" ref="AL119:AL138" si="84">E119*R119</f>
        <v>921.03</v>
      </c>
      <c r="AM119" s="4">
        <f t="shared" ref="AM119:AM138" si="85">AJ119-AK119</f>
        <v>1292.5</v>
      </c>
      <c r="AN119" s="125">
        <f t="shared" ref="AN119:AN138" si="86">SUMPRODUCT(F119:L119,S119:Y119)</f>
        <v>360.63499999999999</v>
      </c>
      <c r="AO119" s="4">
        <f t="shared" ref="AO119:AO138" si="87">AN119/M119</f>
        <v>5.8639837398373986</v>
      </c>
      <c r="AR119" s="117">
        <f t="shared" ref="AR119:AR138" si="88">F119/$M119</f>
        <v>8.130081300813009E-3</v>
      </c>
      <c r="AS119" s="117">
        <f t="shared" si="73"/>
        <v>1.6260162601626018E-2</v>
      </c>
      <c r="AT119" s="117">
        <f t="shared" si="74"/>
        <v>0.78048780487804881</v>
      </c>
      <c r="AU119" s="117">
        <f t="shared" si="75"/>
        <v>1.6260162601626018E-2</v>
      </c>
      <c r="AV119" s="117">
        <f t="shared" si="76"/>
        <v>0.11382113821138211</v>
      </c>
      <c r="AW119" s="117">
        <f t="shared" si="77"/>
        <v>0</v>
      </c>
      <c r="AX119" s="117">
        <f t="shared" si="78"/>
        <v>6.5040650406504072E-2</v>
      </c>
      <c r="AY119">
        <f t="shared" ref="AY119:AY138" si="89">SUM(AR119:AX119)</f>
        <v>1</v>
      </c>
    </row>
    <row r="120" spans="2:54" ht="15" x14ac:dyDescent="0.25">
      <c r="B120" s="6" t="s">
        <v>14</v>
      </c>
      <c r="C120" s="7" t="s">
        <v>15</v>
      </c>
      <c r="D120" s="51">
        <f>'[21]Table 4.2'!C128</f>
        <v>98</v>
      </c>
      <c r="E120" s="51">
        <f>'[21]Table 4.2'!D128</f>
        <v>44</v>
      </c>
      <c r="F120" s="51">
        <f>'[21]Table 4.2'!E128</f>
        <v>0.1</v>
      </c>
      <c r="G120" s="51">
        <f>'[21]Table 4.2'!F128</f>
        <v>0.3</v>
      </c>
      <c r="H120" s="51">
        <f>'[21]Table 4.2'!G128</f>
        <v>36</v>
      </c>
      <c r="I120" s="51">
        <f>'[21]Table 4.2'!H128</f>
        <v>1</v>
      </c>
      <c r="J120" s="51">
        <f>'[21]Table 4.2'!I128</f>
        <v>6</v>
      </c>
      <c r="K120" s="51">
        <f>'[21]Table 4.2'!J128</f>
        <v>0</v>
      </c>
      <c r="L120" s="51">
        <f>'[21]Table 4.2'!K128</f>
        <v>12</v>
      </c>
      <c r="M120" s="51">
        <f t="shared" si="79"/>
        <v>55.4</v>
      </c>
      <c r="N120" s="51">
        <f t="shared" si="80"/>
        <v>54</v>
      </c>
      <c r="Q120" t="str">
        <f t="shared" si="81"/>
        <v>313</v>
      </c>
      <c r="R120" s="4">
        <f>'[22]Table 7.2'!AU107</f>
        <v>19.239999999999998</v>
      </c>
      <c r="S120" s="4">
        <f>'[22]Table 7.2'!AW107</f>
        <v>14.13</v>
      </c>
      <c r="T120" s="4">
        <f>'[22]Table 7.2'!AV107</f>
        <v>24.22</v>
      </c>
      <c r="U120" s="4">
        <f>'[22]Table 7.2'!AX107</f>
        <v>6.55</v>
      </c>
      <c r="V120" s="4">
        <f>'[22]Table 7.2'!AY107</f>
        <v>18.579999999999998</v>
      </c>
      <c r="W120" s="4">
        <f>'[22]Table 7.2'!AZ107</f>
        <v>4.53</v>
      </c>
      <c r="X120" s="4">
        <f>'[22]Table 7.2'!BA107</f>
        <v>0</v>
      </c>
      <c r="Y120" s="4">
        <f>'[23]Table 7.6'!P102</f>
        <v>1.6666666666666667</v>
      </c>
      <c r="AH120" t="str">
        <f t="shared" si="82"/>
        <v>313</v>
      </c>
      <c r="AI120" s="9" t="str">
        <f t="shared" si="83"/>
        <v>Textile Mills</v>
      </c>
      <c r="AJ120" s="4">
        <f>'[23]Table 7.6'!N102</f>
        <v>1230</v>
      </c>
      <c r="AK120" s="4">
        <f>'[23]Table 7.6'!O102</f>
        <v>1.6666666666666667</v>
      </c>
      <c r="AL120">
        <f t="shared" si="84"/>
        <v>846.56</v>
      </c>
      <c r="AM120" s="4">
        <f t="shared" si="85"/>
        <v>1228.3333333333333</v>
      </c>
      <c r="AN120" s="125">
        <f t="shared" si="86"/>
        <v>310.23899999999998</v>
      </c>
      <c r="AO120" s="4">
        <f t="shared" si="87"/>
        <v>5.599981949458483</v>
      </c>
      <c r="AR120" s="117">
        <f t="shared" si="88"/>
        <v>1.8050541516245488E-3</v>
      </c>
      <c r="AS120" s="117">
        <f t="shared" si="73"/>
        <v>5.415162454873646E-3</v>
      </c>
      <c r="AT120" s="117">
        <f t="shared" si="74"/>
        <v>0.64981949458483756</v>
      </c>
      <c r="AU120" s="117">
        <f t="shared" si="75"/>
        <v>1.8050541516245487E-2</v>
      </c>
      <c r="AV120" s="117">
        <f t="shared" si="76"/>
        <v>0.10830324909747292</v>
      </c>
      <c r="AW120" s="117">
        <f t="shared" si="77"/>
        <v>0</v>
      </c>
      <c r="AX120" s="117">
        <f t="shared" si="78"/>
        <v>0.21660649819494585</v>
      </c>
      <c r="AY120">
        <f t="shared" si="89"/>
        <v>1</v>
      </c>
    </row>
    <row r="121" spans="2:54" ht="15" x14ac:dyDescent="0.25">
      <c r="B121" s="6" t="s">
        <v>16</v>
      </c>
      <c r="C121" s="7" t="s">
        <v>17</v>
      </c>
      <c r="D121" s="51">
        <f>'[21]Table 4.2'!C129</f>
        <v>27</v>
      </c>
      <c r="E121" s="51">
        <f>'[21]Table 4.2'!D129</f>
        <v>9</v>
      </c>
      <c r="F121" s="51">
        <f>'[21]Table 4.2'!E129</f>
        <v>0.1</v>
      </c>
      <c r="G121" s="51">
        <f>'[21]Table 4.2'!F129</f>
        <v>3</v>
      </c>
      <c r="H121" s="51">
        <f>'[21]Table 4.2'!G129</f>
        <v>16</v>
      </c>
      <c r="I121" s="51">
        <f>'[21]Table 4.2'!H129</f>
        <v>0.4</v>
      </c>
      <c r="J121" s="51">
        <f>'[21]Table 4.2'!I129</f>
        <v>1</v>
      </c>
      <c r="K121" s="51">
        <f>'[21]Table 4.2'!J129</f>
        <v>0</v>
      </c>
      <c r="L121" s="51">
        <f>'[21]Table 4.2'!K129</f>
        <v>0.2</v>
      </c>
      <c r="M121" s="51">
        <f t="shared" si="79"/>
        <v>20.7</v>
      </c>
      <c r="N121" s="51">
        <f t="shared" si="80"/>
        <v>18</v>
      </c>
      <c r="Q121" t="str">
        <f t="shared" si="81"/>
        <v>314</v>
      </c>
      <c r="R121" s="4">
        <f>'[22]Table 7.2'!AU108</f>
        <v>22.47</v>
      </c>
      <c r="S121" s="4">
        <f>'[22]Table 7.2'!AW108</f>
        <v>15.16</v>
      </c>
      <c r="T121" s="4">
        <f>'[22]Table 7.2'!AV108</f>
        <v>23.75</v>
      </c>
      <c r="U121" s="4">
        <f>'[22]Table 7.2'!AX108</f>
        <v>6.76</v>
      </c>
      <c r="V121" s="4">
        <f>'[22]Table 7.2'!AY108</f>
        <v>18.16</v>
      </c>
      <c r="W121" s="4">
        <f>'[22]Table 7.2'!AZ108</f>
        <v>5.61</v>
      </c>
      <c r="X121" s="4">
        <f>'[22]Table 7.2'!BA108</f>
        <v>0</v>
      </c>
      <c r="Y121" s="4">
        <f>'[23]Table 7.6'!P103</f>
        <v>6.666666666666667</v>
      </c>
      <c r="AH121" t="str">
        <f t="shared" si="82"/>
        <v>314</v>
      </c>
      <c r="AI121" s="9" t="str">
        <f t="shared" si="83"/>
        <v>Textile Product Mills</v>
      </c>
      <c r="AJ121" s="4">
        <f>'[23]Table 7.6'!N103</f>
        <v>341</v>
      </c>
      <c r="AK121" s="4">
        <f>'[23]Table 7.6'!O103</f>
        <v>6.666666666666667</v>
      </c>
      <c r="AL121">
        <f t="shared" si="84"/>
        <v>202.23</v>
      </c>
      <c r="AM121" s="4">
        <f t="shared" si="85"/>
        <v>334.33333333333331</v>
      </c>
      <c r="AN121" s="125">
        <f t="shared" si="86"/>
        <v>195.13333333333335</v>
      </c>
      <c r="AO121" s="4">
        <f t="shared" si="87"/>
        <v>9.426731078904993</v>
      </c>
      <c r="AR121" s="117">
        <f t="shared" si="88"/>
        <v>4.8309178743961359E-3</v>
      </c>
      <c r="AS121" s="117">
        <f t="shared" si="73"/>
        <v>0.14492753623188406</v>
      </c>
      <c r="AT121" s="117">
        <f t="shared" si="74"/>
        <v>0.77294685990338163</v>
      </c>
      <c r="AU121" s="117">
        <f t="shared" si="75"/>
        <v>1.9323671497584544E-2</v>
      </c>
      <c r="AV121" s="117">
        <f t="shared" si="76"/>
        <v>4.8309178743961352E-2</v>
      </c>
      <c r="AW121" s="117">
        <f t="shared" si="77"/>
        <v>0</v>
      </c>
      <c r="AX121" s="117">
        <f t="shared" si="78"/>
        <v>9.6618357487922718E-3</v>
      </c>
      <c r="AY121">
        <f t="shared" si="89"/>
        <v>1</v>
      </c>
    </row>
    <row r="122" spans="2:54" ht="15" x14ac:dyDescent="0.25">
      <c r="B122" s="6" t="s">
        <v>18</v>
      </c>
      <c r="C122" s="7" t="s">
        <v>19</v>
      </c>
      <c r="D122" s="51">
        <f>'[21]Table 4.2'!C130</f>
        <v>5</v>
      </c>
      <c r="E122" s="51">
        <f>'[21]Table 4.2'!D130</f>
        <v>3</v>
      </c>
      <c r="F122" s="51">
        <f>'[21]Table 4.2'!E130</f>
        <v>0</v>
      </c>
      <c r="G122" s="51">
        <f>'[21]Table 4.2'!F130</f>
        <v>0.1</v>
      </c>
      <c r="H122" s="51">
        <f>'[21]Table 4.2'!G130</f>
        <v>2</v>
      </c>
      <c r="I122" s="51">
        <f>'[21]Table 4.2'!H130</f>
        <v>0.1</v>
      </c>
      <c r="J122" s="51">
        <f>'[21]Table 4.2'!I130</f>
        <v>0</v>
      </c>
      <c r="K122" s="51">
        <f>'[21]Table 4.2'!J130</f>
        <v>0</v>
      </c>
      <c r="L122" s="51">
        <f>'[21]Table 4.2'!K130</f>
        <v>0.1</v>
      </c>
      <c r="M122" s="51">
        <f t="shared" si="79"/>
        <v>2.3000000000000003</v>
      </c>
      <c r="N122" s="51">
        <f t="shared" si="80"/>
        <v>2</v>
      </c>
      <c r="Q122" t="str">
        <f t="shared" si="81"/>
        <v>315</v>
      </c>
      <c r="R122" s="4">
        <f>'[22]Table 7.2'!AU109</f>
        <v>28</v>
      </c>
      <c r="S122" s="4">
        <f>'[22]Table 7.2'!AW109</f>
        <v>0</v>
      </c>
      <c r="T122" s="36">
        <v>20</v>
      </c>
      <c r="U122" s="4">
        <f>'[22]Table 7.2'!AX109</f>
        <v>7.28</v>
      </c>
      <c r="V122" s="4">
        <f>'[22]Table 7.2'!AY109</f>
        <v>21.17</v>
      </c>
      <c r="W122" s="36">
        <v>5</v>
      </c>
      <c r="X122" s="4">
        <f>'[22]Table 7.2'!BA109</f>
        <v>0</v>
      </c>
      <c r="Y122" s="4">
        <f>'[23]Table 7.6'!P104</f>
        <v>1</v>
      </c>
      <c r="AH122" t="str">
        <f t="shared" si="82"/>
        <v>315</v>
      </c>
      <c r="AI122" s="9" t="str">
        <f t="shared" si="83"/>
        <v>Apparel</v>
      </c>
      <c r="AJ122" s="4">
        <f>'[23]Table 7.6'!N104</f>
        <v>94</v>
      </c>
      <c r="AK122" s="4">
        <f>'[23]Table 7.6'!O104</f>
        <v>1</v>
      </c>
      <c r="AL122">
        <f t="shared" si="84"/>
        <v>84</v>
      </c>
      <c r="AM122" s="4">
        <f t="shared" si="85"/>
        <v>93</v>
      </c>
      <c r="AN122" s="125">
        <f t="shared" si="86"/>
        <v>18.777000000000005</v>
      </c>
      <c r="AO122" s="4">
        <f t="shared" si="87"/>
        <v>8.1639130434782619</v>
      </c>
      <c r="AR122" s="117">
        <f t="shared" si="88"/>
        <v>0</v>
      </c>
      <c r="AS122" s="117">
        <f t="shared" si="73"/>
        <v>4.3478260869565216E-2</v>
      </c>
      <c r="AT122" s="117">
        <f t="shared" si="74"/>
        <v>0.86956521739130421</v>
      </c>
      <c r="AU122" s="117">
        <f t="shared" si="75"/>
        <v>4.3478260869565216E-2</v>
      </c>
      <c r="AV122" s="117">
        <f t="shared" si="76"/>
        <v>0</v>
      </c>
      <c r="AW122" s="117">
        <f t="shared" si="77"/>
        <v>0</v>
      </c>
      <c r="AX122" s="117">
        <f t="shared" si="78"/>
        <v>4.3478260869565216E-2</v>
      </c>
      <c r="AY122">
        <f t="shared" si="89"/>
        <v>0.99999999999999978</v>
      </c>
    </row>
    <row r="123" spans="2:54" ht="15" x14ac:dyDescent="0.25">
      <c r="B123" s="6" t="s">
        <v>20</v>
      </c>
      <c r="C123" s="7" t="s">
        <v>21</v>
      </c>
      <c r="D123" s="51">
        <f>'[21]Table 4.2'!C131</f>
        <v>3</v>
      </c>
      <c r="E123" s="51">
        <f>'[21]Table 4.2'!D131</f>
        <v>1</v>
      </c>
      <c r="F123" s="51">
        <f>'[21]Table 4.2'!E131</f>
        <v>0.1</v>
      </c>
      <c r="G123" s="51">
        <f>'[21]Table 4.2'!F131</f>
        <v>0.2</v>
      </c>
      <c r="H123" s="51">
        <f>'[21]Table 4.2'!G131</f>
        <v>1</v>
      </c>
      <c r="I123" s="51">
        <f>'[21]Table 4.2'!H131</f>
        <v>0.2</v>
      </c>
      <c r="J123" s="51">
        <f>'[21]Table 4.2'!I131</f>
        <v>0</v>
      </c>
      <c r="K123" s="51">
        <f>'[21]Table 4.2'!J131</f>
        <v>0</v>
      </c>
      <c r="L123" s="51">
        <f>'[21]Table 4.2'!K131</f>
        <v>0.2</v>
      </c>
      <c r="M123" s="51">
        <f t="shared" si="79"/>
        <v>1.7</v>
      </c>
      <c r="N123" s="51">
        <f t="shared" si="80"/>
        <v>2</v>
      </c>
      <c r="Q123" t="str">
        <f t="shared" si="81"/>
        <v>316</v>
      </c>
      <c r="R123" s="4">
        <f>'[22]Table 7.2'!AU110</f>
        <v>26.36</v>
      </c>
      <c r="S123" s="4">
        <f>'[22]Table 7.2'!AW110</f>
        <v>20.03</v>
      </c>
      <c r="T123" s="4">
        <f>'[22]Table 7.2'!AV110</f>
        <v>23.28</v>
      </c>
      <c r="U123" s="4">
        <f>'[22]Table 7.2'!AX110</f>
        <v>6.79</v>
      </c>
      <c r="V123" s="4">
        <f>'[22]Table 7.2'!AY110</f>
        <v>19.13</v>
      </c>
      <c r="W123" s="36">
        <v>5</v>
      </c>
      <c r="X123" s="4">
        <f>'[22]Table 7.2'!BA110</f>
        <v>0</v>
      </c>
      <c r="Y123" s="4">
        <f>'[23]Table 7.6'!P105</f>
        <v>1</v>
      </c>
      <c r="AH123" t="str">
        <f t="shared" si="82"/>
        <v>316</v>
      </c>
      <c r="AI123" s="9" t="str">
        <f t="shared" si="83"/>
        <v>Leather and Allied Products</v>
      </c>
      <c r="AJ123" s="4">
        <f>'[23]Table 7.6'!N105</f>
        <v>40</v>
      </c>
      <c r="AK123" s="4">
        <f>'[23]Table 7.6'!O105</f>
        <v>1</v>
      </c>
      <c r="AL123">
        <f t="shared" si="84"/>
        <v>26.36</v>
      </c>
      <c r="AM123" s="4">
        <f t="shared" si="85"/>
        <v>39</v>
      </c>
      <c r="AN123" s="125">
        <f t="shared" si="86"/>
        <v>17.475000000000001</v>
      </c>
      <c r="AO123" s="4">
        <f t="shared" si="87"/>
        <v>10.279411764705884</v>
      </c>
      <c r="AR123" s="117">
        <f t="shared" si="88"/>
        <v>5.8823529411764712E-2</v>
      </c>
      <c r="AS123" s="117">
        <f t="shared" si="73"/>
        <v>0.11764705882352942</v>
      </c>
      <c r="AT123" s="117">
        <f t="shared" si="74"/>
        <v>0.58823529411764708</v>
      </c>
      <c r="AU123" s="117">
        <f t="shared" si="75"/>
        <v>0.11764705882352942</v>
      </c>
      <c r="AV123" s="117">
        <f t="shared" si="76"/>
        <v>0</v>
      </c>
      <c r="AW123" s="117">
        <f t="shared" si="77"/>
        <v>0</v>
      </c>
      <c r="AX123" s="117">
        <f t="shared" si="78"/>
        <v>0.11764705882352942</v>
      </c>
      <c r="AY123">
        <f t="shared" si="89"/>
        <v>1</v>
      </c>
    </row>
    <row r="124" spans="2:54" ht="15" x14ac:dyDescent="0.25">
      <c r="B124" s="6" t="s">
        <v>22</v>
      </c>
      <c r="C124" s="7" t="s">
        <v>23</v>
      </c>
      <c r="D124" s="51">
        <f>'[21]Table 4.2'!C132</f>
        <v>182</v>
      </c>
      <c r="E124" s="51">
        <f>'[21]Table 4.2'!D132</f>
        <v>75</v>
      </c>
      <c r="F124" s="51">
        <f>'[21]Table 4.2'!E132</f>
        <v>0.1</v>
      </c>
      <c r="G124" s="51">
        <f>'[21]Table 4.2'!F132</f>
        <v>10</v>
      </c>
      <c r="H124" s="51">
        <f>'[21]Table 4.2'!G132</f>
        <v>49</v>
      </c>
      <c r="I124" s="51">
        <f>'[21]Table 4.2'!H132</f>
        <v>3</v>
      </c>
      <c r="J124" s="51">
        <f>'[21]Table 4.2'!I132</f>
        <v>1</v>
      </c>
      <c r="K124" s="51">
        <f>'[21]Table 4.2'!J132</f>
        <v>0</v>
      </c>
      <c r="L124" s="51">
        <f>'[21]Table 4.2'!K132</f>
        <v>44</v>
      </c>
      <c r="M124" s="51">
        <f t="shared" si="79"/>
        <v>107.1</v>
      </c>
      <c r="N124" s="51">
        <f t="shared" si="80"/>
        <v>107</v>
      </c>
      <c r="Q124" t="str">
        <f t="shared" si="81"/>
        <v>321</v>
      </c>
      <c r="R124" s="4">
        <f>'[22]Table 7.2'!AU111</f>
        <v>24.35</v>
      </c>
      <c r="S124" s="4">
        <f>'[22]Table 7.2'!AW111</f>
        <v>18.12</v>
      </c>
      <c r="T124" s="4">
        <f>'[22]Table 7.2'!AV111</f>
        <v>21.81</v>
      </c>
      <c r="U124" s="4">
        <f>'[22]Table 7.2'!AX111</f>
        <v>6.23</v>
      </c>
      <c r="V124" s="4">
        <f>'[22]Table 7.2'!AY111</f>
        <v>21</v>
      </c>
      <c r="W124" s="4">
        <f>'[22]Table 7.2'!AZ111</f>
        <v>4.5999999999999996</v>
      </c>
      <c r="X124" s="4">
        <f>'[22]Table 7.2'!BA111</f>
        <v>0</v>
      </c>
      <c r="Y124" s="4">
        <f>'[23]Table 7.6'!P106</f>
        <v>5.0196078431372548</v>
      </c>
      <c r="AH124" t="str">
        <f t="shared" si="82"/>
        <v>321</v>
      </c>
      <c r="AI124" s="9" t="str">
        <f t="shared" si="83"/>
        <v>Wood Products</v>
      </c>
      <c r="AJ124" s="4">
        <f>'[23]Table 7.6'!N106</f>
        <v>2723</v>
      </c>
      <c r="AK124" s="4">
        <f>'[23]Table 7.6'!O106</f>
        <v>5.0196078431372548</v>
      </c>
      <c r="AL124">
        <f t="shared" si="84"/>
        <v>1826.25</v>
      </c>
      <c r="AM124" s="4">
        <f t="shared" si="85"/>
        <v>2717.9803921568628</v>
      </c>
      <c r="AN124" s="125">
        <f t="shared" si="86"/>
        <v>813.64474509803927</v>
      </c>
      <c r="AO124" s="4">
        <f t="shared" si="87"/>
        <v>7.5970564434924306</v>
      </c>
      <c r="AP124">
        <f>AN124/AO124</f>
        <v>107.1</v>
      </c>
      <c r="AR124" s="117">
        <f t="shared" si="88"/>
        <v>9.3370681605975739E-4</v>
      </c>
      <c r="AS124" s="117">
        <f t="shared" si="73"/>
        <v>9.3370681605975725E-2</v>
      </c>
      <c r="AT124" s="117">
        <f t="shared" si="74"/>
        <v>0.45751633986928109</v>
      </c>
      <c r="AU124" s="117">
        <f t="shared" si="75"/>
        <v>2.8011204481792718E-2</v>
      </c>
      <c r="AV124" s="117">
        <f t="shared" si="76"/>
        <v>9.3370681605975722E-3</v>
      </c>
      <c r="AW124" s="117">
        <f t="shared" si="77"/>
        <v>0</v>
      </c>
      <c r="AX124" s="117">
        <f t="shared" si="78"/>
        <v>0.41083099906629322</v>
      </c>
      <c r="AY124">
        <f t="shared" si="89"/>
        <v>1</v>
      </c>
      <c r="BA124" s="4">
        <f>SUMPRODUCT(AR124:AX124,S124:Y124)</f>
        <v>7.5970564434924288</v>
      </c>
      <c r="BB124" t="s">
        <v>347</v>
      </c>
    </row>
    <row r="125" spans="2:54" ht="15" x14ac:dyDescent="0.25">
      <c r="B125" s="6" t="s">
        <v>24</v>
      </c>
      <c r="C125" s="7" t="s">
        <v>25</v>
      </c>
      <c r="D125" s="51">
        <f>'[21]Table 4.2'!C133</f>
        <v>1111</v>
      </c>
      <c r="E125" s="51">
        <f>'[21]Table 4.2'!D133</f>
        <v>211</v>
      </c>
      <c r="F125" s="51">
        <f>'[21]Table 4.2'!E133</f>
        <v>17</v>
      </c>
      <c r="G125" s="51">
        <f>'[21]Table 4.2'!F133</f>
        <v>5</v>
      </c>
      <c r="H125" s="51">
        <f>'[21]Table 4.2'!G133</f>
        <v>436</v>
      </c>
      <c r="I125" s="51">
        <f>'[21]Table 4.2'!H133</f>
        <v>3</v>
      </c>
      <c r="J125" s="51">
        <f>'[21]Table 4.2'!I133</f>
        <v>146</v>
      </c>
      <c r="K125" s="51">
        <f>'[21]Table 4.2'!J133</f>
        <v>0</v>
      </c>
      <c r="L125" s="51">
        <f>'[21]Table 4.2'!K133</f>
        <v>293</v>
      </c>
      <c r="M125" s="51">
        <f t="shared" si="79"/>
        <v>900</v>
      </c>
      <c r="N125" s="51">
        <f t="shared" si="80"/>
        <v>900</v>
      </c>
      <c r="Q125" t="str">
        <f t="shared" si="81"/>
        <v>322</v>
      </c>
      <c r="R125" s="4">
        <f>'[22]Table 7.2'!AU112</f>
        <v>17.97</v>
      </c>
      <c r="S125" s="4">
        <f>'[22]Table 7.2'!AW112</f>
        <v>14.9</v>
      </c>
      <c r="T125" s="4">
        <f>'[22]Table 7.2'!AV112</f>
        <v>20.440000000000001</v>
      </c>
      <c r="U125" s="4">
        <f>'[22]Table 7.2'!AX112</f>
        <v>5.36</v>
      </c>
      <c r="V125" s="4">
        <f>'[22]Table 7.2'!AY112</f>
        <v>19.97</v>
      </c>
      <c r="W125" s="4">
        <f>'[22]Table 7.2'!AZ112</f>
        <v>3.99</v>
      </c>
      <c r="X125" s="4">
        <f>'[22]Table 7.2'!BA112</f>
        <v>0</v>
      </c>
      <c r="Y125" s="4">
        <f>'[23]Table 7.6'!P107</f>
        <v>3.3161512027491411</v>
      </c>
      <c r="AH125" t="str">
        <f t="shared" si="82"/>
        <v>322</v>
      </c>
      <c r="AI125" s="9" t="str">
        <f t="shared" si="83"/>
        <v>Paper</v>
      </c>
      <c r="AJ125" s="4">
        <f>'[23]Table 7.6'!N107</f>
        <v>8097</v>
      </c>
      <c r="AK125" s="4">
        <f>'[23]Table 7.6'!O107</f>
        <v>3.3161512027491411</v>
      </c>
      <c r="AL125">
        <f t="shared" si="84"/>
        <v>3791.6699999999996</v>
      </c>
      <c r="AM125" s="4">
        <f t="shared" si="85"/>
        <v>8093.6838487972509</v>
      </c>
      <c r="AN125" s="125">
        <f t="shared" si="86"/>
        <v>4306.542302405498</v>
      </c>
      <c r="AO125" s="4">
        <f t="shared" si="87"/>
        <v>4.7850470026727754</v>
      </c>
      <c r="AR125" s="117">
        <f t="shared" si="88"/>
        <v>1.8888888888888889E-2</v>
      </c>
      <c r="AS125" s="117">
        <f t="shared" si="73"/>
        <v>5.5555555555555558E-3</v>
      </c>
      <c r="AT125" s="117">
        <f t="shared" si="74"/>
        <v>0.48444444444444446</v>
      </c>
      <c r="AU125" s="117">
        <f t="shared" si="75"/>
        <v>3.3333333333333335E-3</v>
      </c>
      <c r="AV125" s="117">
        <f t="shared" si="76"/>
        <v>0.16222222222222221</v>
      </c>
      <c r="AW125" s="117">
        <f t="shared" si="77"/>
        <v>0</v>
      </c>
      <c r="AX125" s="117">
        <f t="shared" si="78"/>
        <v>0.32555555555555554</v>
      </c>
      <c r="AY125">
        <f t="shared" si="89"/>
        <v>1</v>
      </c>
    </row>
    <row r="126" spans="2:54" ht="15" x14ac:dyDescent="0.25">
      <c r="B126" s="6" t="s">
        <v>26</v>
      </c>
      <c r="C126" s="7" t="s">
        <v>27</v>
      </c>
      <c r="D126" s="51">
        <f>'[21]Table 4.2'!C134</f>
        <v>89</v>
      </c>
      <c r="E126" s="51">
        <f>'[21]Table 4.2'!D134</f>
        <v>48</v>
      </c>
      <c r="F126" s="51">
        <f>'[21]Table 4.2'!E134</f>
        <v>0.1</v>
      </c>
      <c r="G126" s="51">
        <f>'[21]Table 4.2'!F134</f>
        <v>0.3</v>
      </c>
      <c r="H126" s="51">
        <f>'[21]Table 4.2'!G134</f>
        <v>39</v>
      </c>
      <c r="I126" s="51">
        <f>'[21]Table 4.2'!H134</f>
        <v>1</v>
      </c>
      <c r="J126" s="51">
        <f>'[21]Table 4.2'!I134</f>
        <v>0</v>
      </c>
      <c r="K126" s="51">
        <f>'[21]Table 4.2'!J134</f>
        <v>0</v>
      </c>
      <c r="L126" s="51">
        <f>'[21]Table 4.2'!K134</f>
        <v>0.2</v>
      </c>
      <c r="M126" s="51">
        <f t="shared" si="79"/>
        <v>40.6</v>
      </c>
      <c r="N126" s="51">
        <f t="shared" si="80"/>
        <v>41</v>
      </c>
      <c r="Q126" t="str">
        <f t="shared" si="81"/>
        <v>323</v>
      </c>
      <c r="R126" s="4">
        <f>'[22]Table 7.2'!AU113</f>
        <v>25.7</v>
      </c>
      <c r="S126" s="36">
        <v>15</v>
      </c>
      <c r="T126" s="36">
        <v>20</v>
      </c>
      <c r="U126" s="4">
        <f>'[22]Table 7.2'!AX113</f>
        <v>6.77</v>
      </c>
      <c r="V126" s="4">
        <f>'[22]Table 7.2'!AY113</f>
        <v>19.920000000000002</v>
      </c>
      <c r="W126" s="4">
        <v>5</v>
      </c>
      <c r="X126" s="4">
        <f>'[22]Table 7.2'!BA113</f>
        <v>0</v>
      </c>
      <c r="Y126" s="4">
        <f>'[23]Table 7.6'!P108</f>
        <v>3.3333333333333335</v>
      </c>
      <c r="AH126" t="str">
        <f t="shared" si="82"/>
        <v>323</v>
      </c>
      <c r="AI126" s="9" t="str">
        <f t="shared" si="83"/>
        <v>Printing and Related Support</v>
      </c>
      <c r="AJ126" s="4">
        <f>'[23]Table 7.6'!N108</f>
        <v>1537</v>
      </c>
      <c r="AK126" s="4">
        <f>'[23]Table 7.6'!O108</f>
        <v>3.3333333333333335</v>
      </c>
      <c r="AL126">
        <f t="shared" si="84"/>
        <v>1233.5999999999999</v>
      </c>
      <c r="AM126" s="4">
        <f t="shared" si="85"/>
        <v>1533.6666666666667</v>
      </c>
      <c r="AN126" s="125">
        <f t="shared" si="86"/>
        <v>292.11666666666667</v>
      </c>
      <c r="AO126" s="4">
        <f t="shared" si="87"/>
        <v>7.194991789819376</v>
      </c>
      <c r="AR126" s="117">
        <f t="shared" si="88"/>
        <v>2.4630541871921183E-3</v>
      </c>
      <c r="AS126" s="117">
        <f t="shared" si="73"/>
        <v>7.3891625615763543E-3</v>
      </c>
      <c r="AT126" s="117">
        <f t="shared" si="74"/>
        <v>0.96059113300492605</v>
      </c>
      <c r="AU126" s="117">
        <f t="shared" si="75"/>
        <v>2.463054187192118E-2</v>
      </c>
      <c r="AV126" s="117">
        <f t="shared" si="76"/>
        <v>0</v>
      </c>
      <c r="AW126" s="117">
        <f t="shared" si="77"/>
        <v>0</v>
      </c>
      <c r="AX126" s="117">
        <f t="shared" si="78"/>
        <v>4.9261083743842365E-3</v>
      </c>
      <c r="AY126">
        <f t="shared" si="89"/>
        <v>0.99999999999999989</v>
      </c>
    </row>
    <row r="127" spans="2:54" ht="15" x14ac:dyDescent="0.25">
      <c r="B127" s="6" t="s">
        <v>28</v>
      </c>
      <c r="C127" s="7" t="s">
        <v>29</v>
      </c>
      <c r="D127" s="51">
        <f>'[21]Table 4.2'!C135</f>
        <v>1690</v>
      </c>
      <c r="E127" s="51">
        <f>'[21]Table 4.2'!D135</f>
        <v>183</v>
      </c>
      <c r="F127" s="51">
        <f>'[21]Table 4.2'!E135</f>
        <v>4</v>
      </c>
      <c r="G127" s="51">
        <f>'[21]Table 4.2'!F135</f>
        <v>8</v>
      </c>
      <c r="H127" s="51">
        <f>'[21]Table 4.2'!G135</f>
        <v>1071</v>
      </c>
      <c r="I127" s="51">
        <f>'[21]Table 4.2'!H135</f>
        <v>8</v>
      </c>
      <c r="J127" s="51">
        <f>'[21]Table 4.2'!I135</f>
        <v>8</v>
      </c>
      <c r="K127" s="51">
        <f>'[21]Table 4.2'!J135</f>
        <v>0</v>
      </c>
      <c r="L127" s="51">
        <f>'[21]Table 4.2'!K135</f>
        <v>408</v>
      </c>
      <c r="M127" s="51">
        <f t="shared" si="79"/>
        <v>1507</v>
      </c>
      <c r="N127" s="51">
        <f t="shared" si="80"/>
        <v>1507</v>
      </c>
      <c r="Q127" t="str">
        <f t="shared" si="81"/>
        <v>324</v>
      </c>
      <c r="R127" s="4">
        <f>'[22]Table 7.2'!AU114</f>
        <v>17.489999999999998</v>
      </c>
      <c r="S127" s="4">
        <f>'[22]Table 7.2'!AW114</f>
        <v>13.2</v>
      </c>
      <c r="T127" s="4">
        <f>'[22]Table 7.2'!AV114</f>
        <v>16.34</v>
      </c>
      <c r="U127" s="4">
        <f>'[22]Table 7.2'!AX114</f>
        <v>5.0999999999999996</v>
      </c>
      <c r="V127" s="4">
        <f>'[22]Table 7.2'!AY114</f>
        <v>18.489999999999998</v>
      </c>
      <c r="W127" s="4">
        <f>'[22]Table 7.2'!AZ114</f>
        <v>4.4800000000000004</v>
      </c>
      <c r="X127" s="36">
        <v>5</v>
      </c>
      <c r="Y127" s="4">
        <f>'[23]Table 7.6'!P109</f>
        <v>11.466139954853274</v>
      </c>
      <c r="AH127" t="str">
        <f t="shared" si="82"/>
        <v>324</v>
      </c>
      <c r="AI127" s="9" t="str">
        <f t="shared" si="83"/>
        <v>Petroleum and Coal Products</v>
      </c>
      <c r="AJ127" s="4">
        <f>'[23]Table 7.6'!N109</f>
        <v>20358</v>
      </c>
      <c r="AK127" s="4">
        <f>'[23]Table 7.6'!O109</f>
        <v>11.466139954853274</v>
      </c>
      <c r="AL127">
        <f t="shared" si="84"/>
        <v>3200.6699999999996</v>
      </c>
      <c r="AM127" s="4">
        <f t="shared" si="85"/>
        <v>20346.533860045147</v>
      </c>
      <c r="AN127" s="125">
        <f t="shared" si="86"/>
        <v>10507.565101580134</v>
      </c>
      <c r="AO127" s="4">
        <f t="shared" si="87"/>
        <v>6.97250504418058</v>
      </c>
      <c r="AR127" s="117">
        <f t="shared" si="88"/>
        <v>2.6542800265428003E-3</v>
      </c>
      <c r="AS127" s="117">
        <f t="shared" si="73"/>
        <v>5.3085600530856005E-3</v>
      </c>
      <c r="AT127" s="117">
        <f t="shared" si="74"/>
        <v>0.71068347710683477</v>
      </c>
      <c r="AU127" s="117">
        <f t="shared" si="75"/>
        <v>5.3085600530856005E-3</v>
      </c>
      <c r="AV127" s="117">
        <f t="shared" si="76"/>
        <v>5.3085600530856005E-3</v>
      </c>
      <c r="AW127" s="117">
        <f t="shared" si="77"/>
        <v>0</v>
      </c>
      <c r="AX127" s="117">
        <f t="shared" si="78"/>
        <v>0.27073656270736562</v>
      </c>
      <c r="AY127">
        <f t="shared" si="89"/>
        <v>1</v>
      </c>
    </row>
    <row r="128" spans="2:54" ht="15" x14ac:dyDescent="0.25">
      <c r="B128" s="6" t="s">
        <v>30</v>
      </c>
      <c r="C128" s="7" t="s">
        <v>31</v>
      </c>
      <c r="D128" s="51">
        <f>'[21]Table 4.2'!C136</f>
        <v>3152</v>
      </c>
      <c r="E128" s="51">
        <f>'[21]Table 4.2'!D136</f>
        <v>499</v>
      </c>
      <c r="F128" s="51">
        <f>'[21]Table 4.2'!E136</f>
        <v>1</v>
      </c>
      <c r="G128" s="51">
        <f>'[21]Table 4.2'!F136</f>
        <v>10</v>
      </c>
      <c r="H128" s="51">
        <f>'[21]Table 4.2'!G136</f>
        <v>1989</v>
      </c>
      <c r="I128" s="51">
        <f>'[21]Table 4.2'!H136</f>
        <v>4</v>
      </c>
      <c r="J128" s="51">
        <f>'[21]Table 4.2'!I136</f>
        <v>237</v>
      </c>
      <c r="K128" s="51">
        <f>'[21]Table 4.2'!J136</f>
        <v>0</v>
      </c>
      <c r="L128" s="51">
        <f>'[21]Table 4.2'!K136</f>
        <v>413</v>
      </c>
      <c r="M128" s="51">
        <f t="shared" si="79"/>
        <v>2654</v>
      </c>
      <c r="N128" s="51">
        <f t="shared" si="80"/>
        <v>2653</v>
      </c>
      <c r="Q128" t="str">
        <f t="shared" si="81"/>
        <v>325</v>
      </c>
      <c r="R128" s="4">
        <f>'[22]Table 7.2'!AU115</f>
        <v>18.05</v>
      </c>
      <c r="S128" s="4">
        <f>'[22]Table 7.2'!AW115</f>
        <v>13.9</v>
      </c>
      <c r="T128" s="4">
        <f>'[22]Table 7.2'!AV115</f>
        <v>21.41</v>
      </c>
      <c r="U128" s="4">
        <f>'[22]Table 7.2'!AX115</f>
        <v>4.82</v>
      </c>
      <c r="V128" s="4">
        <f>'[22]Table 7.2'!AY115</f>
        <v>12.04</v>
      </c>
      <c r="W128" s="4">
        <f>'[22]Table 7.2'!AZ115</f>
        <v>2.76</v>
      </c>
      <c r="X128" s="4">
        <f>'[22]Table 7.2'!BA115</f>
        <v>6.4</v>
      </c>
      <c r="Y128" s="4">
        <f>'[23]Table 7.6'!P110</f>
        <v>5.7403100775193803</v>
      </c>
      <c r="AH128" t="str">
        <f t="shared" si="82"/>
        <v>325</v>
      </c>
      <c r="AI128" s="9" t="str">
        <f t="shared" si="83"/>
        <v>Chemicals</v>
      </c>
      <c r="AJ128" s="4">
        <f>'[23]Table 7.6'!N110</f>
        <v>58225</v>
      </c>
      <c r="AK128" s="4">
        <f>'[23]Table 7.6'!O110</f>
        <v>5.7403100775193803</v>
      </c>
      <c r="AL128">
        <f t="shared" si="84"/>
        <v>9006.9500000000007</v>
      </c>
      <c r="AM128" s="4">
        <f t="shared" si="85"/>
        <v>58219.259689922481</v>
      </c>
      <c r="AN128" s="125">
        <f t="shared" si="86"/>
        <v>12888.008062015506</v>
      </c>
      <c r="AO128" s="4">
        <f t="shared" si="87"/>
        <v>4.8560693526810494</v>
      </c>
      <c r="AR128" s="117">
        <f t="shared" si="88"/>
        <v>3.7678975131876413E-4</v>
      </c>
      <c r="AS128" s="117">
        <f t="shared" si="73"/>
        <v>3.7678975131876413E-3</v>
      </c>
      <c r="AT128" s="117">
        <f t="shared" si="74"/>
        <v>0.74943481537302181</v>
      </c>
      <c r="AU128" s="117">
        <f t="shared" si="75"/>
        <v>1.5071590052750565E-3</v>
      </c>
      <c r="AV128" s="117">
        <f t="shared" si="76"/>
        <v>8.9299171062547103E-2</v>
      </c>
      <c r="AW128" s="117">
        <f t="shared" si="77"/>
        <v>0</v>
      </c>
      <c r="AX128" s="117">
        <f t="shared" si="78"/>
        <v>0.15561416729464958</v>
      </c>
      <c r="AY128">
        <f t="shared" si="89"/>
        <v>1</v>
      </c>
    </row>
    <row r="129" spans="2:51" ht="15" x14ac:dyDescent="0.25">
      <c r="B129" s="6" t="s">
        <v>32</v>
      </c>
      <c r="C129" s="7" t="s">
        <v>33</v>
      </c>
      <c r="D129" s="51">
        <f>'[21]Table 4.2'!C137</f>
        <v>293</v>
      </c>
      <c r="E129" s="51">
        <f>'[21]Table 4.2'!D137</f>
        <v>190</v>
      </c>
      <c r="F129" s="51">
        <f>'[21]Table 4.2'!E137</f>
        <v>0</v>
      </c>
      <c r="G129" s="51">
        <f>'[21]Table 4.2'!F137</f>
        <v>0.1</v>
      </c>
      <c r="H129" s="51">
        <f>'[21]Table 4.2'!G137</f>
        <v>90</v>
      </c>
      <c r="I129" s="51">
        <f>'[21]Table 4.2'!H137</f>
        <v>4</v>
      </c>
      <c r="J129" s="51">
        <f>'[21]Table 4.2'!I137</f>
        <v>0.1</v>
      </c>
      <c r="K129" s="51">
        <f>'[21]Table 4.2'!J137</f>
        <v>0</v>
      </c>
      <c r="L129" s="51">
        <f>'[21]Table 4.2'!K137</f>
        <v>0.1</v>
      </c>
      <c r="M129" s="51">
        <f t="shared" si="79"/>
        <v>94.299999999999983</v>
      </c>
      <c r="N129" s="51">
        <f t="shared" si="80"/>
        <v>103</v>
      </c>
      <c r="Q129" t="str">
        <f t="shared" si="81"/>
        <v>326</v>
      </c>
      <c r="R129" s="4">
        <f>'[22]Table 7.2'!AU116</f>
        <v>21.48</v>
      </c>
      <c r="S129" s="4">
        <f>'[22]Table 7.2'!AW116</f>
        <v>0</v>
      </c>
      <c r="T129" s="36">
        <v>12</v>
      </c>
      <c r="U129" s="4">
        <f>'[22]Table 7.2'!AX116</f>
        <v>6.79</v>
      </c>
      <c r="V129" s="4">
        <f>'[22]Table 7.2'!AY116</f>
        <v>22.05</v>
      </c>
      <c r="W129" s="4">
        <f>'[22]Table 7.2'!AZ116</f>
        <v>7.09</v>
      </c>
      <c r="X129" s="4">
        <f>'[22]Table 7.2'!BA116</f>
        <v>0</v>
      </c>
      <c r="Y129" s="4">
        <f>'[23]Table 7.6'!P111</f>
        <v>22</v>
      </c>
      <c r="AH129" t="str">
        <f t="shared" si="82"/>
        <v>326</v>
      </c>
      <c r="AI129" s="9" t="str">
        <f t="shared" si="83"/>
        <v>Plastics and Rubber Products</v>
      </c>
      <c r="AJ129" s="4">
        <f>'[23]Table 7.6'!N111</f>
        <v>4936</v>
      </c>
      <c r="AK129" s="4">
        <f>'[23]Table 7.6'!O111</f>
        <v>22</v>
      </c>
      <c r="AL129">
        <f t="shared" si="84"/>
        <v>4081.2000000000003</v>
      </c>
      <c r="AM129" s="4">
        <f t="shared" si="85"/>
        <v>4914</v>
      </c>
      <c r="AN129" s="125">
        <f t="shared" si="86"/>
        <v>703.40900000000011</v>
      </c>
      <c r="AO129" s="4">
        <f t="shared" si="87"/>
        <v>7.4592682926829292</v>
      </c>
      <c r="AR129" s="117">
        <f t="shared" si="88"/>
        <v>0</v>
      </c>
      <c r="AS129" s="117">
        <f t="shared" si="73"/>
        <v>1.0604453870625666E-3</v>
      </c>
      <c r="AT129" s="117">
        <f t="shared" si="74"/>
        <v>0.95440084835630978</v>
      </c>
      <c r="AU129" s="117">
        <f t="shared" si="75"/>
        <v>4.241781548250266E-2</v>
      </c>
      <c r="AV129" s="117">
        <f t="shared" si="76"/>
        <v>1.0604453870625666E-3</v>
      </c>
      <c r="AW129" s="117">
        <f t="shared" si="77"/>
        <v>0</v>
      </c>
      <c r="AX129" s="117">
        <f t="shared" si="78"/>
        <v>1.0604453870625666E-3</v>
      </c>
      <c r="AY129">
        <f t="shared" si="89"/>
        <v>1</v>
      </c>
    </row>
    <row r="130" spans="2:51" ht="15" x14ac:dyDescent="0.25">
      <c r="B130" s="6" t="s">
        <v>34</v>
      </c>
      <c r="C130" s="7" t="s">
        <v>35</v>
      </c>
      <c r="D130" s="51">
        <f>'[21]Table 4.2'!C138</f>
        <v>827</v>
      </c>
      <c r="E130" s="51">
        <f>'[21]Table 4.2'!D138</f>
        <v>129</v>
      </c>
      <c r="F130" s="51">
        <f>'[21]Table 4.2'!E138</f>
        <v>0.2</v>
      </c>
      <c r="G130" s="51">
        <f>'[21]Table 4.2'!F138</f>
        <v>19</v>
      </c>
      <c r="H130" s="51">
        <f>'[21]Table 4.2'!G138</f>
        <v>333</v>
      </c>
      <c r="I130" s="51">
        <f>'[21]Table 4.2'!H138</f>
        <v>3</v>
      </c>
      <c r="J130" s="51">
        <f>'[21]Table 4.2'!I138</f>
        <v>235</v>
      </c>
      <c r="K130" s="51">
        <f>'[21]Table 4.2'!J138</f>
        <v>14</v>
      </c>
      <c r="L130" s="51">
        <f>'[21]Table 4.2'!K138</f>
        <v>94</v>
      </c>
      <c r="M130" s="51">
        <f t="shared" si="79"/>
        <v>698.2</v>
      </c>
      <c r="N130" s="51">
        <f t="shared" si="80"/>
        <v>698</v>
      </c>
      <c r="Q130" t="str">
        <f t="shared" si="81"/>
        <v>327</v>
      </c>
      <c r="R130" s="4">
        <f>'[22]Table 7.2'!AU117</f>
        <v>20.59</v>
      </c>
      <c r="S130" s="4">
        <f>'[22]Table 7.2'!AW117</f>
        <v>11.01</v>
      </c>
      <c r="T130" s="4">
        <f>'[22]Table 7.2'!AV117</f>
        <v>18.899999999999999</v>
      </c>
      <c r="U130" s="4">
        <f>'[22]Table 7.2'!AX117</f>
        <v>5.36</v>
      </c>
      <c r="V130" s="4">
        <f>'[22]Table 7.2'!AY117</f>
        <v>22.63</v>
      </c>
      <c r="W130" s="4">
        <f>'[22]Table 7.2'!AZ117</f>
        <v>3.48</v>
      </c>
      <c r="X130" s="4">
        <f>'[22]Table 7.2'!BA117</f>
        <v>2.73</v>
      </c>
      <c r="Y130" s="4">
        <f>'[23]Table 7.6'!P112</f>
        <v>1.9368421052631579</v>
      </c>
      <c r="AH130" t="str">
        <f t="shared" si="82"/>
        <v>327</v>
      </c>
      <c r="AI130" s="9" t="str">
        <f t="shared" si="83"/>
        <v>Nonmetallic Mineral Products</v>
      </c>
      <c r="AJ130" s="4">
        <f>'[23]Table 7.6'!N112</f>
        <v>6060</v>
      </c>
      <c r="AK130" s="4">
        <f>'[23]Table 7.6'!O112</f>
        <v>1.9368421052631579</v>
      </c>
      <c r="AL130">
        <f t="shared" si="84"/>
        <v>2656.11</v>
      </c>
      <c r="AM130" s="4">
        <f t="shared" si="85"/>
        <v>6058.0631578947368</v>
      </c>
      <c r="AN130" s="125">
        <f t="shared" si="86"/>
        <v>3252.1551578947369</v>
      </c>
      <c r="AO130" s="4">
        <f t="shared" si="87"/>
        <v>4.6579134315307025</v>
      </c>
      <c r="AR130" s="117">
        <f t="shared" si="88"/>
        <v>2.8645087367516471E-4</v>
      </c>
      <c r="AS130" s="117">
        <f t="shared" si="73"/>
        <v>2.7212832999140645E-2</v>
      </c>
      <c r="AT130" s="117">
        <f t="shared" si="74"/>
        <v>0.47694070466914923</v>
      </c>
      <c r="AU130" s="117">
        <f t="shared" si="75"/>
        <v>4.2967631051274704E-3</v>
      </c>
      <c r="AV130" s="117">
        <f t="shared" si="76"/>
        <v>0.3365797765683185</v>
      </c>
      <c r="AW130" s="117">
        <f t="shared" si="77"/>
        <v>2.0051561157261529E-2</v>
      </c>
      <c r="AX130" s="117">
        <f t="shared" si="78"/>
        <v>0.13463191062732741</v>
      </c>
      <c r="AY130">
        <f t="shared" si="89"/>
        <v>0.99999999999999989</v>
      </c>
    </row>
    <row r="131" spans="2:51" ht="15" x14ac:dyDescent="0.25">
      <c r="B131" s="6" t="s">
        <v>36</v>
      </c>
      <c r="C131" s="7" t="s">
        <v>37</v>
      </c>
      <c r="D131" s="51">
        <f>'[21]Table 4.2'!C139</f>
        <v>1370</v>
      </c>
      <c r="E131" s="51">
        <f>'[21]Table 4.2'!D139</f>
        <v>448</v>
      </c>
      <c r="F131" s="51">
        <f>'[21]Table 4.2'!E139</f>
        <v>1.5</v>
      </c>
      <c r="G131" s="51">
        <f>'[21]Table 4.2'!F139</f>
        <v>6</v>
      </c>
      <c r="H131" s="51">
        <f>'[21]Table 4.2'!G139</f>
        <v>643</v>
      </c>
      <c r="I131" s="51">
        <f>'[21]Table 4.2'!H139</f>
        <v>3</v>
      </c>
      <c r="J131" s="51">
        <f>'[21]Table 4.2'!I139</f>
        <v>18</v>
      </c>
      <c r="K131" s="51">
        <f>'[21]Table 4.2'!J139</f>
        <v>221</v>
      </c>
      <c r="L131" s="51">
        <f>'[21]Table 4.2'!K139</f>
        <v>29</v>
      </c>
      <c r="M131" s="51">
        <f t="shared" si="79"/>
        <v>921.5</v>
      </c>
      <c r="N131" s="51">
        <f t="shared" si="80"/>
        <v>922</v>
      </c>
      <c r="Q131" t="str">
        <f t="shared" si="81"/>
        <v>331</v>
      </c>
      <c r="R131" s="4">
        <f>'[22]Table 7.2'!AU118</f>
        <v>16.149999999999999</v>
      </c>
      <c r="S131" s="4">
        <f>'[22]Table 7.2'!AW118</f>
        <v>15.64</v>
      </c>
      <c r="T131" s="4">
        <f>'[22]Table 7.2'!AV118</f>
        <v>22.24</v>
      </c>
      <c r="U131" s="4">
        <f>'[22]Table 7.2'!AX118</f>
        <v>5.1100000000000003</v>
      </c>
      <c r="V131" s="4">
        <f>'[22]Table 7.2'!AY118</f>
        <v>18.48</v>
      </c>
      <c r="W131" s="4">
        <f>'[22]Table 7.2'!AZ118</f>
        <v>4.82</v>
      </c>
      <c r="X131" s="4">
        <f>'[22]Table 7.2'!BA118</f>
        <v>9.91</v>
      </c>
      <c r="Y131" s="4">
        <f>'[23]Table 7.6'!P113</f>
        <v>2.6788321167883211</v>
      </c>
      <c r="AH131" t="str">
        <f t="shared" si="82"/>
        <v>331</v>
      </c>
      <c r="AI131" s="9" t="str">
        <f t="shared" si="83"/>
        <v>Primary Metals</v>
      </c>
      <c r="AJ131" s="4">
        <f>'[23]Table 7.6'!N113</f>
        <v>15067</v>
      </c>
      <c r="AK131" s="4">
        <f>'[23]Table 7.6'!O113</f>
        <v>2.6788321167883211</v>
      </c>
      <c r="AL131">
        <f t="shared" si="84"/>
        <v>7235.1999999999989</v>
      </c>
      <c r="AM131" s="4">
        <f t="shared" si="85"/>
        <v>15064.321167883212</v>
      </c>
      <c r="AN131" s="125">
        <f t="shared" si="86"/>
        <v>5852.6261313868617</v>
      </c>
      <c r="AO131" s="4">
        <f t="shared" si="87"/>
        <v>6.3511949336808051</v>
      </c>
      <c r="AR131" s="117">
        <f t="shared" si="88"/>
        <v>1.6277807921866521E-3</v>
      </c>
      <c r="AS131" s="117">
        <f t="shared" si="73"/>
        <v>6.5111231687466084E-3</v>
      </c>
      <c r="AT131" s="117">
        <f t="shared" si="74"/>
        <v>0.69777536625067826</v>
      </c>
      <c r="AU131" s="117">
        <f t="shared" si="75"/>
        <v>3.2555615843733042E-3</v>
      </c>
      <c r="AV131" s="117">
        <f t="shared" si="76"/>
        <v>1.9533369506239826E-2</v>
      </c>
      <c r="AW131" s="117">
        <f t="shared" si="77"/>
        <v>0.23982637004883342</v>
      </c>
      <c r="AX131" s="117">
        <f t="shared" si="78"/>
        <v>3.1470428648941944E-2</v>
      </c>
      <c r="AY131">
        <f t="shared" si="89"/>
        <v>1.0000000000000002</v>
      </c>
    </row>
    <row r="132" spans="2:51" ht="15" x14ac:dyDescent="0.25">
      <c r="B132" s="6" t="s">
        <v>38</v>
      </c>
      <c r="C132" s="7" t="s">
        <v>39</v>
      </c>
      <c r="D132" s="51">
        <f>'[21]Table 4.2'!C140</f>
        <v>344</v>
      </c>
      <c r="E132" s="51">
        <f>'[21]Table 4.2'!D140</f>
        <v>143</v>
      </c>
      <c r="F132" s="51">
        <f>'[21]Table 4.2'!E140</f>
        <v>0</v>
      </c>
      <c r="G132" s="51">
        <f>'[21]Table 4.2'!F140</f>
        <v>2</v>
      </c>
      <c r="H132" s="51">
        <f>'[21]Table 4.2'!G140</f>
        <v>191</v>
      </c>
      <c r="I132" s="51">
        <f>'[21]Table 4.2'!H140</f>
        <v>7</v>
      </c>
      <c r="J132" s="51">
        <f>'[21]Table 4.2'!I140</f>
        <v>0</v>
      </c>
      <c r="K132" s="51">
        <f>'[21]Table 4.2'!J140</f>
        <v>0</v>
      </c>
      <c r="L132" s="51">
        <f>'[21]Table 4.2'!K140</f>
        <v>1</v>
      </c>
      <c r="M132" s="51">
        <f t="shared" si="79"/>
        <v>201</v>
      </c>
      <c r="N132" s="51">
        <f t="shared" si="80"/>
        <v>201</v>
      </c>
      <c r="Q132" t="str">
        <f t="shared" si="81"/>
        <v>332</v>
      </c>
      <c r="R132" s="4">
        <f>'[22]Table 7.2'!AU119</f>
        <v>25.17</v>
      </c>
      <c r="S132" s="4">
        <f>'[22]Table 7.2'!AW119</f>
        <v>0</v>
      </c>
      <c r="T132" s="36">
        <v>18</v>
      </c>
      <c r="U132" s="4">
        <f>'[22]Table 7.2'!AX119</f>
        <v>6.3</v>
      </c>
      <c r="V132" s="4">
        <f>'[22]Table 7.2'!AY119</f>
        <v>20.14</v>
      </c>
      <c r="W132" s="4">
        <f>'[22]Table 7.2'!AZ119</f>
        <v>9.44</v>
      </c>
      <c r="X132" s="4">
        <f>'[22]Table 7.2'!BA119</f>
        <v>0</v>
      </c>
      <c r="Y132" s="4">
        <f>'[23]Table 7.6'!P114</f>
        <v>37</v>
      </c>
      <c r="AH132" t="str">
        <f t="shared" si="82"/>
        <v>332</v>
      </c>
      <c r="AI132" s="9" t="str">
        <f t="shared" si="83"/>
        <v>Fabricated Metal Products</v>
      </c>
      <c r="AJ132" s="4">
        <f>'[23]Table 7.6'!N114</f>
        <v>5051</v>
      </c>
      <c r="AK132" s="4">
        <f>'[23]Table 7.6'!O114</f>
        <v>37</v>
      </c>
      <c r="AL132">
        <f t="shared" si="84"/>
        <v>3599.3100000000004</v>
      </c>
      <c r="AM132" s="4">
        <f t="shared" si="85"/>
        <v>5014</v>
      </c>
      <c r="AN132" s="125">
        <f t="shared" si="86"/>
        <v>1417.28</v>
      </c>
      <c r="AO132" s="4">
        <f t="shared" si="87"/>
        <v>7.0511442786069649</v>
      </c>
      <c r="AR132" s="117">
        <f t="shared" si="88"/>
        <v>0</v>
      </c>
      <c r="AS132" s="117">
        <f t="shared" si="73"/>
        <v>9.9502487562189053E-3</v>
      </c>
      <c r="AT132" s="117">
        <f t="shared" si="74"/>
        <v>0.95024875621890548</v>
      </c>
      <c r="AU132" s="117">
        <f t="shared" si="75"/>
        <v>3.482587064676617E-2</v>
      </c>
      <c r="AV132" s="117">
        <f t="shared" si="76"/>
        <v>0</v>
      </c>
      <c r="AW132" s="117">
        <f t="shared" si="77"/>
        <v>0</v>
      </c>
      <c r="AX132" s="117">
        <f t="shared" si="78"/>
        <v>4.9751243781094526E-3</v>
      </c>
      <c r="AY132">
        <f t="shared" si="89"/>
        <v>0.99999999999999989</v>
      </c>
    </row>
    <row r="133" spans="2:51" ht="15" x14ac:dyDescent="0.25">
      <c r="B133" s="6" t="s">
        <v>40</v>
      </c>
      <c r="C133" s="7" t="s">
        <v>41</v>
      </c>
      <c r="D133" s="51">
        <f>'[21]Table 4.2'!C141</f>
        <v>163</v>
      </c>
      <c r="E133" s="51">
        <f>'[21]Table 4.2'!D141</f>
        <v>80</v>
      </c>
      <c r="F133" s="51">
        <f>'[21]Table 4.2'!E141</f>
        <v>0.1</v>
      </c>
      <c r="G133" s="51">
        <f>'[21]Table 4.2'!F141</f>
        <v>5</v>
      </c>
      <c r="H133" s="51">
        <f>'[21]Table 4.2'!G141</f>
        <v>72</v>
      </c>
      <c r="I133" s="51">
        <f>'[21]Table 4.2'!H141</f>
        <v>3</v>
      </c>
      <c r="J133" s="51">
        <f>'[21]Table 4.2'!I141</f>
        <v>2</v>
      </c>
      <c r="K133" s="51">
        <f>'[21]Table 4.2'!J141</f>
        <v>0</v>
      </c>
      <c r="L133" s="51">
        <f>'[21]Table 4.2'!K141</f>
        <v>1</v>
      </c>
      <c r="M133" s="51">
        <f t="shared" si="79"/>
        <v>83.1</v>
      </c>
      <c r="N133" s="51">
        <f t="shared" si="80"/>
        <v>83</v>
      </c>
      <c r="Q133" t="str">
        <f t="shared" si="81"/>
        <v>333</v>
      </c>
      <c r="R133" s="4">
        <f>'[22]Table 7.2'!AU120</f>
        <v>25.81</v>
      </c>
      <c r="S133" s="4">
        <f>'[22]Table 7.2'!AW120</f>
        <v>22.65</v>
      </c>
      <c r="T133" s="4">
        <f>'[22]Table 7.2'!AV120</f>
        <v>35.5</v>
      </c>
      <c r="U133" s="4">
        <f>'[22]Table 7.2'!AX120</f>
        <v>6.98</v>
      </c>
      <c r="V133" s="4">
        <f>'[22]Table 7.2'!AY120</f>
        <v>22.19</v>
      </c>
      <c r="W133" s="4">
        <f>'[22]Table 7.2'!AZ120</f>
        <v>3.5</v>
      </c>
      <c r="X133" s="4">
        <f>'[22]Table 7.2'!BA120</f>
        <v>0</v>
      </c>
      <c r="Y133" s="4">
        <f>'[23]Table 7.6'!P115</f>
        <v>39</v>
      </c>
      <c r="AH133" t="str">
        <f t="shared" si="82"/>
        <v>333</v>
      </c>
      <c r="AI133" s="9" t="str">
        <f t="shared" si="83"/>
        <v>Machinery</v>
      </c>
      <c r="AJ133" s="4">
        <f>'[23]Table 7.6'!N115</f>
        <v>2831</v>
      </c>
      <c r="AK133" s="4">
        <f>'[23]Table 7.6'!O115</f>
        <v>39</v>
      </c>
      <c r="AL133">
        <f t="shared" si="84"/>
        <v>2064.7999999999997</v>
      </c>
      <c r="AM133" s="4">
        <f t="shared" si="85"/>
        <v>2792</v>
      </c>
      <c r="AN133" s="125">
        <f t="shared" si="86"/>
        <v>794.8950000000001</v>
      </c>
      <c r="AO133" s="4">
        <f t="shared" si="87"/>
        <v>9.5655234657039721</v>
      </c>
      <c r="AR133" s="117">
        <f t="shared" si="88"/>
        <v>1.2033694344163659E-3</v>
      </c>
      <c r="AS133" s="117">
        <f t="shared" si="73"/>
        <v>6.0168471720818295E-2</v>
      </c>
      <c r="AT133" s="117">
        <f t="shared" si="74"/>
        <v>0.86642599277978349</v>
      </c>
      <c r="AU133" s="117">
        <f t="shared" si="75"/>
        <v>3.6101083032490974E-2</v>
      </c>
      <c r="AV133" s="117">
        <f t="shared" si="76"/>
        <v>2.4067388688327317E-2</v>
      </c>
      <c r="AW133" s="117">
        <f t="shared" si="77"/>
        <v>0</v>
      </c>
      <c r="AX133" s="117">
        <f t="shared" si="78"/>
        <v>1.2033694344163659E-2</v>
      </c>
      <c r="AY133">
        <f t="shared" si="89"/>
        <v>1</v>
      </c>
    </row>
    <row r="134" spans="2:51" ht="15" x14ac:dyDescent="0.25">
      <c r="B134" s="6" t="s">
        <v>42</v>
      </c>
      <c r="C134" s="7" t="s">
        <v>43</v>
      </c>
      <c r="D134" s="51">
        <f>'[21]Table 4.2'!C142</f>
        <v>162</v>
      </c>
      <c r="E134" s="51">
        <f>'[21]Table 4.2'!D142</f>
        <v>112</v>
      </c>
      <c r="F134" s="51">
        <f>'[21]Table 4.2'!E142</f>
        <v>0.2</v>
      </c>
      <c r="G134" s="51">
        <f>'[21]Table 4.2'!F142</f>
        <v>1</v>
      </c>
      <c r="H134" s="51">
        <f>'[21]Table 4.2'!G142</f>
        <v>47</v>
      </c>
      <c r="I134" s="30">
        <v>0.2</v>
      </c>
      <c r="J134" s="51">
        <f>'[21]Table 4.2'!I142</f>
        <v>0</v>
      </c>
      <c r="K134" s="51">
        <f>'[21]Table 4.2'!J142</f>
        <v>0</v>
      </c>
      <c r="L134" s="51">
        <f>'[21]Table 4.2'!K142</f>
        <v>2</v>
      </c>
      <c r="M134" s="51">
        <f t="shared" si="79"/>
        <v>50.400000000000006</v>
      </c>
      <c r="N134" s="51">
        <f t="shared" si="80"/>
        <v>50</v>
      </c>
      <c r="Q134" t="str">
        <f t="shared" si="81"/>
        <v>334</v>
      </c>
      <c r="R134" s="4">
        <f>'[22]Table 7.2'!AU121</f>
        <v>31.53</v>
      </c>
      <c r="S134" s="4">
        <f>'[22]Table 7.2'!AW121</f>
        <v>23.1</v>
      </c>
      <c r="T134" s="4">
        <f>'[22]Table 7.2'!AV121</f>
        <v>24.52</v>
      </c>
      <c r="U134" s="4">
        <f>'[22]Table 7.2'!AX121</f>
        <v>6.65</v>
      </c>
      <c r="V134" s="4">
        <f>'[22]Table 7.2'!AY121</f>
        <v>23.38</v>
      </c>
      <c r="W134" s="36">
        <v>5</v>
      </c>
      <c r="X134" s="4">
        <f>'[22]Table 7.2'!BA121</f>
        <v>0</v>
      </c>
      <c r="Y134" s="4">
        <f>'[23]Table 7.6'!P116</f>
        <v>20</v>
      </c>
      <c r="AH134" t="str">
        <f t="shared" si="82"/>
        <v>334</v>
      </c>
      <c r="AI134" s="9" t="str">
        <f t="shared" si="83"/>
        <v>Computer and Electronic Products</v>
      </c>
      <c r="AJ134" s="4">
        <f>'[23]Table 7.6'!N116</f>
        <v>3883</v>
      </c>
      <c r="AK134" s="4">
        <f>'[23]Table 7.6'!O116</f>
        <v>20</v>
      </c>
      <c r="AL134">
        <f t="shared" si="84"/>
        <v>3531.36</v>
      </c>
      <c r="AM134" s="4">
        <f t="shared" si="85"/>
        <v>3863</v>
      </c>
      <c r="AN134" s="125">
        <f t="shared" si="86"/>
        <v>386.36599999999999</v>
      </c>
      <c r="AO134" s="4">
        <f t="shared" si="87"/>
        <v>7.6659920634920624</v>
      </c>
      <c r="AR134" s="117">
        <f t="shared" si="88"/>
        <v>3.968253968253968E-3</v>
      </c>
      <c r="AS134" s="117">
        <f t="shared" si="73"/>
        <v>1.984126984126984E-2</v>
      </c>
      <c r="AT134" s="117">
        <f t="shared" si="74"/>
        <v>0.93253968253968245</v>
      </c>
      <c r="AU134" s="117">
        <f t="shared" si="75"/>
        <v>3.968253968253968E-3</v>
      </c>
      <c r="AV134" s="117">
        <f t="shared" si="76"/>
        <v>0</v>
      </c>
      <c r="AW134" s="117">
        <f t="shared" si="77"/>
        <v>0</v>
      </c>
      <c r="AX134" s="117">
        <f t="shared" si="78"/>
        <v>3.968253968253968E-2</v>
      </c>
      <c r="AY134">
        <f t="shared" si="89"/>
        <v>0.99999999999999989</v>
      </c>
    </row>
    <row r="135" spans="2:51" ht="15" x14ac:dyDescent="0.25">
      <c r="B135" s="6" t="s">
        <v>44</v>
      </c>
      <c r="C135" s="7" t="s">
        <v>45</v>
      </c>
      <c r="D135" s="51">
        <f>'[21]Table 4.2'!C143</f>
        <v>71</v>
      </c>
      <c r="E135" s="51">
        <f>'[21]Table 4.2'!D143</f>
        <v>40</v>
      </c>
      <c r="F135" s="51">
        <f>'[21]Table 4.2'!E143</f>
        <v>0</v>
      </c>
      <c r="G135" s="51">
        <f>'[21]Table 4.2'!F143</f>
        <v>0.3</v>
      </c>
      <c r="H135" s="51">
        <f>'[21]Table 4.2'!G143</f>
        <v>27</v>
      </c>
      <c r="I135" s="51">
        <f>'[21]Table 4.2'!H143</f>
        <v>1</v>
      </c>
      <c r="J135" s="51">
        <f>'[21]Table 4.2'!I143</f>
        <v>0</v>
      </c>
      <c r="K135" s="51">
        <f>'[21]Table 4.2'!J143</f>
        <v>0.3</v>
      </c>
      <c r="L135" s="51">
        <f>'[21]Table 4.2'!K143</f>
        <v>2</v>
      </c>
      <c r="M135" s="51">
        <f t="shared" si="79"/>
        <v>30.6</v>
      </c>
      <c r="N135" s="51">
        <f t="shared" si="80"/>
        <v>31</v>
      </c>
      <c r="Q135" t="str">
        <f t="shared" si="81"/>
        <v>335</v>
      </c>
      <c r="R135" s="4">
        <f>'[22]Table 7.2'!AU122</f>
        <v>23.74</v>
      </c>
      <c r="S135" s="4">
        <f>'[22]Table 7.2'!AW122</f>
        <v>0</v>
      </c>
      <c r="T135" s="36">
        <v>26</v>
      </c>
      <c r="U135" s="4">
        <f>'[22]Table 7.2'!AX122</f>
        <v>6.18</v>
      </c>
      <c r="V135" s="4">
        <f>'[22]Table 7.2'!AY122</f>
        <v>14.34</v>
      </c>
      <c r="W135" s="36">
        <v>5</v>
      </c>
      <c r="X135" s="4">
        <f>'[22]Table 7.2'!BA122</f>
        <v>20.16</v>
      </c>
      <c r="Y135" s="4">
        <f>'[23]Table 7.6'!P117</f>
        <v>6.8</v>
      </c>
      <c r="AH135" t="str">
        <f t="shared" si="82"/>
        <v>335</v>
      </c>
      <c r="AI135" s="9" t="str">
        <f t="shared" si="83"/>
        <v>Electrical Equip., Appliances, and Components</v>
      </c>
      <c r="AJ135" s="4">
        <f>'[23]Table 7.6'!N117</f>
        <v>1182</v>
      </c>
      <c r="AK135" s="4">
        <f>'[23]Table 7.6'!O117</f>
        <v>6.8</v>
      </c>
      <c r="AL135">
        <f t="shared" si="84"/>
        <v>949.59999999999991</v>
      </c>
      <c r="AM135" s="4">
        <f t="shared" si="85"/>
        <v>1175.2</v>
      </c>
      <c r="AN135" s="125">
        <f t="shared" si="86"/>
        <v>208.648</v>
      </c>
      <c r="AO135" s="4">
        <f t="shared" si="87"/>
        <v>6.8185620915032672</v>
      </c>
      <c r="AR135" s="117">
        <f t="shared" si="88"/>
        <v>0</v>
      </c>
      <c r="AS135" s="117">
        <f t="shared" si="73"/>
        <v>9.8039215686274508E-3</v>
      </c>
      <c r="AT135" s="117">
        <f t="shared" si="74"/>
        <v>0.88235294117647056</v>
      </c>
      <c r="AU135" s="117">
        <f t="shared" si="75"/>
        <v>3.2679738562091505E-2</v>
      </c>
      <c r="AV135" s="117">
        <f t="shared" si="76"/>
        <v>0</v>
      </c>
      <c r="AW135" s="117">
        <f t="shared" si="77"/>
        <v>9.8039215686274508E-3</v>
      </c>
      <c r="AX135" s="117">
        <f t="shared" si="78"/>
        <v>6.535947712418301E-2</v>
      </c>
      <c r="AY135">
        <f t="shared" si="89"/>
        <v>0.99999999999999989</v>
      </c>
    </row>
    <row r="136" spans="2:51" ht="15" x14ac:dyDescent="0.25">
      <c r="B136" s="6" t="s">
        <v>46</v>
      </c>
      <c r="C136" s="7" t="s">
        <v>47</v>
      </c>
      <c r="D136" s="51">
        <f>'[21]Table 4.2'!C144</f>
        <v>317</v>
      </c>
      <c r="E136" s="51">
        <f>'[21]Table 4.2'!D144</f>
        <v>154</v>
      </c>
      <c r="F136" s="51">
        <f>'[21]Table 4.2'!E144</f>
        <v>1</v>
      </c>
      <c r="G136" s="51">
        <f>'[21]Table 4.2'!F144</f>
        <v>4</v>
      </c>
      <c r="H136" s="51">
        <f>'[21]Table 4.2'!G144</f>
        <v>145</v>
      </c>
      <c r="I136" s="51">
        <f>'[21]Table 4.2'!H144</f>
        <v>4</v>
      </c>
      <c r="J136" s="51">
        <f>'[21]Table 4.2'!I144</f>
        <v>1</v>
      </c>
      <c r="K136" s="51">
        <f>'[21]Table 4.2'!J144</f>
        <v>0.2</v>
      </c>
      <c r="L136" s="51">
        <f>'[21]Table 4.2'!K144</f>
        <v>8</v>
      </c>
      <c r="M136" s="51">
        <f t="shared" si="79"/>
        <v>163.19999999999999</v>
      </c>
      <c r="N136" s="51">
        <f t="shared" si="80"/>
        <v>163</v>
      </c>
      <c r="Q136" t="str">
        <f t="shared" si="81"/>
        <v>336</v>
      </c>
      <c r="R136" s="4">
        <f>'[22]Table 7.2'!AU123</f>
        <v>22</v>
      </c>
      <c r="S136" s="4">
        <f>'[22]Table 7.2'!AW123</f>
        <v>15.5</v>
      </c>
      <c r="T136" s="4">
        <f>'[22]Table 7.2'!AV123</f>
        <v>17.96</v>
      </c>
      <c r="U136" s="4">
        <f>'[22]Table 7.2'!AX123</f>
        <v>6.45</v>
      </c>
      <c r="V136" s="4">
        <f>'[22]Table 7.2'!AY123</f>
        <v>24.24</v>
      </c>
      <c r="W136" s="4">
        <f>'[22]Table 7.2'!AZ123</f>
        <v>5.44</v>
      </c>
      <c r="X136" s="4">
        <f>'[22]Table 7.2'!BA123</f>
        <v>19.96</v>
      </c>
      <c r="Y136" s="4">
        <f>'[23]Table 7.6'!P118</f>
        <v>10</v>
      </c>
      <c r="AH136" t="str">
        <f t="shared" si="82"/>
        <v>336</v>
      </c>
      <c r="AI136" s="9" t="str">
        <f t="shared" si="83"/>
        <v>Transportation Equipment</v>
      </c>
      <c r="AJ136" s="4">
        <f>'[23]Table 7.6'!N118</f>
        <v>4683</v>
      </c>
      <c r="AK136" s="4">
        <f>'[23]Table 7.6'!O118</f>
        <v>10</v>
      </c>
      <c r="AL136">
        <f t="shared" si="84"/>
        <v>3388</v>
      </c>
      <c r="AM136" s="4">
        <f t="shared" si="85"/>
        <v>4673</v>
      </c>
      <c r="AN136" s="125">
        <f t="shared" si="86"/>
        <v>1208.982</v>
      </c>
      <c r="AO136" s="4">
        <f t="shared" si="87"/>
        <v>7.4079779411764708</v>
      </c>
      <c r="AR136" s="117">
        <f t="shared" si="88"/>
        <v>6.1274509803921576E-3</v>
      </c>
      <c r="AS136" s="117">
        <f t="shared" si="73"/>
        <v>2.4509803921568631E-2</v>
      </c>
      <c r="AT136" s="117">
        <f t="shared" si="74"/>
        <v>0.88848039215686281</v>
      </c>
      <c r="AU136" s="117">
        <f t="shared" si="75"/>
        <v>2.4509803921568631E-2</v>
      </c>
      <c r="AV136" s="117">
        <f t="shared" si="76"/>
        <v>6.1274509803921576E-3</v>
      </c>
      <c r="AW136" s="117">
        <f t="shared" si="77"/>
        <v>1.2254901960784316E-3</v>
      </c>
      <c r="AX136" s="117">
        <f t="shared" si="78"/>
        <v>4.9019607843137261E-2</v>
      </c>
      <c r="AY136">
        <f t="shared" si="89"/>
        <v>1</v>
      </c>
    </row>
    <row r="137" spans="2:51" ht="15" x14ac:dyDescent="0.25">
      <c r="B137" s="6" t="s">
        <v>48</v>
      </c>
      <c r="C137" s="7" t="s">
        <v>49</v>
      </c>
      <c r="D137" s="51">
        <f>'[21]Table 4.2'!C145</f>
        <v>34</v>
      </c>
      <c r="E137" s="51">
        <f>'[21]Table 4.2'!D145</f>
        <v>17</v>
      </c>
      <c r="F137" s="51">
        <f>'[21]Table 4.2'!E145</f>
        <v>0</v>
      </c>
      <c r="G137" s="51">
        <f>'[21]Table 4.2'!F145</f>
        <v>0.3</v>
      </c>
      <c r="H137" s="51">
        <f>'[21]Table 4.2'!G145</f>
        <v>15</v>
      </c>
      <c r="I137" s="51">
        <f>'[21]Table 4.2'!H145</f>
        <v>1</v>
      </c>
      <c r="J137" s="51">
        <f>'[21]Table 4.2'!I145</f>
        <v>0.2</v>
      </c>
      <c r="K137" s="51">
        <f>'[21]Table 4.2'!J145</f>
        <v>0</v>
      </c>
      <c r="L137" s="51">
        <f>'[21]Table 4.2'!K145</f>
        <v>0.5</v>
      </c>
      <c r="M137" s="51">
        <f t="shared" si="79"/>
        <v>17</v>
      </c>
      <c r="N137" s="51">
        <f t="shared" si="80"/>
        <v>17</v>
      </c>
      <c r="Q137" t="str">
        <f t="shared" si="81"/>
        <v>337</v>
      </c>
      <c r="R137" s="4">
        <f>'[22]Table 7.2'!AU124</f>
        <v>29.92</v>
      </c>
      <c r="S137" s="4">
        <f>'[22]Table 7.2'!AW124</f>
        <v>0</v>
      </c>
      <c r="T137" s="36">
        <v>19</v>
      </c>
      <c r="U137" s="4">
        <f>'[22]Table 7.2'!AX124</f>
        <v>7.74</v>
      </c>
      <c r="V137" s="4">
        <f>'[22]Table 7.2'!AY124</f>
        <v>22.97</v>
      </c>
      <c r="W137" s="4">
        <f>'[22]Table 7.2'!AZ124</f>
        <v>3.8</v>
      </c>
      <c r="X137" s="4">
        <f>'[22]Table 7.2'!BA124</f>
        <v>0</v>
      </c>
      <c r="Y137" s="4">
        <f>'[23]Table 7.6'!P119</f>
        <v>20</v>
      </c>
      <c r="AH137" t="str">
        <f t="shared" si="82"/>
        <v>337</v>
      </c>
      <c r="AI137" s="9" t="str">
        <f t="shared" si="83"/>
        <v>Furniture and Related Products</v>
      </c>
      <c r="AJ137" s="4">
        <f>'[23]Table 7.6'!N119</f>
        <v>664</v>
      </c>
      <c r="AK137" s="4">
        <f>'[23]Table 7.6'!O119</f>
        <v>20</v>
      </c>
      <c r="AL137">
        <f t="shared" si="84"/>
        <v>508.64000000000004</v>
      </c>
      <c r="AM137" s="4">
        <f t="shared" si="85"/>
        <v>644</v>
      </c>
      <c r="AN137" s="125">
        <f t="shared" si="86"/>
        <v>155.53</v>
      </c>
      <c r="AO137" s="4">
        <f t="shared" si="87"/>
        <v>9.1488235294117644</v>
      </c>
      <c r="AR137" s="117">
        <f t="shared" si="88"/>
        <v>0</v>
      </c>
      <c r="AS137" s="117">
        <f t="shared" si="73"/>
        <v>1.7647058823529412E-2</v>
      </c>
      <c r="AT137" s="117">
        <f t="shared" si="74"/>
        <v>0.88235294117647056</v>
      </c>
      <c r="AU137" s="117">
        <f t="shared" si="75"/>
        <v>5.8823529411764705E-2</v>
      </c>
      <c r="AV137" s="117">
        <f t="shared" si="76"/>
        <v>1.1764705882352941E-2</v>
      </c>
      <c r="AW137" s="117">
        <f t="shared" si="77"/>
        <v>0</v>
      </c>
      <c r="AX137" s="117">
        <f t="shared" si="78"/>
        <v>2.9411764705882353E-2</v>
      </c>
      <c r="AY137">
        <f t="shared" si="89"/>
        <v>1</v>
      </c>
    </row>
    <row r="138" spans="2:51" ht="15.75" thickBot="1" x14ac:dyDescent="0.3">
      <c r="B138" s="6" t="s">
        <v>50</v>
      </c>
      <c r="C138" s="7" t="s">
        <v>51</v>
      </c>
      <c r="D138" s="118">
        <f>'[21]Table 4.2'!C146</f>
        <v>57</v>
      </c>
      <c r="E138" s="118">
        <f>'[21]Table 4.2'!D146</f>
        <v>29</v>
      </c>
      <c r="F138" s="118">
        <f>'[21]Table 4.2'!E146</f>
        <v>0.1</v>
      </c>
      <c r="G138" s="118">
        <f>'[21]Table 4.2'!F146</f>
        <v>0.3</v>
      </c>
      <c r="H138" s="118">
        <f>'[21]Table 4.2'!G146</f>
        <v>26</v>
      </c>
      <c r="I138" s="118">
        <f>'[21]Table 4.2'!H146</f>
        <v>1</v>
      </c>
      <c r="J138" s="118">
        <f>'[21]Table 4.2'!I146</f>
        <v>0</v>
      </c>
      <c r="K138" s="118">
        <f>'[21]Table 4.2'!J146</f>
        <v>0</v>
      </c>
      <c r="L138" s="118">
        <f>'[21]Table 4.2'!K146</f>
        <v>0.3</v>
      </c>
      <c r="M138" s="51">
        <f t="shared" si="79"/>
        <v>27.7</v>
      </c>
      <c r="N138" s="51">
        <f t="shared" si="80"/>
        <v>28</v>
      </c>
      <c r="Q138" t="str">
        <f t="shared" si="81"/>
        <v>339</v>
      </c>
      <c r="R138" s="4">
        <f>'[22]Table 7.2'!AU125</f>
        <v>29.66</v>
      </c>
      <c r="S138" s="4">
        <f>'[22]Table 7.2'!AW125</f>
        <v>18.71</v>
      </c>
      <c r="T138" s="4">
        <f>'[22]Table 7.2'!AV125</f>
        <v>30.56</v>
      </c>
      <c r="U138" s="4">
        <f>'[22]Table 7.2'!AX125</f>
        <v>7.44</v>
      </c>
      <c r="V138" s="4">
        <f>'[22]Table 7.2'!AY125</f>
        <v>24.95</v>
      </c>
      <c r="W138" s="36">
        <v>5</v>
      </c>
      <c r="X138" s="4">
        <f>'[22]Table 7.2'!BA125</f>
        <v>0</v>
      </c>
      <c r="Y138" s="4">
        <f>'[23]Table 7.6'!P120</f>
        <v>13</v>
      </c>
      <c r="AH138" t="str">
        <f t="shared" si="82"/>
        <v>339</v>
      </c>
      <c r="AI138" s="9" t="str">
        <f t="shared" si="83"/>
        <v>Miscellaneous</v>
      </c>
      <c r="AJ138" s="4">
        <f>'[23]Table 7.6'!N120</f>
        <v>1086</v>
      </c>
      <c r="AK138" s="4">
        <f>'[23]Table 7.6'!O120</f>
        <v>13</v>
      </c>
      <c r="AL138">
        <f t="shared" si="84"/>
        <v>860.14</v>
      </c>
      <c r="AM138" s="4">
        <f t="shared" si="85"/>
        <v>1073</v>
      </c>
      <c r="AN138" s="125">
        <f t="shared" si="86"/>
        <v>233.32899999999998</v>
      </c>
      <c r="AO138" s="4">
        <f t="shared" si="87"/>
        <v>8.4234296028880866</v>
      </c>
      <c r="AR138" s="117">
        <f t="shared" si="88"/>
        <v>3.6101083032490976E-3</v>
      </c>
      <c r="AS138" s="117">
        <f t="shared" si="73"/>
        <v>1.0830324909747292E-2</v>
      </c>
      <c r="AT138" s="117">
        <f t="shared" si="74"/>
        <v>0.93862815884476536</v>
      </c>
      <c r="AU138" s="117">
        <f t="shared" si="75"/>
        <v>3.6101083032490974E-2</v>
      </c>
      <c r="AV138" s="117">
        <f t="shared" si="76"/>
        <v>0</v>
      </c>
      <c r="AW138" s="117">
        <f t="shared" si="77"/>
        <v>0</v>
      </c>
      <c r="AX138" s="117">
        <f t="shared" si="78"/>
        <v>1.0830324909747292E-2</v>
      </c>
      <c r="AY138">
        <f t="shared" si="89"/>
        <v>1</v>
      </c>
    </row>
    <row r="139" spans="2:51" ht="15" x14ac:dyDescent="0.25">
      <c r="B139" s="6"/>
      <c r="C139" s="8" t="s">
        <v>52</v>
      </c>
      <c r="D139" s="51">
        <f>'[21]Table 4.2'!C147</f>
        <v>0</v>
      </c>
      <c r="E139" s="51">
        <f>'[21]Table 4.2'!D147</f>
        <v>2695</v>
      </c>
      <c r="F139" s="51">
        <f>'[21]Table 4.2'!E147</f>
        <v>30.1</v>
      </c>
      <c r="G139" s="51">
        <f>'[21]Table 4.2'!F147</f>
        <v>95.899999999999991</v>
      </c>
      <c r="H139" s="51">
        <f>'[21]Table 4.2'!G147</f>
        <v>5846</v>
      </c>
      <c r="I139" s="51">
        <f>'[21]Table 4.2'!H147</f>
        <v>54.7</v>
      </c>
      <c r="J139" s="51">
        <f>'[21]Table 4.2'!I147</f>
        <v>772.30000000000007</v>
      </c>
      <c r="K139" s="51">
        <f>'[21]Table 4.2'!J147</f>
        <v>236.5</v>
      </c>
      <c r="L139" s="51">
        <f>'[21]Table 4.2'!K147</f>
        <v>1380.6</v>
      </c>
      <c r="M139" s="51">
        <f>SUM(M118:M138)</f>
        <v>8416.3000000000011</v>
      </c>
      <c r="N139" s="51">
        <f>SUM(N118:N138)</f>
        <v>8420</v>
      </c>
      <c r="Q139" t="s">
        <v>337</v>
      </c>
      <c r="R139" s="4">
        <f>'[22]Table 7.2'!AU126</f>
        <v>20.7</v>
      </c>
      <c r="S139" s="4">
        <f>'[22]Table 7.2'!AW126</f>
        <v>14.34</v>
      </c>
      <c r="T139" s="4">
        <f>'[22]Table 7.2'!AV126</f>
        <v>21.43</v>
      </c>
      <c r="U139" s="4">
        <f>'[22]Table 7.2'!AX126</f>
        <v>5.24</v>
      </c>
      <c r="V139" s="4">
        <f>'[22]Table 7.2'!AY126</f>
        <v>12.2</v>
      </c>
      <c r="W139" s="4">
        <f>'[22]Table 7.2'!AZ126</f>
        <v>3.88</v>
      </c>
      <c r="X139" s="4">
        <f>'[22]Table 7.2'!BA126</f>
        <v>8.86</v>
      </c>
    </row>
    <row r="140" spans="2:51" ht="15" x14ac:dyDescent="0.25">
      <c r="B140" s="6"/>
      <c r="C140" s="8" t="s">
        <v>225</v>
      </c>
      <c r="D140" s="51">
        <f>'[21]Table 4.2'!C148</f>
        <v>0</v>
      </c>
      <c r="E140" s="51">
        <f>'[21]Table 4.2'!D148</f>
        <v>2696</v>
      </c>
      <c r="F140" s="51">
        <f>'[21]Table 4.2'!E148</f>
        <v>28</v>
      </c>
      <c r="G140" s="51">
        <f>'[21]Table 4.2'!F148</f>
        <v>95</v>
      </c>
      <c r="H140" s="51">
        <f>'[21]Table 4.2'!G148</f>
        <v>5844</v>
      </c>
      <c r="I140" s="51">
        <f>'[21]Table 4.2'!H148</f>
        <v>55</v>
      </c>
      <c r="J140" s="51">
        <f>'[21]Table 4.2'!I148</f>
        <v>776</v>
      </c>
      <c r="K140" s="51">
        <f>'[21]Table 4.2'!J148</f>
        <v>237</v>
      </c>
      <c r="L140" s="51">
        <f>'[21]Table 4.2'!K148</f>
        <v>1382</v>
      </c>
      <c r="M140" s="51">
        <f>'[21]Table 4.2'!L149</f>
        <v>0</v>
      </c>
      <c r="N140" s="51">
        <f>'[21]Table 4.2'!M149</f>
        <v>0</v>
      </c>
    </row>
    <row r="141" spans="2:51" ht="15" x14ac:dyDescent="0.25">
      <c r="B141" s="6"/>
      <c r="C141" s="8"/>
    </row>
  </sheetData>
  <mergeCells count="2">
    <mergeCell ref="AB88:AF88"/>
    <mergeCell ref="S115:U11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W167"/>
  <sheetViews>
    <sheetView topLeftCell="BJ1" workbookViewId="0">
      <selection activeCell="BN29" sqref="BN29"/>
    </sheetView>
  </sheetViews>
  <sheetFormatPr defaultRowHeight="12.75" x14ac:dyDescent="0.2"/>
  <cols>
    <col min="2" max="2" width="10" customWidth="1"/>
    <col min="3" max="3" width="47.5703125" customWidth="1"/>
    <col min="4" max="4" width="10.7109375" customWidth="1"/>
    <col min="5" max="5" width="10.5703125" customWidth="1"/>
    <col min="6" max="6" width="10" customWidth="1"/>
    <col min="10" max="10" width="10.42578125" customWidth="1"/>
    <col min="12" max="12" width="11.7109375" customWidth="1"/>
    <col min="13" max="13" width="11.5703125" customWidth="1"/>
    <col min="14" max="14" width="10" customWidth="1"/>
    <col min="15" max="15" width="12.85546875" customWidth="1"/>
    <col min="16" max="40" width="10" customWidth="1"/>
    <col min="42" max="42" width="12" bestFit="1" customWidth="1"/>
    <col min="49" max="49" width="11.5703125" bestFit="1" customWidth="1"/>
    <col min="51" max="51" width="9.7109375" customWidth="1"/>
    <col min="52" max="52" width="11.7109375" customWidth="1"/>
    <col min="53" max="53" width="11.42578125" customWidth="1"/>
    <col min="54" max="54" width="9.85546875" customWidth="1"/>
    <col min="55" max="55" width="11.5703125" bestFit="1" customWidth="1"/>
    <col min="56" max="56" width="11.5703125" customWidth="1"/>
    <col min="59" max="59" width="28.42578125" customWidth="1"/>
    <col min="64" max="64" width="9.5703125" bestFit="1" customWidth="1"/>
  </cols>
  <sheetData>
    <row r="2" spans="1:75" x14ac:dyDescent="0.2">
      <c r="O2" t="s">
        <v>343</v>
      </c>
      <c r="P2">
        <v>6287</v>
      </c>
      <c r="Q2">
        <v>5825</v>
      </c>
      <c r="R2">
        <v>1032</v>
      </c>
      <c r="S2">
        <f>3603/42</f>
        <v>85.785714285714292</v>
      </c>
      <c r="T2">
        <v>22012</v>
      </c>
      <c r="U2">
        <v>24800</v>
      </c>
      <c r="V2">
        <v>1</v>
      </c>
      <c r="AP2" t="s">
        <v>79</v>
      </c>
    </row>
    <row r="3" spans="1:75" ht="25.5" x14ac:dyDescent="0.2">
      <c r="B3" s="13">
        <v>1985</v>
      </c>
      <c r="C3" t="s">
        <v>135</v>
      </c>
      <c r="P3" t="s">
        <v>136</v>
      </c>
      <c r="AA3" s="33" t="s">
        <v>149</v>
      </c>
      <c r="AY3" t="s">
        <v>185</v>
      </c>
      <c r="BP3" s="11" t="s">
        <v>85</v>
      </c>
      <c r="BQ3">
        <v>1985</v>
      </c>
    </row>
    <row r="4" spans="1:75" ht="53.25" customHeight="1" x14ac:dyDescent="0.25">
      <c r="D4" t="s">
        <v>0</v>
      </c>
      <c r="E4" t="s">
        <v>57</v>
      </c>
      <c r="F4" t="s">
        <v>58</v>
      </c>
      <c r="G4" t="s">
        <v>54</v>
      </c>
      <c r="H4" t="s">
        <v>60</v>
      </c>
      <c r="I4" t="s">
        <v>68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P4" s="40" t="str">
        <f>F4</f>
        <v>Fuel Oil</v>
      </c>
      <c r="Q4" s="40" t="str">
        <f t="shared" ref="Q4:V4" si="0">G4</f>
        <v>Distillate</v>
      </c>
      <c r="R4" s="40" t="str">
        <f t="shared" si="0"/>
        <v>Natural Gas(d)</v>
      </c>
      <c r="S4" s="40" t="str">
        <f t="shared" si="0"/>
        <v>LPG</v>
      </c>
      <c r="T4" s="40" t="str">
        <f t="shared" si="0"/>
        <v>Coal</v>
      </c>
      <c r="U4" s="40" t="s">
        <v>140</v>
      </c>
      <c r="V4" s="40" t="str">
        <f t="shared" si="0"/>
        <v>Other(f)</v>
      </c>
      <c r="W4" s="40" t="s">
        <v>137</v>
      </c>
      <c r="X4" s="40" t="s">
        <v>66</v>
      </c>
      <c r="Y4" s="40" t="s">
        <v>138</v>
      </c>
      <c r="Z4" s="40"/>
      <c r="AA4" s="40"/>
      <c r="AB4" s="40" t="str">
        <f t="shared" ref="AB4:AI4" si="1">P4</f>
        <v>Fuel Oil</v>
      </c>
      <c r="AC4" s="40" t="str">
        <f t="shared" si="1"/>
        <v>Distillate</v>
      </c>
      <c r="AD4" s="40" t="str">
        <f t="shared" si="1"/>
        <v>Natural Gas(d)</v>
      </c>
      <c r="AE4" s="40" t="str">
        <f t="shared" si="1"/>
        <v>LPG</v>
      </c>
      <c r="AF4" s="40" t="str">
        <f t="shared" si="1"/>
        <v>Coal</v>
      </c>
      <c r="AG4" s="40" t="str">
        <f t="shared" si="1"/>
        <v>Coke and Breeze</v>
      </c>
      <c r="AH4" s="40" t="str">
        <f t="shared" si="1"/>
        <v>Other(f)</v>
      </c>
      <c r="AI4" s="40" t="str">
        <f t="shared" si="1"/>
        <v xml:space="preserve"> Calc. Total</v>
      </c>
      <c r="AJ4" s="40" t="s">
        <v>171</v>
      </c>
      <c r="AK4" s="40"/>
      <c r="AL4" s="40"/>
      <c r="AM4" s="16" t="s">
        <v>151</v>
      </c>
      <c r="AN4" s="16"/>
      <c r="AP4" t="s">
        <v>2</v>
      </c>
      <c r="AQ4" s="40" t="s">
        <v>58</v>
      </c>
      <c r="AR4" s="40" t="s">
        <v>54</v>
      </c>
      <c r="AS4" s="40" t="s">
        <v>60</v>
      </c>
      <c r="AT4" s="40" t="s">
        <v>68</v>
      </c>
      <c r="AU4" s="40" t="s">
        <v>62</v>
      </c>
      <c r="AV4" s="40" t="s">
        <v>140</v>
      </c>
      <c r="AW4" s="40" t="s">
        <v>64</v>
      </c>
      <c r="AY4" s="40" t="s">
        <v>171</v>
      </c>
      <c r="AZ4" s="40" t="s">
        <v>186</v>
      </c>
      <c r="BA4" s="40" t="s">
        <v>187</v>
      </c>
      <c r="BB4" s="40" t="s">
        <v>191</v>
      </c>
      <c r="BC4" s="40" t="s">
        <v>188</v>
      </c>
      <c r="BD4" s="40" t="s">
        <v>190</v>
      </c>
      <c r="BF4" s="20">
        <v>1985</v>
      </c>
      <c r="BH4" s="11" t="s">
        <v>76</v>
      </c>
      <c r="BI4" s="11" t="s">
        <v>72</v>
      </c>
      <c r="BJ4" s="11" t="s">
        <v>73</v>
      </c>
      <c r="BK4" s="11" t="s">
        <v>170</v>
      </c>
      <c r="BL4" s="11" t="s">
        <v>91</v>
      </c>
      <c r="BM4" s="11" t="s">
        <v>77</v>
      </c>
      <c r="BN4" s="11" t="s">
        <v>172</v>
      </c>
      <c r="BP4" t="s">
        <v>53</v>
      </c>
      <c r="BQ4" t="s">
        <v>54</v>
      </c>
      <c r="BR4" t="s">
        <v>67</v>
      </c>
      <c r="BS4" t="s">
        <v>68</v>
      </c>
      <c r="BT4" t="s">
        <v>71</v>
      </c>
      <c r="BU4" t="s">
        <v>56</v>
      </c>
      <c r="BV4" t="s">
        <v>69</v>
      </c>
    </row>
    <row r="5" spans="1:75" ht="15" x14ac:dyDescent="0.25">
      <c r="A5">
        <v>20</v>
      </c>
      <c r="B5" s="6" t="s">
        <v>10</v>
      </c>
      <c r="C5" s="7" t="s">
        <v>11</v>
      </c>
      <c r="D5" s="21">
        <v>876</v>
      </c>
      <c r="E5" s="21">
        <v>45288</v>
      </c>
      <c r="F5" s="21">
        <v>6290</v>
      </c>
      <c r="G5" s="21">
        <v>4215</v>
      </c>
      <c r="H5" s="21">
        <v>462</v>
      </c>
      <c r="I5" s="21">
        <v>88</v>
      </c>
      <c r="J5" s="21">
        <v>5571</v>
      </c>
      <c r="K5" s="21">
        <v>122</v>
      </c>
      <c r="L5" s="21">
        <v>47</v>
      </c>
      <c r="M5" s="16"/>
      <c r="N5" s="16">
        <f>D5-0.003412*E5</f>
        <v>721.47734400000002</v>
      </c>
      <c r="O5" s="16"/>
      <c r="P5" s="16">
        <f>F5*P$2*0.000001</f>
        <v>39.545229999999997</v>
      </c>
      <c r="Q5" s="16">
        <f>G5*Q$2*0.000001</f>
        <v>24.552374999999998</v>
      </c>
      <c r="R5" s="16">
        <f>H5*R$2*0.001</f>
        <v>476.78399999999999</v>
      </c>
      <c r="S5" s="16">
        <f>I5*S$2*0.001</f>
        <v>7.5491428571428578</v>
      </c>
      <c r="T5" s="16">
        <f>J5*T$2*0.000001</f>
        <v>122.62885199999999</v>
      </c>
      <c r="U5" s="16">
        <f>K5*U$2*0.000001</f>
        <v>3.0255999999999998</v>
      </c>
      <c r="V5" s="16">
        <f>L5*V$2</f>
        <v>47</v>
      </c>
      <c r="W5" s="16">
        <f>SUM(P5:V5)</f>
        <v>721.08519985714304</v>
      </c>
      <c r="X5" s="16">
        <f>N5</f>
        <v>721.47734400000002</v>
      </c>
      <c r="Y5" s="16">
        <f>W5-X5</f>
        <v>-0.39214414285697785</v>
      </c>
      <c r="Z5" s="16"/>
      <c r="AA5">
        <v>311</v>
      </c>
      <c r="AB5" s="16">
        <f>P5-P87*P5</f>
        <v>35.707043442205233</v>
      </c>
      <c r="AC5" s="16">
        <f t="shared" ref="AC5:AH5" si="2">Q5-Q87*Q5</f>
        <v>24.072254383007415</v>
      </c>
      <c r="AD5" s="16">
        <f t="shared" si="2"/>
        <v>455.6788732394366</v>
      </c>
      <c r="AE5" s="16">
        <f t="shared" si="2"/>
        <v>7.5068803358992309</v>
      </c>
      <c r="AF5" s="16">
        <f t="shared" si="2"/>
        <v>110.10520531809634</v>
      </c>
      <c r="AG5" s="16">
        <f t="shared" si="2"/>
        <v>3.0255999999999998</v>
      </c>
      <c r="AH5" s="16">
        <f t="shared" si="2"/>
        <v>46.287878787878789</v>
      </c>
      <c r="AI5" s="16">
        <f>SUM(AB5:AH5)</f>
        <v>682.38373550652364</v>
      </c>
      <c r="AJ5" s="16">
        <f>AI5-AG5-AH5</f>
        <v>633.07025671864483</v>
      </c>
      <c r="AK5" s="16"/>
      <c r="AL5" s="16"/>
      <c r="AM5" s="16"/>
      <c r="AN5" s="16"/>
      <c r="AP5" s="46"/>
      <c r="AQ5">
        <f>MECS_EnergyPrices!C100</f>
        <v>4.29</v>
      </c>
      <c r="AR5">
        <f>MECS_EnergyPrices!C69</f>
        <v>6.58</v>
      </c>
      <c r="AS5" s="5">
        <f>MECS_EnergyPrices!C11</f>
        <v>4.21</v>
      </c>
      <c r="AT5">
        <f>MECS_EnergyPrices!C40</f>
        <v>6.73</v>
      </c>
      <c r="AU5" s="48">
        <f>MECS_EnergyPrices!C129</f>
        <v>1.74</v>
      </c>
      <c r="AV5" s="48"/>
      <c r="AW5" s="4"/>
      <c r="AX5" t="str">
        <f>B5</f>
        <v>311</v>
      </c>
      <c r="AY5" s="16">
        <f>AJ5</f>
        <v>633.07025671864483</v>
      </c>
      <c r="BA5">
        <f>BC5/(AY5+AY6)</f>
        <v>1.1881257845297508</v>
      </c>
      <c r="BB5">
        <f>MECS_Total_Fuel!I8</f>
        <v>794.44919600000003</v>
      </c>
      <c r="BC5" s="3">
        <f>MECS_Total_Fuel!S8</f>
        <v>814.40918409036976</v>
      </c>
      <c r="BD5" s="3">
        <f>BA5*AY5</f>
        <v>752.16709542629064</v>
      </c>
      <c r="BF5" t="str">
        <f t="shared" ref="BF5:BF25" si="3">B5</f>
        <v>311</v>
      </c>
      <c r="BG5" s="9" t="str">
        <f t="shared" ref="BG5:BG25" si="4">C5</f>
        <v>Food</v>
      </c>
      <c r="BH5" s="4">
        <f>'[6]Table 7.6'!BG19</f>
        <v>0</v>
      </c>
      <c r="BI5" s="4">
        <f>'[6]Table 7.6'!BH19</f>
        <v>0</v>
      </c>
      <c r="BJ5">
        <f>E5*AP5</f>
        <v>0</v>
      </c>
      <c r="BK5" s="4">
        <f>AI5</f>
        <v>682.38373550652364</v>
      </c>
      <c r="BL5" s="14">
        <f>SUMPRODUCT(AB5:AF5,AQ5:AU5)</f>
        <v>2472.0910684593669</v>
      </c>
      <c r="BM5" s="4">
        <f>BL5/BK5</f>
        <v>3.6227285907164379</v>
      </c>
      <c r="BP5" s="17">
        <f>AB5/$AJ5</f>
        <v>5.6402971176190482E-2</v>
      </c>
      <c r="BQ5" s="17">
        <f>AC5/$AJ5</f>
        <v>3.802461753262535E-2</v>
      </c>
      <c r="BR5" s="17">
        <f>AD5/$AJ5</f>
        <v>0.71979194789742551</v>
      </c>
      <c r="BS5" s="17">
        <f>AE5/$AJ5</f>
        <v>1.1857894532605582E-2</v>
      </c>
      <c r="BT5" s="17">
        <f>AF5/$AJ5</f>
        <v>0.17392256886115304</v>
      </c>
      <c r="BU5" s="17">
        <v>0</v>
      </c>
      <c r="BV5" s="17">
        <v>0</v>
      </c>
      <c r="BW5">
        <f>SUM(BP5:BV5)</f>
        <v>1</v>
      </c>
    </row>
    <row r="6" spans="1:75" ht="15" x14ac:dyDescent="0.25">
      <c r="A6">
        <v>21</v>
      </c>
      <c r="B6" s="6" t="s">
        <v>12</v>
      </c>
      <c r="C6" s="7" t="s">
        <v>134</v>
      </c>
      <c r="D6" s="21">
        <v>20</v>
      </c>
      <c r="E6" s="21">
        <v>1392</v>
      </c>
      <c r="F6" s="21">
        <v>308</v>
      </c>
      <c r="G6" s="21">
        <v>55</v>
      </c>
      <c r="H6" s="21">
        <v>3</v>
      </c>
      <c r="I6" s="21">
        <v>1</v>
      </c>
      <c r="J6" s="21">
        <v>407</v>
      </c>
      <c r="K6" s="21">
        <v>0</v>
      </c>
      <c r="L6" s="22">
        <v>0.1</v>
      </c>
      <c r="M6" s="16"/>
      <c r="N6" s="16">
        <f t="shared" ref="N6:N26" si="5">D6-0.003412*E6</f>
        <v>15.250496</v>
      </c>
      <c r="O6" s="16"/>
      <c r="P6" s="16">
        <f t="shared" ref="P6:P26" si="6">F6*P$2*0.000001</f>
        <v>1.936396</v>
      </c>
      <c r="Q6" s="16">
        <f t="shared" ref="Q6:Q26" si="7">G6*Q$2*0.000001</f>
        <v>0.32037499999999997</v>
      </c>
      <c r="R6" s="16">
        <f t="shared" ref="R6:R26" si="8">H6*R$2*0.001</f>
        <v>3.0960000000000001</v>
      </c>
      <c r="S6" s="16">
        <f t="shared" ref="S6:S26" si="9">I6*S$2*0.001</f>
        <v>8.5785714285714298E-2</v>
      </c>
      <c r="T6" s="16">
        <f t="shared" ref="T6:T26" si="10">J6*T$2*0.000001</f>
        <v>8.9588839999999994</v>
      </c>
      <c r="U6" s="16">
        <f t="shared" ref="U6:U26" si="11">K6*U$2*0.000001</f>
        <v>0</v>
      </c>
      <c r="V6" s="16">
        <f t="shared" ref="V6:V26" si="12">L6*V$2</f>
        <v>0.1</v>
      </c>
      <c r="W6" s="16">
        <f t="shared" ref="W6:W26" si="13">SUM(P6:V6)</f>
        <v>14.497440714285714</v>
      </c>
      <c r="X6" s="16">
        <f t="shared" ref="X6:X26" si="14">N6</f>
        <v>15.250496</v>
      </c>
      <c r="Y6" s="16">
        <f t="shared" ref="Y6:Y26" si="15">W6-X6</f>
        <v>-0.75305528571428582</v>
      </c>
      <c r="Z6" s="16"/>
      <c r="AA6">
        <v>312</v>
      </c>
      <c r="AB6" s="16">
        <f>P6+P87*P5</f>
        <v>5.7745825577947647</v>
      </c>
      <c r="AC6" s="16">
        <f t="shared" ref="AC6:AH6" si="16">Q6+Q87*Q5</f>
        <v>0.80049561699258254</v>
      </c>
      <c r="AD6" s="16">
        <f t="shared" si="16"/>
        <v>24.20112676056338</v>
      </c>
      <c r="AE6" s="16">
        <f t="shared" si="16"/>
        <v>0.12804823552934122</v>
      </c>
      <c r="AF6" s="16">
        <f t="shared" si="16"/>
        <v>21.482530681903661</v>
      </c>
      <c r="AG6" s="16">
        <f t="shared" si="16"/>
        <v>0</v>
      </c>
      <c r="AH6" s="16">
        <f t="shared" si="16"/>
        <v>0.81212121212121213</v>
      </c>
      <c r="AI6" s="16">
        <f t="shared" ref="AI6:AI25" si="17">SUM(AB6:AH6)</f>
        <v>53.198905064904942</v>
      </c>
      <c r="AJ6" s="16">
        <f t="shared" ref="AJ6:AJ25" si="18">AI6-AG6-AH6</f>
        <v>52.386783852783729</v>
      </c>
      <c r="AK6" s="16"/>
      <c r="AL6" s="16"/>
      <c r="AM6" s="16"/>
      <c r="AN6" s="16"/>
      <c r="AP6" s="46"/>
      <c r="AQ6">
        <f>MECS_EnergyPrices!C101</f>
        <v>4.3319999999999999</v>
      </c>
      <c r="AR6">
        <f>MECS_EnergyPrices!C70</f>
        <v>6.5139999999999993</v>
      </c>
      <c r="AS6" s="5">
        <f>MECS_EnergyPrices!C12</f>
        <v>4.33</v>
      </c>
      <c r="AT6">
        <f>MECS_EnergyPrices!C41</f>
        <v>7.2640000000000002</v>
      </c>
      <c r="AU6" s="48">
        <f>MECS_EnergyPrices!C130</f>
        <v>1.8959999999999999</v>
      </c>
      <c r="AV6" s="48"/>
      <c r="AW6" s="4"/>
      <c r="AX6" t="str">
        <f t="shared" ref="AX6:AX25" si="19">B6</f>
        <v>312</v>
      </c>
      <c r="AY6" s="16">
        <f t="shared" ref="AY6:AY25" si="20">AJ6</f>
        <v>52.386783852783729</v>
      </c>
      <c r="BA6">
        <f>BA5</f>
        <v>1.1881257845297508</v>
      </c>
      <c r="BB6">
        <f>MECS_Total_Fuel!I9</f>
        <v>14.8203</v>
      </c>
      <c r="BC6" s="3">
        <f>MECS_Total_Fuel!S9</f>
        <v>156.1414043262503</v>
      </c>
      <c r="BD6" s="3">
        <f t="shared" ref="BD6:BD25" si="21">BA6*AY6</f>
        <v>62.242088664079148</v>
      </c>
      <c r="BF6" t="str">
        <f t="shared" si="3"/>
        <v>312</v>
      </c>
      <c r="BG6" s="9" t="str">
        <f t="shared" si="4"/>
        <v>Tobacco</v>
      </c>
      <c r="BH6" s="4">
        <f>'[6]Table 7.6'!BG20</f>
        <v>0</v>
      </c>
      <c r="BI6" s="4">
        <f>'[6]Table 7.6'!BH20</f>
        <v>0</v>
      </c>
      <c r="BJ6">
        <f t="shared" ref="BJ6:BJ25" si="22">E6*AP6</f>
        <v>0</v>
      </c>
      <c r="BK6" s="4">
        <f t="shared" ref="BK6:BK25" si="23">AI6</f>
        <v>53.198905064904942</v>
      </c>
      <c r="BL6" s="14">
        <f t="shared" ref="BL6:BL25" si="24">SUMPRODUCT(AB6:AF6,AQ6:AU6)</f>
        <v>176.68181951847049</v>
      </c>
      <c r="BM6" s="4">
        <f t="shared" ref="BM6:BM25" si="25">BL6/BK6</f>
        <v>3.3211551873654375</v>
      </c>
      <c r="BP6" s="17">
        <f t="shared" ref="BP6:BP25" si="26">AB6/$AJ6</f>
        <v>0.11022975897933301</v>
      </c>
      <c r="BQ6" s="17">
        <f t="shared" ref="BQ6:BQ25" si="27">AC6/$AJ6</f>
        <v>1.5280487904012565E-2</v>
      </c>
      <c r="BR6" s="17">
        <f t="shared" ref="BR6:BR25" si="28">AD6/$AJ6</f>
        <v>0.46197008063279649</v>
      </c>
      <c r="BS6" s="17">
        <f t="shared" ref="BS6:BS25" si="29">AE6/$AJ6</f>
        <v>2.444285106128671E-3</v>
      </c>
      <c r="BT6" s="17">
        <f t="shared" ref="BT6:BU25" si="30">AF6/$AJ6</f>
        <v>0.41007538737772931</v>
      </c>
      <c r="BU6" s="17">
        <v>0</v>
      </c>
      <c r="BV6" s="17">
        <v>0</v>
      </c>
      <c r="BW6">
        <f t="shared" ref="BW6:BW25" si="31">SUM(BP6:BV6)</f>
        <v>1</v>
      </c>
    </row>
    <row r="7" spans="1:75" ht="15" x14ac:dyDescent="0.25">
      <c r="A7">
        <v>22</v>
      </c>
      <c r="B7" s="6" t="s">
        <v>14</v>
      </c>
      <c r="C7" s="7" t="s">
        <v>15</v>
      </c>
      <c r="D7" s="21">
        <v>247</v>
      </c>
      <c r="E7" s="21">
        <v>25540</v>
      </c>
      <c r="F7" s="21">
        <v>2858</v>
      </c>
      <c r="G7" s="21">
        <v>922</v>
      </c>
      <c r="H7" s="21">
        <v>89</v>
      </c>
      <c r="I7" s="21">
        <v>24</v>
      </c>
      <c r="J7" s="21">
        <v>1631</v>
      </c>
      <c r="K7" s="21">
        <v>0</v>
      </c>
      <c r="L7" s="21">
        <v>8</v>
      </c>
      <c r="M7" s="16"/>
      <c r="N7" s="16">
        <f t="shared" si="5"/>
        <v>159.85751999999999</v>
      </c>
      <c r="O7" s="16"/>
      <c r="P7" s="16">
        <f t="shared" si="6"/>
        <v>17.968246000000001</v>
      </c>
      <c r="Q7" s="16">
        <f t="shared" si="7"/>
        <v>5.3706499999999995</v>
      </c>
      <c r="R7" s="16">
        <f t="shared" si="8"/>
        <v>91.847999999999999</v>
      </c>
      <c r="S7" s="16">
        <f t="shared" si="9"/>
        <v>2.0588571428571432</v>
      </c>
      <c r="T7" s="16">
        <f t="shared" si="10"/>
        <v>35.901572000000002</v>
      </c>
      <c r="U7" s="16">
        <f t="shared" si="11"/>
        <v>0</v>
      </c>
      <c r="V7" s="16">
        <f t="shared" si="12"/>
        <v>8</v>
      </c>
      <c r="W7" s="16">
        <f t="shared" si="13"/>
        <v>161.14732514285714</v>
      </c>
      <c r="X7" s="16">
        <f t="shared" si="14"/>
        <v>159.85751999999999</v>
      </c>
      <c r="Y7" s="16">
        <f t="shared" si="15"/>
        <v>1.2898051428571478</v>
      </c>
      <c r="Z7" s="16"/>
      <c r="AA7">
        <v>313</v>
      </c>
      <c r="AB7" s="16">
        <f t="shared" ref="AB7:AB18" si="32">P7</f>
        <v>17.968246000000001</v>
      </c>
      <c r="AC7" s="16">
        <f t="shared" ref="AC7:AC18" si="33">Q7</f>
        <v>5.3706499999999995</v>
      </c>
      <c r="AD7" s="16">
        <f t="shared" ref="AD7:AD18" si="34">R7</f>
        <v>91.847999999999999</v>
      </c>
      <c r="AE7" s="16">
        <f t="shared" ref="AE7:AE18" si="35">S7</f>
        <v>2.0588571428571432</v>
      </c>
      <c r="AF7" s="16">
        <f t="shared" ref="AF7:AF18" si="36">T7</f>
        <v>35.901572000000002</v>
      </c>
      <c r="AG7" s="16">
        <f t="shared" ref="AG7:AG18" si="37">U7</f>
        <v>0</v>
      </c>
      <c r="AH7" s="16">
        <f t="shared" ref="AH7:AH18" si="38">V7</f>
        <v>8</v>
      </c>
      <c r="AI7" s="16">
        <f t="shared" si="17"/>
        <v>161.14732514285714</v>
      </c>
      <c r="AJ7" s="16">
        <f t="shared" si="18"/>
        <v>153.14732514285714</v>
      </c>
      <c r="AK7" s="16"/>
      <c r="AL7" s="16"/>
      <c r="AM7" s="16"/>
      <c r="AN7" s="16"/>
      <c r="AP7" s="46"/>
      <c r="AQ7">
        <f>MECS_EnergyPrices!C102</f>
        <v>4.7699999999999996</v>
      </c>
      <c r="AR7">
        <f>MECS_EnergyPrices!C71</f>
        <v>6.02</v>
      </c>
      <c r="AS7" s="5">
        <f>MECS_EnergyPrices!C13</f>
        <v>4.54</v>
      </c>
      <c r="AT7">
        <f>MECS_EnergyPrices!C42</f>
        <v>6.79</v>
      </c>
      <c r="AU7" s="48">
        <f>MECS_EnergyPrices!C131</f>
        <v>2.29</v>
      </c>
      <c r="AV7" s="48"/>
      <c r="AW7" s="4"/>
      <c r="AX7" t="str">
        <f t="shared" si="19"/>
        <v>313</v>
      </c>
      <c r="AY7" s="16">
        <f t="shared" si="20"/>
        <v>153.14732514285714</v>
      </c>
      <c r="BA7">
        <f>BC6/AY7</f>
        <v>1.019550319802192</v>
      </c>
      <c r="BB7">
        <f>MECS_Total_Fuel!I10</f>
        <v>160.816576</v>
      </c>
      <c r="BC7" s="3">
        <f>MECS_Total_Fuel!S10</f>
        <v>27.870927218965459</v>
      </c>
      <c r="BD7" s="3">
        <f t="shared" si="21"/>
        <v>156.14140432625027</v>
      </c>
      <c r="BF7" t="str">
        <f t="shared" si="3"/>
        <v>313</v>
      </c>
      <c r="BG7" s="9" t="str">
        <f t="shared" si="4"/>
        <v>Textile Mills</v>
      </c>
      <c r="BH7" s="4">
        <f>'[6]Table 7.6'!BG21</f>
        <v>0</v>
      </c>
      <c r="BI7" s="4">
        <f>'[6]Table 7.6'!BH21</f>
        <v>0</v>
      </c>
      <c r="BJ7">
        <f t="shared" si="22"/>
        <v>0</v>
      </c>
      <c r="BK7" s="4">
        <f t="shared" si="23"/>
        <v>161.14732514285714</v>
      </c>
      <c r="BL7" s="14">
        <f t="shared" si="24"/>
        <v>631.22400630000004</v>
      </c>
      <c r="BM7" s="4">
        <f t="shared" si="25"/>
        <v>3.9170616436879717</v>
      </c>
      <c r="BP7" s="17">
        <f t="shared" si="26"/>
        <v>0.1173265415066118</v>
      </c>
      <c r="BQ7" s="17">
        <f t="shared" si="27"/>
        <v>3.5068519773298105E-2</v>
      </c>
      <c r="BR7" s="17">
        <f t="shared" si="28"/>
        <v>0.59973623381487984</v>
      </c>
      <c r="BS7" s="17">
        <f t="shared" si="29"/>
        <v>1.3443637627602202E-2</v>
      </c>
      <c r="BT7" s="17">
        <f t="shared" si="30"/>
        <v>0.23442506727760806</v>
      </c>
      <c r="BU7" s="17">
        <v>0</v>
      </c>
      <c r="BV7" s="17">
        <v>0</v>
      </c>
      <c r="BW7">
        <f t="shared" si="31"/>
        <v>1</v>
      </c>
    </row>
    <row r="8" spans="1:75" ht="15" x14ac:dyDescent="0.25">
      <c r="B8" s="6" t="s">
        <v>16</v>
      </c>
      <c r="C8" s="7" t="s">
        <v>17</v>
      </c>
      <c r="D8" s="53"/>
      <c r="E8" s="53"/>
      <c r="F8" s="53"/>
      <c r="G8" s="53"/>
      <c r="H8" s="53"/>
      <c r="I8" s="53"/>
      <c r="J8" s="53"/>
      <c r="K8" s="53"/>
      <c r="L8" s="53"/>
      <c r="M8" s="16"/>
      <c r="N8" s="16">
        <f t="shared" si="5"/>
        <v>0</v>
      </c>
      <c r="O8" s="16"/>
      <c r="P8" s="16">
        <f t="shared" si="6"/>
        <v>0</v>
      </c>
      <c r="Q8" s="16">
        <f t="shared" si="7"/>
        <v>0</v>
      </c>
      <c r="R8" s="16">
        <f t="shared" si="8"/>
        <v>0</v>
      </c>
      <c r="S8" s="16">
        <f t="shared" si="9"/>
        <v>0</v>
      </c>
      <c r="T8" s="16">
        <f t="shared" si="10"/>
        <v>0</v>
      </c>
      <c r="U8" s="16">
        <f t="shared" si="11"/>
        <v>0</v>
      </c>
      <c r="V8" s="16">
        <f t="shared" si="12"/>
        <v>0</v>
      </c>
      <c r="W8" s="16">
        <f t="shared" si="13"/>
        <v>0</v>
      </c>
      <c r="X8" s="16">
        <f t="shared" si="14"/>
        <v>0</v>
      </c>
      <c r="Y8" s="16">
        <f t="shared" si="15"/>
        <v>0</v>
      </c>
      <c r="Z8" s="16"/>
      <c r="AA8">
        <v>314</v>
      </c>
      <c r="AB8" s="16">
        <f t="shared" si="32"/>
        <v>0</v>
      </c>
      <c r="AC8" s="16">
        <f t="shared" si="33"/>
        <v>0</v>
      </c>
      <c r="AD8" s="16">
        <f t="shared" si="34"/>
        <v>0</v>
      </c>
      <c r="AE8" s="16">
        <f t="shared" si="35"/>
        <v>0</v>
      </c>
      <c r="AF8" s="16">
        <f t="shared" si="36"/>
        <v>0</v>
      </c>
      <c r="AG8" s="16">
        <f t="shared" si="37"/>
        <v>0</v>
      </c>
      <c r="AH8" s="16">
        <f t="shared" si="38"/>
        <v>0</v>
      </c>
      <c r="AI8" s="16">
        <f t="shared" si="17"/>
        <v>0</v>
      </c>
      <c r="AJ8" s="16">
        <f t="shared" si="18"/>
        <v>0</v>
      </c>
      <c r="AK8" s="16"/>
      <c r="AL8" s="16"/>
      <c r="AM8" s="16"/>
      <c r="AN8" s="16" t="s">
        <v>167</v>
      </c>
      <c r="AP8" s="46"/>
      <c r="AQ8">
        <f>MECS_EnergyPrices!C103</f>
        <v>4.7699999999999996</v>
      </c>
      <c r="AR8">
        <f>MECS_EnergyPrices!C72</f>
        <v>6.02</v>
      </c>
      <c r="AS8" s="5">
        <f>MECS_EnergyPrices!C14</f>
        <v>4.54</v>
      </c>
      <c r="AT8">
        <f>MECS_EnergyPrices!C43</f>
        <v>6.79</v>
      </c>
      <c r="AU8" s="48">
        <f>MECS_EnergyPrices!C132</f>
        <v>2.29</v>
      </c>
      <c r="AV8" s="48"/>
      <c r="AW8" s="4"/>
      <c r="AX8" t="str">
        <f t="shared" si="19"/>
        <v>314</v>
      </c>
      <c r="AY8" s="16">
        <f t="shared" si="20"/>
        <v>0</v>
      </c>
      <c r="BA8">
        <f>BA7</f>
        <v>1.019550319802192</v>
      </c>
      <c r="BB8">
        <f>MECS_Total_Fuel!I11</f>
        <v>0</v>
      </c>
      <c r="BD8" s="3"/>
      <c r="BF8" t="str">
        <f t="shared" si="3"/>
        <v>314</v>
      </c>
      <c r="BG8" s="9" t="str">
        <f t="shared" si="4"/>
        <v>Textile Product Mills</v>
      </c>
      <c r="BH8" s="4">
        <f>'[6]Table 7.6'!BG22</f>
        <v>0</v>
      </c>
      <c r="BI8" s="4">
        <f>'[6]Table 7.6'!BH22</f>
        <v>0</v>
      </c>
      <c r="BJ8">
        <f t="shared" si="22"/>
        <v>0</v>
      </c>
      <c r="BK8" s="4">
        <f t="shared" si="23"/>
        <v>0</v>
      </c>
      <c r="BL8" s="14">
        <f t="shared" si="24"/>
        <v>0</v>
      </c>
      <c r="BM8" s="70">
        <f>BM7</f>
        <v>3.9170616436879717</v>
      </c>
      <c r="BP8" s="17">
        <f>BP7</f>
        <v>0.1173265415066118</v>
      </c>
      <c r="BQ8" s="17">
        <f t="shared" ref="BQ8:BT8" si="39">BQ7</f>
        <v>3.5068519773298105E-2</v>
      </c>
      <c r="BR8" s="17">
        <f t="shared" si="39"/>
        <v>0.59973623381487984</v>
      </c>
      <c r="BS8" s="17">
        <f t="shared" si="39"/>
        <v>1.3443637627602202E-2</v>
      </c>
      <c r="BT8" s="17">
        <f t="shared" si="39"/>
        <v>0.23442506727760806</v>
      </c>
      <c r="BU8" s="17">
        <v>0</v>
      </c>
      <c r="BV8" s="17">
        <v>0</v>
      </c>
      <c r="BW8">
        <f t="shared" si="31"/>
        <v>1</v>
      </c>
    </row>
    <row r="9" spans="1:75" ht="15" x14ac:dyDescent="0.25">
      <c r="A9">
        <v>23</v>
      </c>
      <c r="B9" s="6" t="s">
        <v>18</v>
      </c>
      <c r="C9" s="7" t="s">
        <v>19</v>
      </c>
      <c r="D9" s="21">
        <v>31</v>
      </c>
      <c r="E9" s="21">
        <v>4030</v>
      </c>
      <c r="F9" s="21">
        <v>165</v>
      </c>
      <c r="G9" s="21">
        <v>372</v>
      </c>
      <c r="H9" s="21">
        <v>11</v>
      </c>
      <c r="I9" s="21">
        <v>4</v>
      </c>
      <c r="J9" s="21">
        <v>70</v>
      </c>
      <c r="K9" s="21">
        <v>0</v>
      </c>
      <c r="L9" s="22">
        <v>0.1</v>
      </c>
      <c r="M9" s="16"/>
      <c r="N9" s="16">
        <f t="shared" si="5"/>
        <v>17.249639999999999</v>
      </c>
      <c r="O9" s="16"/>
      <c r="P9" s="16">
        <f t="shared" si="6"/>
        <v>1.037355</v>
      </c>
      <c r="Q9" s="16">
        <f t="shared" si="7"/>
        <v>2.1669</v>
      </c>
      <c r="R9" s="16">
        <f t="shared" si="8"/>
        <v>11.352</v>
      </c>
      <c r="S9" s="16">
        <f t="shared" si="9"/>
        <v>0.34314285714285719</v>
      </c>
      <c r="T9" s="16">
        <f t="shared" si="10"/>
        <v>1.54084</v>
      </c>
      <c r="U9" s="16">
        <f t="shared" si="11"/>
        <v>0</v>
      </c>
      <c r="V9" s="55">
        <v>0.5</v>
      </c>
      <c r="W9" s="16">
        <f t="shared" si="13"/>
        <v>16.940237857142858</v>
      </c>
      <c r="X9" s="16">
        <f t="shared" si="14"/>
        <v>17.249639999999999</v>
      </c>
      <c r="Y9" s="16">
        <f t="shared" si="15"/>
        <v>-0.30940214285714163</v>
      </c>
      <c r="Z9" s="16"/>
      <c r="AA9">
        <v>315</v>
      </c>
      <c r="AB9" s="16">
        <f t="shared" si="32"/>
        <v>1.037355</v>
      </c>
      <c r="AC9" s="16">
        <f t="shared" si="33"/>
        <v>2.1669</v>
      </c>
      <c r="AD9" s="16">
        <f t="shared" si="34"/>
        <v>11.352</v>
      </c>
      <c r="AE9" s="16">
        <f t="shared" si="35"/>
        <v>0.34314285714285719</v>
      </c>
      <c r="AF9" s="16">
        <f t="shared" si="36"/>
        <v>1.54084</v>
      </c>
      <c r="AG9" s="16">
        <f t="shared" si="37"/>
        <v>0</v>
      </c>
      <c r="AH9" s="16">
        <f t="shared" si="38"/>
        <v>0.5</v>
      </c>
      <c r="AI9" s="16">
        <f t="shared" si="17"/>
        <v>16.940237857142858</v>
      </c>
      <c r="AJ9" s="16">
        <f t="shared" si="18"/>
        <v>16.440237857142858</v>
      </c>
      <c r="AK9" s="16"/>
      <c r="AL9" s="16"/>
      <c r="AM9" s="64" t="s">
        <v>153</v>
      </c>
      <c r="AN9" s="68">
        <f>MECS_Total_Fuel!AM140</f>
        <v>0.06</v>
      </c>
      <c r="AP9" s="46"/>
      <c r="AQ9">
        <f>MECS_EnergyPrices!C104</f>
        <v>4.97</v>
      </c>
      <c r="AR9">
        <f>MECS_EnergyPrices!C73</f>
        <v>6.48</v>
      </c>
      <c r="AS9" s="5">
        <f>MECS_EnergyPrices!C15</f>
        <v>5.17</v>
      </c>
      <c r="AT9">
        <f>MECS_EnergyPrices!C44</f>
        <v>7.68</v>
      </c>
      <c r="AU9" s="48">
        <f>MECS_EnergyPrices!C133</f>
        <v>2.46</v>
      </c>
      <c r="AV9" s="48"/>
      <c r="AW9" s="4"/>
      <c r="AX9" t="str">
        <f t="shared" si="19"/>
        <v>315</v>
      </c>
      <c r="AY9" s="16">
        <f t="shared" si="20"/>
        <v>16.440237857142858</v>
      </c>
      <c r="AZ9">
        <f>30-0.003412*4030</f>
        <v>16.249639999999999</v>
      </c>
      <c r="BA9">
        <f>AZ9/AY9*$BB$13</f>
        <v>1.1270085456955625</v>
      </c>
      <c r="BB9">
        <f>MECS_Total_Fuel!I12</f>
        <v>16.249639999999999</v>
      </c>
      <c r="BD9" s="3">
        <f t="shared" si="21"/>
        <v>18.528288558267704</v>
      </c>
      <c r="BF9" t="str">
        <f t="shared" si="3"/>
        <v>315</v>
      </c>
      <c r="BG9" s="9" t="str">
        <f t="shared" si="4"/>
        <v>Apparel</v>
      </c>
      <c r="BH9" s="4">
        <f>'[6]Table 7.6'!BG23</f>
        <v>0</v>
      </c>
      <c r="BI9" s="4">
        <f>'[6]Table 7.6'!BH23</f>
        <v>0</v>
      </c>
      <c r="BJ9">
        <f t="shared" si="22"/>
        <v>0</v>
      </c>
      <c r="BK9" s="4">
        <f t="shared" si="23"/>
        <v>16.940237857142858</v>
      </c>
      <c r="BL9" s="14">
        <f t="shared" si="24"/>
        <v>84.312809892857146</v>
      </c>
      <c r="BM9" s="4">
        <f t="shared" si="25"/>
        <v>4.9770735572822327</v>
      </c>
      <c r="BP9" s="17">
        <f t="shared" si="26"/>
        <v>6.309853963270344E-2</v>
      </c>
      <c r="BQ9" s="17">
        <f t="shared" si="27"/>
        <v>0.1318046623673719</v>
      </c>
      <c r="BR9" s="17">
        <f t="shared" si="28"/>
        <v>0.69050095860187632</v>
      </c>
      <c r="BS9" s="17">
        <f t="shared" si="29"/>
        <v>2.0872134583732344E-2</v>
      </c>
      <c r="BT9" s="17">
        <f t="shared" si="30"/>
        <v>9.3723704814315981E-2</v>
      </c>
      <c r="BU9" s="17">
        <v>0</v>
      </c>
      <c r="BV9" s="17">
        <v>0</v>
      </c>
      <c r="BW9">
        <f t="shared" si="31"/>
        <v>1</v>
      </c>
    </row>
    <row r="10" spans="1:75" ht="15" x14ac:dyDescent="0.25">
      <c r="A10">
        <v>31</v>
      </c>
      <c r="B10" s="6" t="s">
        <v>20</v>
      </c>
      <c r="C10" s="7" t="s">
        <v>21</v>
      </c>
      <c r="D10" s="53">
        <v>13</v>
      </c>
      <c r="E10" s="53">
        <v>1053</v>
      </c>
      <c r="F10" s="53">
        <v>378</v>
      </c>
      <c r="G10" s="53">
        <v>199</v>
      </c>
      <c r="H10" s="53">
        <v>4</v>
      </c>
      <c r="I10" s="53">
        <v>2</v>
      </c>
      <c r="J10" s="53">
        <v>32</v>
      </c>
      <c r="K10" s="53">
        <v>0</v>
      </c>
      <c r="L10" s="22">
        <f>[7]M98_01p1!K44</f>
        <v>0.1</v>
      </c>
      <c r="M10" s="16"/>
      <c r="N10" s="16">
        <f t="shared" si="5"/>
        <v>9.4071639999999999</v>
      </c>
      <c r="O10" s="16"/>
      <c r="P10" s="16">
        <f t="shared" si="6"/>
        <v>2.3764859999999999</v>
      </c>
      <c r="Q10" s="16">
        <f t="shared" si="7"/>
        <v>1.1591749999999998</v>
      </c>
      <c r="R10" s="16">
        <f t="shared" si="8"/>
        <v>4.1280000000000001</v>
      </c>
      <c r="S10" s="16">
        <f t="shared" si="9"/>
        <v>0.1715714285714286</v>
      </c>
      <c r="T10" s="16">
        <f t="shared" si="10"/>
        <v>0.70438400000000001</v>
      </c>
      <c r="U10" s="16">
        <f t="shared" si="11"/>
        <v>0</v>
      </c>
      <c r="V10" s="55">
        <v>0.5</v>
      </c>
      <c r="W10" s="16">
        <f t="shared" si="13"/>
        <v>9.0396164285714278</v>
      </c>
      <c r="X10" s="16">
        <f t="shared" si="14"/>
        <v>9.4071639999999999</v>
      </c>
      <c r="Y10" s="16">
        <f t="shared" si="15"/>
        <v>-0.36754757142857208</v>
      </c>
      <c r="Z10" s="16"/>
      <c r="AA10">
        <v>316</v>
      </c>
      <c r="AB10" s="16">
        <f t="shared" si="32"/>
        <v>2.3764859999999999</v>
      </c>
      <c r="AC10" s="16">
        <f t="shared" si="33"/>
        <v>1.1591749999999998</v>
      </c>
      <c r="AD10" s="16">
        <f t="shared" si="34"/>
        <v>4.1280000000000001</v>
      </c>
      <c r="AE10" s="16">
        <f t="shared" si="35"/>
        <v>0.1715714285714286</v>
      </c>
      <c r="AF10" s="16">
        <f t="shared" si="36"/>
        <v>0.70438400000000001</v>
      </c>
      <c r="AG10" s="16">
        <f t="shared" si="37"/>
        <v>0</v>
      </c>
      <c r="AH10" s="16">
        <f t="shared" si="38"/>
        <v>0.5</v>
      </c>
      <c r="AI10" s="16">
        <f t="shared" si="17"/>
        <v>9.0396164285714278</v>
      </c>
      <c r="AJ10" s="16">
        <f t="shared" si="18"/>
        <v>8.5396164285714278</v>
      </c>
      <c r="AK10" s="16"/>
      <c r="AL10" s="16"/>
      <c r="AM10" s="64" t="s">
        <v>154</v>
      </c>
      <c r="AN10" s="68">
        <f>MECS_Total_Fuel!AM141</f>
        <v>0.02</v>
      </c>
      <c r="AP10" s="46"/>
      <c r="AQ10">
        <f>MECS_EnergyPrices!C105</f>
        <v>4.38</v>
      </c>
      <c r="AR10">
        <f>MECS_EnergyPrices!C74</f>
        <v>6.44</v>
      </c>
      <c r="AS10" s="5">
        <f>MECS_EnergyPrices!C16</f>
        <v>4.75</v>
      </c>
      <c r="AT10">
        <f>MECS_EnergyPrices!C45</f>
        <v>7.43</v>
      </c>
      <c r="AU10" s="48">
        <f>MECS_EnergyPrices!C134</f>
        <v>1.87</v>
      </c>
      <c r="AV10" s="48"/>
      <c r="AW10" s="4"/>
      <c r="AX10" t="str">
        <f t="shared" si="19"/>
        <v>316</v>
      </c>
      <c r="AY10" s="16">
        <f t="shared" si="20"/>
        <v>8.5396164285714278</v>
      </c>
      <c r="AZ10">
        <f>13-0.003412*1053</f>
        <v>9.4071639999999999</v>
      </c>
      <c r="BA10">
        <f>AZ10/AY10*$BB$14</f>
        <v>0.94722563182173869</v>
      </c>
      <c r="BB10">
        <f>MECS_Total_Fuel!I13</f>
        <v>9.4071639999999999</v>
      </c>
      <c r="BD10" s="3">
        <f t="shared" si="21"/>
        <v>8.0889435670688705</v>
      </c>
      <c r="BF10" t="str">
        <f t="shared" si="3"/>
        <v>316</v>
      </c>
      <c r="BG10" s="9" t="str">
        <f t="shared" si="4"/>
        <v>Leather and Allied Products</v>
      </c>
      <c r="BH10" s="4">
        <f>'[6]Table 7.6'!BG24</f>
        <v>0</v>
      </c>
      <c r="BI10" s="4">
        <f>'[6]Table 7.6'!BH24</f>
        <v>0</v>
      </c>
      <c r="BJ10">
        <f t="shared" si="22"/>
        <v>0</v>
      </c>
      <c r="BK10" s="4">
        <f t="shared" si="23"/>
        <v>9.0396164285714278</v>
      </c>
      <c r="BL10" s="14">
        <f t="shared" si="24"/>
        <v>40.074069474285714</v>
      </c>
      <c r="BM10" s="4">
        <f t="shared" si="25"/>
        <v>4.4331603880474386</v>
      </c>
      <c r="BP10" s="17">
        <f t="shared" si="26"/>
        <v>0.27828954846834458</v>
      </c>
      <c r="BQ10" s="17">
        <f t="shared" si="27"/>
        <v>0.13574087427647091</v>
      </c>
      <c r="BR10" s="17">
        <f t="shared" si="28"/>
        <v>0.48339407683332719</v>
      </c>
      <c r="BS10" s="17">
        <f t="shared" si="29"/>
        <v>2.0091233605925598E-2</v>
      </c>
      <c r="BT10" s="17">
        <f t="shared" si="30"/>
        <v>8.2484266815931767E-2</v>
      </c>
      <c r="BU10" s="17">
        <v>0</v>
      </c>
      <c r="BV10" s="17">
        <v>0</v>
      </c>
      <c r="BW10">
        <f t="shared" si="31"/>
        <v>1</v>
      </c>
    </row>
    <row r="11" spans="1:75" ht="15" x14ac:dyDescent="0.25">
      <c r="A11">
        <v>24</v>
      </c>
      <c r="B11" s="6" t="s">
        <v>22</v>
      </c>
      <c r="C11" s="7" t="s">
        <v>23</v>
      </c>
      <c r="D11" s="53">
        <v>167</v>
      </c>
      <c r="E11" s="53">
        <v>14287</v>
      </c>
      <c r="F11" s="54"/>
      <c r="G11" s="53">
        <v>3911</v>
      </c>
      <c r="H11" s="53">
        <v>24</v>
      </c>
      <c r="I11" s="53">
        <v>33</v>
      </c>
      <c r="J11" s="54"/>
      <c r="K11" s="54"/>
      <c r="L11" s="53">
        <v>65</v>
      </c>
      <c r="M11" s="16"/>
      <c r="N11" s="16">
        <f t="shared" si="5"/>
        <v>118.25275600000001</v>
      </c>
      <c r="O11" s="16"/>
      <c r="P11" s="55">
        <v>1</v>
      </c>
      <c r="Q11" s="16">
        <f t="shared" si="7"/>
        <v>22.781575</v>
      </c>
      <c r="R11" s="16">
        <f t="shared" si="8"/>
        <v>24.768000000000001</v>
      </c>
      <c r="S11" s="16">
        <f t="shared" si="9"/>
        <v>2.8309285714285717</v>
      </c>
      <c r="T11" s="55">
        <v>1</v>
      </c>
      <c r="U11" s="16">
        <f t="shared" si="11"/>
        <v>0</v>
      </c>
      <c r="V11" s="16">
        <f t="shared" si="12"/>
        <v>65</v>
      </c>
      <c r="W11" s="16">
        <f t="shared" si="13"/>
        <v>117.38050357142858</v>
      </c>
      <c r="X11" s="16">
        <f t="shared" si="14"/>
        <v>118.25275600000001</v>
      </c>
      <c r="Y11" s="16">
        <f t="shared" si="15"/>
        <v>-0.8722524285714286</v>
      </c>
      <c r="Z11" s="16"/>
      <c r="AA11">
        <v>321</v>
      </c>
      <c r="AB11" s="16">
        <f t="shared" si="32"/>
        <v>1</v>
      </c>
      <c r="AC11" s="16">
        <f t="shared" si="33"/>
        <v>22.781575</v>
      </c>
      <c r="AD11" s="16">
        <f t="shared" si="34"/>
        <v>24.768000000000001</v>
      </c>
      <c r="AE11" s="16">
        <f t="shared" si="35"/>
        <v>2.8309285714285717</v>
      </c>
      <c r="AF11" s="16">
        <f t="shared" si="36"/>
        <v>1</v>
      </c>
      <c r="AG11" s="16">
        <f t="shared" si="37"/>
        <v>0</v>
      </c>
      <c r="AH11" s="16">
        <f t="shared" si="38"/>
        <v>65</v>
      </c>
      <c r="AI11" s="16">
        <f t="shared" si="17"/>
        <v>117.38050357142858</v>
      </c>
      <c r="AJ11" s="16">
        <f t="shared" si="18"/>
        <v>52.380503571428576</v>
      </c>
      <c r="AK11" s="16"/>
      <c r="AL11" s="16"/>
      <c r="AM11" s="64" t="s">
        <v>155</v>
      </c>
      <c r="AN11" s="68">
        <f>MECS_Total_Fuel!AM142</f>
        <v>0.18</v>
      </c>
      <c r="AO11" s="62"/>
      <c r="AP11" s="46"/>
      <c r="AQ11">
        <f>MECS_EnergyPrices!C106</f>
        <v>4.6500000000000004</v>
      </c>
      <c r="AR11">
        <f>MECS_EnergyPrices!C75</f>
        <v>6.23</v>
      </c>
      <c r="AS11" s="5">
        <f>MECS_EnergyPrices!C17</f>
        <v>4.5599999999999996</v>
      </c>
      <c r="AT11">
        <f>MECS_EnergyPrices!C46</f>
        <v>6.92</v>
      </c>
      <c r="AU11" s="48">
        <f>MECS_EnergyPrices!C135</f>
        <v>3</v>
      </c>
      <c r="AV11" s="48"/>
      <c r="AW11" s="4"/>
      <c r="AX11" t="str">
        <f t="shared" si="19"/>
        <v>321</v>
      </c>
      <c r="AY11" s="16">
        <f t="shared" si="20"/>
        <v>52.380503571428576</v>
      </c>
      <c r="AZ11">
        <f>MECS_Total_Fuel!S11</f>
        <v>248.79987339144392</v>
      </c>
      <c r="BA11">
        <f>AZ11/AY11</f>
        <v>4.749856462379527</v>
      </c>
      <c r="BD11" s="3">
        <f t="shared" si="21"/>
        <v>248.79987339144392</v>
      </c>
      <c r="BF11" t="str">
        <f t="shared" si="3"/>
        <v>321</v>
      </c>
      <c r="BG11" s="9" t="str">
        <f t="shared" si="4"/>
        <v>Wood Products</v>
      </c>
      <c r="BH11" s="4">
        <f>'[6]Table 7.6'!BG25</f>
        <v>0</v>
      </c>
      <c r="BI11" s="4">
        <f>'[6]Table 7.6'!BH25</f>
        <v>0</v>
      </c>
      <c r="BJ11">
        <f t="shared" si="22"/>
        <v>0</v>
      </c>
      <c r="BK11" s="4">
        <f t="shared" si="23"/>
        <v>117.38050357142858</v>
      </c>
      <c r="BL11" s="14">
        <f t="shared" si="24"/>
        <v>282.11131796428572</v>
      </c>
      <c r="BM11" s="4">
        <f t="shared" si="25"/>
        <v>2.4033916142863951</v>
      </c>
      <c r="BP11" s="17">
        <f t="shared" si="26"/>
        <v>1.90910726666908E-2</v>
      </c>
      <c r="BQ11" s="17">
        <f t="shared" si="27"/>
        <v>0.43492470378666648</v>
      </c>
      <c r="BR11" s="17">
        <f t="shared" si="28"/>
        <v>0.47284768780859776</v>
      </c>
      <c r="BS11" s="17">
        <f t="shared" si="29"/>
        <v>5.4045463071354043E-2</v>
      </c>
      <c r="BT11" s="17">
        <f t="shared" si="30"/>
        <v>1.90910726666908E-2</v>
      </c>
      <c r="BU11" s="17">
        <v>0</v>
      </c>
      <c r="BV11" s="17">
        <v>0</v>
      </c>
      <c r="BW11">
        <f t="shared" si="31"/>
        <v>1</v>
      </c>
    </row>
    <row r="12" spans="1:75" ht="15" x14ac:dyDescent="0.25">
      <c r="A12">
        <v>26</v>
      </c>
      <c r="B12" s="6" t="s">
        <v>24</v>
      </c>
      <c r="C12" s="7" t="s">
        <v>25</v>
      </c>
      <c r="D12" s="53">
        <v>1340</v>
      </c>
      <c r="E12" s="53">
        <v>54386</v>
      </c>
      <c r="F12" s="53">
        <v>24583</v>
      </c>
      <c r="G12" s="53">
        <v>1963</v>
      </c>
      <c r="H12" s="53">
        <v>387</v>
      </c>
      <c r="I12" s="53">
        <v>56</v>
      </c>
      <c r="J12" s="53">
        <v>14015</v>
      </c>
      <c r="K12" s="53">
        <v>0</v>
      </c>
      <c r="L12" s="53">
        <v>275</v>
      </c>
      <c r="M12" s="16"/>
      <c r="N12" s="16">
        <f t="shared" si="5"/>
        <v>1154.434968</v>
      </c>
      <c r="O12" s="16"/>
      <c r="P12" s="16">
        <f t="shared" si="6"/>
        <v>154.55332099999998</v>
      </c>
      <c r="Q12" s="16">
        <f t="shared" si="7"/>
        <v>11.434474999999999</v>
      </c>
      <c r="R12" s="16">
        <f t="shared" si="8"/>
        <v>399.38400000000001</v>
      </c>
      <c r="S12" s="16">
        <f t="shared" si="9"/>
        <v>4.8040000000000003</v>
      </c>
      <c r="T12" s="16">
        <f t="shared" si="10"/>
        <v>308.49817999999999</v>
      </c>
      <c r="U12" s="16">
        <f t="shared" si="11"/>
        <v>0</v>
      </c>
      <c r="V12" s="16">
        <f t="shared" si="12"/>
        <v>275</v>
      </c>
      <c r="W12" s="16">
        <f t="shared" si="13"/>
        <v>1153.673976</v>
      </c>
      <c r="X12" s="16">
        <f t="shared" si="14"/>
        <v>1154.434968</v>
      </c>
      <c r="Y12" s="16">
        <f t="shared" si="15"/>
        <v>-0.76099199999998746</v>
      </c>
      <c r="Z12" s="16"/>
      <c r="AA12">
        <v>322</v>
      </c>
      <c r="AB12" s="16">
        <f t="shared" si="32"/>
        <v>154.55332099999998</v>
      </c>
      <c r="AC12" s="16">
        <f t="shared" si="33"/>
        <v>11.434474999999999</v>
      </c>
      <c r="AD12" s="16">
        <f t="shared" si="34"/>
        <v>399.38400000000001</v>
      </c>
      <c r="AE12" s="16">
        <f t="shared" si="35"/>
        <v>4.8040000000000003</v>
      </c>
      <c r="AF12" s="16">
        <f t="shared" si="36"/>
        <v>308.49817999999999</v>
      </c>
      <c r="AG12" s="16">
        <f t="shared" si="37"/>
        <v>0</v>
      </c>
      <c r="AH12" s="16">
        <f t="shared" si="38"/>
        <v>275</v>
      </c>
      <c r="AI12" s="16">
        <f t="shared" si="17"/>
        <v>1153.673976</v>
      </c>
      <c r="AJ12" s="16">
        <f t="shared" si="18"/>
        <v>878.67397600000004</v>
      </c>
      <c r="AK12" s="16"/>
      <c r="AL12" s="16"/>
      <c r="AM12" s="64" t="s">
        <v>156</v>
      </c>
      <c r="AN12" s="68">
        <f>MECS_Total_Fuel!AM143</f>
        <v>0.14000000000000001</v>
      </c>
      <c r="AO12" s="62"/>
      <c r="AP12" s="46"/>
      <c r="AQ12">
        <f>MECS_EnergyPrices!C107</f>
        <v>4.24</v>
      </c>
      <c r="AR12">
        <f>MECS_EnergyPrices!C76</f>
        <v>5.95</v>
      </c>
      <c r="AS12" s="5">
        <f>MECS_EnergyPrices!C18</f>
        <v>3.88</v>
      </c>
      <c r="AT12">
        <f>MECS_EnergyPrices!C47</f>
        <v>7.54</v>
      </c>
      <c r="AU12" s="48">
        <f>MECS_EnergyPrices!C136</f>
        <v>1.98</v>
      </c>
      <c r="AV12" s="48"/>
      <c r="AW12" s="4"/>
      <c r="AX12" t="str">
        <f t="shared" si="19"/>
        <v>322</v>
      </c>
      <c r="AY12" s="16">
        <f t="shared" si="20"/>
        <v>878.67397600000004</v>
      </c>
      <c r="AZ12">
        <f>MECS_Total_Fuel!S12</f>
        <v>2017.3632372266716</v>
      </c>
      <c r="BA12">
        <f t="shared" ref="BA12:BA25" si="40">AZ12/AY12</f>
        <v>2.2959178174484496</v>
      </c>
      <c r="BB12" t="s">
        <v>189</v>
      </c>
      <c r="BD12" s="3">
        <f t="shared" si="21"/>
        <v>2017.3632372266716</v>
      </c>
      <c r="BF12" t="str">
        <f t="shared" si="3"/>
        <v>322</v>
      </c>
      <c r="BG12" s="9" t="str">
        <f t="shared" si="4"/>
        <v>Paper</v>
      </c>
      <c r="BH12" s="4">
        <f>'[6]Table 7.6'!BG26</f>
        <v>0</v>
      </c>
      <c r="BI12" s="4">
        <f>'[6]Table 7.6'!BH26</f>
        <v>0</v>
      </c>
      <c r="BJ12">
        <f t="shared" si="22"/>
        <v>0</v>
      </c>
      <c r="BK12" s="4">
        <f t="shared" si="23"/>
        <v>1153.673976</v>
      </c>
      <c r="BL12" s="14">
        <f t="shared" si="24"/>
        <v>2919.99968369</v>
      </c>
      <c r="BM12" s="4">
        <f t="shared" si="25"/>
        <v>2.5310440769533313</v>
      </c>
      <c r="BP12" s="17">
        <f t="shared" si="26"/>
        <v>0.17589381866477399</v>
      </c>
      <c r="BQ12" s="17">
        <f t="shared" si="27"/>
        <v>1.3013330669076284E-2</v>
      </c>
      <c r="BR12" s="17">
        <f t="shared" si="28"/>
        <v>0.45453036155471616</v>
      </c>
      <c r="BS12" s="17">
        <f t="shared" si="29"/>
        <v>5.4673293294394782E-3</v>
      </c>
      <c r="BT12" s="17">
        <f t="shared" si="30"/>
        <v>0.35109515978199402</v>
      </c>
      <c r="BU12" s="17">
        <v>0</v>
      </c>
      <c r="BV12" s="17">
        <v>0</v>
      </c>
      <c r="BW12">
        <f t="shared" si="31"/>
        <v>0.99999999999999989</v>
      </c>
    </row>
    <row r="13" spans="1:75" ht="15" x14ac:dyDescent="0.25">
      <c r="A13">
        <v>27</v>
      </c>
      <c r="B13" s="6" t="s">
        <v>26</v>
      </c>
      <c r="C13" s="7" t="s">
        <v>27</v>
      </c>
      <c r="D13" s="53">
        <v>76</v>
      </c>
      <c r="E13" s="53">
        <v>11192</v>
      </c>
      <c r="F13" s="53">
        <v>75</v>
      </c>
      <c r="G13" s="53">
        <v>256</v>
      </c>
      <c r="H13" s="53">
        <v>31</v>
      </c>
      <c r="I13" s="53">
        <v>11</v>
      </c>
      <c r="J13" s="53">
        <v>36</v>
      </c>
      <c r="K13" s="53">
        <v>0</v>
      </c>
      <c r="L13" s="53">
        <v>3</v>
      </c>
      <c r="M13" s="16"/>
      <c r="N13" s="16">
        <f t="shared" si="5"/>
        <v>37.812896000000002</v>
      </c>
      <c r="O13" s="16"/>
      <c r="P13" s="16">
        <f t="shared" si="6"/>
        <v>0.47152499999999997</v>
      </c>
      <c r="Q13" s="16">
        <f t="shared" si="7"/>
        <v>1.4911999999999999</v>
      </c>
      <c r="R13" s="16">
        <f t="shared" si="8"/>
        <v>31.992000000000001</v>
      </c>
      <c r="S13" s="16">
        <f t="shared" si="9"/>
        <v>0.94364285714285723</v>
      </c>
      <c r="T13" s="16">
        <f t="shared" si="10"/>
        <v>0.79243199999999991</v>
      </c>
      <c r="U13" s="16">
        <f t="shared" si="11"/>
        <v>0</v>
      </c>
      <c r="V13" s="16">
        <f t="shared" si="12"/>
        <v>3</v>
      </c>
      <c r="W13" s="16">
        <f t="shared" si="13"/>
        <v>38.690799857142856</v>
      </c>
      <c r="X13" s="16">
        <f t="shared" si="14"/>
        <v>37.812896000000002</v>
      </c>
      <c r="Y13" s="16">
        <f t="shared" si="15"/>
        <v>0.87790385714285435</v>
      </c>
      <c r="Z13" s="16"/>
      <c r="AA13">
        <v>323</v>
      </c>
      <c r="AB13" s="16">
        <f t="shared" si="32"/>
        <v>0.47152499999999997</v>
      </c>
      <c r="AC13" s="16">
        <f t="shared" si="33"/>
        <v>1.4911999999999999</v>
      </c>
      <c r="AD13" s="16">
        <f t="shared" si="34"/>
        <v>31.992000000000001</v>
      </c>
      <c r="AE13" s="16">
        <f t="shared" si="35"/>
        <v>0.94364285714285723</v>
      </c>
      <c r="AF13" s="16">
        <f t="shared" si="36"/>
        <v>0.79243199999999991</v>
      </c>
      <c r="AG13" s="16">
        <f t="shared" si="37"/>
        <v>0</v>
      </c>
      <c r="AH13" s="16">
        <f t="shared" si="38"/>
        <v>3</v>
      </c>
      <c r="AI13" s="16">
        <f t="shared" si="17"/>
        <v>38.690799857142856</v>
      </c>
      <c r="AJ13" s="16">
        <f t="shared" si="18"/>
        <v>35.690799857142856</v>
      </c>
      <c r="AK13" s="16"/>
      <c r="AL13" s="16"/>
      <c r="AM13" s="64" t="s">
        <v>157</v>
      </c>
      <c r="AN13" s="68">
        <f>MECS_Total_Fuel!AM144</f>
        <v>0.15</v>
      </c>
      <c r="AO13" s="62"/>
      <c r="AP13" s="46"/>
      <c r="AQ13">
        <f>MECS_EnergyPrices!C108</f>
        <v>4.6399999999999997</v>
      </c>
      <c r="AR13">
        <f>MECS_EnergyPrices!C77</f>
        <v>5.99</v>
      </c>
      <c r="AS13" s="5">
        <f>MECS_EnergyPrices!C19</f>
        <v>4.95</v>
      </c>
      <c r="AT13">
        <f>MECS_EnergyPrices!C48</f>
        <v>9.9499999999999993</v>
      </c>
      <c r="AU13" s="48">
        <f>MECS_EnergyPrices!C137</f>
        <v>1.9525000000000001</v>
      </c>
      <c r="AV13" s="48"/>
      <c r="AW13" s="4"/>
      <c r="AX13" t="str">
        <f t="shared" si="19"/>
        <v>323</v>
      </c>
      <c r="AY13" s="16">
        <f t="shared" si="20"/>
        <v>35.690799857142856</v>
      </c>
      <c r="AZ13">
        <f>MECS_Total_Fuel!S13</f>
        <v>26.699079874753146</v>
      </c>
      <c r="BA13">
        <f t="shared" si="40"/>
        <v>0.74806616779729629</v>
      </c>
      <c r="BB13">
        <f>MECS_Total_Fuel!AB118</f>
        <v>1.1402276332440413</v>
      </c>
      <c r="BD13" s="3">
        <f t="shared" si="21"/>
        <v>26.699079874753146</v>
      </c>
      <c r="BF13" t="str">
        <f t="shared" si="3"/>
        <v>323</v>
      </c>
      <c r="BG13" s="9" t="str">
        <f t="shared" si="4"/>
        <v>Printing and Related Support</v>
      </c>
      <c r="BH13" s="4">
        <f>'[6]Table 7.6'!BG27</f>
        <v>0</v>
      </c>
      <c r="BI13" s="4">
        <f>'[6]Table 7.6'!BH27</f>
        <v>0</v>
      </c>
      <c r="BJ13">
        <f t="shared" si="22"/>
        <v>0</v>
      </c>
      <c r="BK13" s="4">
        <f t="shared" si="23"/>
        <v>38.690799857142856</v>
      </c>
      <c r="BL13" s="14">
        <f t="shared" si="24"/>
        <v>180.41703390857143</v>
      </c>
      <c r="BM13" s="4">
        <f t="shared" si="25"/>
        <v>4.66304740596527</v>
      </c>
      <c r="BP13" s="17">
        <f t="shared" si="26"/>
        <v>1.3211387861503275E-2</v>
      </c>
      <c r="BQ13" s="17">
        <f t="shared" si="27"/>
        <v>4.1781075402308854E-2</v>
      </c>
      <c r="BR13" s="17">
        <f t="shared" si="28"/>
        <v>0.89636545350768848</v>
      </c>
      <c r="BS13" s="17">
        <f t="shared" si="29"/>
        <v>2.6439386646416232E-2</v>
      </c>
      <c r="BT13" s="17">
        <f t="shared" si="30"/>
        <v>2.2202696582083164E-2</v>
      </c>
      <c r="BU13" s="17">
        <v>0</v>
      </c>
      <c r="BV13" s="17">
        <v>0</v>
      </c>
      <c r="BW13">
        <f t="shared" si="31"/>
        <v>1</v>
      </c>
    </row>
    <row r="14" spans="1:75" ht="15" x14ac:dyDescent="0.25">
      <c r="B14" s="6" t="s">
        <v>28</v>
      </c>
      <c r="C14" s="7" t="s">
        <v>29</v>
      </c>
      <c r="D14" s="53">
        <v>917</v>
      </c>
      <c r="E14" s="53">
        <v>35755</v>
      </c>
      <c r="F14" s="53">
        <v>1613</v>
      </c>
      <c r="G14" s="53">
        <v>1992</v>
      </c>
      <c r="H14" s="53">
        <v>682</v>
      </c>
      <c r="I14" s="53">
        <v>39</v>
      </c>
      <c r="J14" s="53">
        <v>339</v>
      </c>
      <c r="K14" s="53">
        <v>0</v>
      </c>
      <c r="L14" s="53">
        <v>60</v>
      </c>
      <c r="M14" s="16"/>
      <c r="N14" s="16">
        <f t="shared" si="5"/>
        <v>795.00394000000006</v>
      </c>
      <c r="O14" s="16"/>
      <c r="P14" s="16">
        <f t="shared" si="6"/>
        <v>10.140931</v>
      </c>
      <c r="Q14" s="16">
        <f t="shared" si="7"/>
        <v>11.603399999999999</v>
      </c>
      <c r="R14" s="16">
        <f t="shared" si="8"/>
        <v>703.82400000000007</v>
      </c>
      <c r="S14" s="16">
        <f t="shared" si="9"/>
        <v>3.3456428571428574</v>
      </c>
      <c r="T14" s="16">
        <f t="shared" si="10"/>
        <v>7.4620679999999995</v>
      </c>
      <c r="U14" s="16">
        <f t="shared" si="11"/>
        <v>0</v>
      </c>
      <c r="V14" s="16">
        <f t="shared" si="12"/>
        <v>60</v>
      </c>
      <c r="W14" s="16">
        <f t="shared" si="13"/>
        <v>796.37604185714292</v>
      </c>
      <c r="X14" s="16">
        <f t="shared" si="14"/>
        <v>795.00394000000006</v>
      </c>
      <c r="Y14" s="16">
        <f t="shared" si="15"/>
        <v>1.3721018571428658</v>
      </c>
      <c r="Z14" s="16"/>
      <c r="AA14">
        <v>324</v>
      </c>
      <c r="AB14" s="16">
        <f t="shared" si="32"/>
        <v>10.140931</v>
      </c>
      <c r="AC14" s="16">
        <f t="shared" si="33"/>
        <v>11.603399999999999</v>
      </c>
      <c r="AD14" s="16">
        <f t="shared" si="34"/>
        <v>703.82400000000007</v>
      </c>
      <c r="AE14" s="16">
        <f t="shared" si="35"/>
        <v>3.3456428571428574</v>
      </c>
      <c r="AF14" s="16">
        <f t="shared" si="36"/>
        <v>7.4620679999999995</v>
      </c>
      <c r="AG14" s="16">
        <f t="shared" si="37"/>
        <v>0</v>
      </c>
      <c r="AH14" s="16">
        <f t="shared" si="38"/>
        <v>60</v>
      </c>
      <c r="AI14" s="16">
        <f t="shared" si="17"/>
        <v>796.37604185714292</v>
      </c>
      <c r="AJ14" s="16">
        <f t="shared" si="18"/>
        <v>736.37604185714292</v>
      </c>
      <c r="AK14" s="16"/>
      <c r="AL14" s="16"/>
      <c r="AM14" s="64" t="s">
        <v>158</v>
      </c>
      <c r="AN14" s="68">
        <f>MECS_Total_Fuel!AM145</f>
        <v>0.34</v>
      </c>
      <c r="AO14" s="62"/>
      <c r="AP14" s="46"/>
      <c r="AQ14">
        <f>MECS_EnergyPrices!C109</f>
        <v>4</v>
      </c>
      <c r="AR14">
        <f>MECS_EnergyPrices!C78</f>
        <v>5.34</v>
      </c>
      <c r="AS14" s="5">
        <f>MECS_EnergyPrices!C20</f>
        <v>3.24</v>
      </c>
      <c r="AT14">
        <f>MECS_EnergyPrices!C49</f>
        <v>5.08</v>
      </c>
      <c r="AU14" s="48">
        <f>MECS_EnergyPrices!C138</f>
        <v>1.82</v>
      </c>
      <c r="AV14" s="48"/>
      <c r="AW14" s="4"/>
      <c r="AX14" t="str">
        <f t="shared" si="19"/>
        <v>324</v>
      </c>
      <c r="AY14" s="16">
        <f t="shared" si="20"/>
        <v>736.37604185714292</v>
      </c>
      <c r="AZ14">
        <f>MECS_Total_Fuel!S14</f>
        <v>2519.6333802647096</v>
      </c>
      <c r="BA14">
        <f t="shared" si="40"/>
        <v>3.4216666988651414</v>
      </c>
      <c r="BB14">
        <f>MECS_Total_Fuel!AB119</f>
        <v>0.859870580237452</v>
      </c>
      <c r="BD14" s="3">
        <f t="shared" si="21"/>
        <v>2519.6333802647096</v>
      </c>
      <c r="BF14" t="str">
        <f t="shared" si="3"/>
        <v>324</v>
      </c>
      <c r="BG14" s="9" t="str">
        <f t="shared" si="4"/>
        <v>Petroleum and Coal Products</v>
      </c>
      <c r="BH14" s="4">
        <f>'[6]Table 7.6'!BG28</f>
        <v>0</v>
      </c>
      <c r="BI14" s="4">
        <f>'[6]Table 7.6'!BH28</f>
        <v>0</v>
      </c>
      <c r="BJ14">
        <f t="shared" si="22"/>
        <v>0</v>
      </c>
      <c r="BK14" s="4">
        <f t="shared" si="23"/>
        <v>796.37604185714292</v>
      </c>
      <c r="BL14" s="14">
        <f t="shared" si="24"/>
        <v>2413.4924694742863</v>
      </c>
      <c r="BM14" s="4">
        <f t="shared" si="25"/>
        <v>3.0305940191847562</v>
      </c>
      <c r="BP14" s="17">
        <f t="shared" si="26"/>
        <v>1.3771402684998464E-2</v>
      </c>
      <c r="BQ14" s="17">
        <f t="shared" si="27"/>
        <v>1.5757438238669721E-2</v>
      </c>
      <c r="BR14" s="17">
        <f t="shared" si="28"/>
        <v>0.95579426813636348</v>
      </c>
      <c r="BS14" s="17">
        <f t="shared" si="29"/>
        <v>4.5433890661422584E-3</v>
      </c>
      <c r="BT14" s="17">
        <f t="shared" si="30"/>
        <v>1.0133501873826093E-2</v>
      </c>
      <c r="BU14" s="17">
        <v>0</v>
      </c>
      <c r="BV14" s="17">
        <v>0</v>
      </c>
      <c r="BW14">
        <f t="shared" si="31"/>
        <v>1</v>
      </c>
    </row>
    <row r="15" spans="1:75" ht="15" x14ac:dyDescent="0.25">
      <c r="B15" s="6" t="s">
        <v>30</v>
      </c>
      <c r="C15" s="7" t="s">
        <v>31</v>
      </c>
      <c r="D15" s="53">
        <v>2170</v>
      </c>
      <c r="E15" s="53">
        <v>126681</v>
      </c>
      <c r="F15" s="53">
        <v>11249</v>
      </c>
      <c r="G15" s="53">
        <v>2600</v>
      </c>
      <c r="H15" s="53">
        <v>1113</v>
      </c>
      <c r="I15" s="53">
        <v>96</v>
      </c>
      <c r="J15" s="53">
        <v>13751</v>
      </c>
      <c r="K15" s="53">
        <v>0</v>
      </c>
      <c r="L15" s="53">
        <v>196</v>
      </c>
      <c r="M15" s="16"/>
      <c r="N15" s="16">
        <f t="shared" si="5"/>
        <v>1737.764428</v>
      </c>
      <c r="O15" s="16"/>
      <c r="P15" s="16">
        <f t="shared" si="6"/>
        <v>70.722462999999991</v>
      </c>
      <c r="Q15" s="16">
        <f t="shared" si="7"/>
        <v>15.145</v>
      </c>
      <c r="R15" s="16">
        <f t="shared" si="8"/>
        <v>1148.616</v>
      </c>
      <c r="S15" s="16">
        <f t="shared" si="9"/>
        <v>8.2354285714285727</v>
      </c>
      <c r="T15" s="16">
        <f t="shared" si="10"/>
        <v>302.68701199999998</v>
      </c>
      <c r="U15" s="16">
        <f t="shared" si="11"/>
        <v>0</v>
      </c>
      <c r="V15" s="16">
        <f t="shared" si="12"/>
        <v>196</v>
      </c>
      <c r="W15" s="16">
        <f t="shared" si="13"/>
        <v>1741.4059035714286</v>
      </c>
      <c r="X15" s="16">
        <f t="shared" si="14"/>
        <v>1737.764428</v>
      </c>
      <c r="Y15" s="16">
        <f t="shared" si="15"/>
        <v>3.6414755714286002</v>
      </c>
      <c r="Z15" s="63"/>
      <c r="AA15">
        <v>325</v>
      </c>
      <c r="AB15" s="16">
        <f t="shared" si="32"/>
        <v>70.722462999999991</v>
      </c>
      <c r="AC15" s="16">
        <f t="shared" si="33"/>
        <v>15.145</v>
      </c>
      <c r="AD15" s="16">
        <f t="shared" si="34"/>
        <v>1148.616</v>
      </c>
      <c r="AE15" s="16">
        <f t="shared" si="35"/>
        <v>8.2354285714285727</v>
      </c>
      <c r="AF15" s="16">
        <f t="shared" si="36"/>
        <v>302.68701199999998</v>
      </c>
      <c r="AG15" s="16">
        <f t="shared" si="37"/>
        <v>0</v>
      </c>
      <c r="AH15" s="16">
        <f t="shared" si="38"/>
        <v>196</v>
      </c>
      <c r="AI15" s="16">
        <f t="shared" si="17"/>
        <v>1741.4059035714286</v>
      </c>
      <c r="AJ15" s="16">
        <f t="shared" si="18"/>
        <v>1545.4059035714286</v>
      </c>
      <c r="AK15" s="16"/>
      <c r="AL15" s="16"/>
      <c r="AM15" s="64" t="s">
        <v>159</v>
      </c>
      <c r="AN15" s="68">
        <f>MECS_Total_Fuel!AM146</f>
        <v>0.32</v>
      </c>
      <c r="AO15" s="62"/>
      <c r="AP15" s="46"/>
      <c r="AQ15">
        <f>MECS_EnergyPrices!C110</f>
        <v>4.33</v>
      </c>
      <c r="AR15">
        <f>MECS_EnergyPrices!C79</f>
        <v>5.83</v>
      </c>
      <c r="AS15" s="5">
        <f>MECS_EnergyPrices!C21</f>
        <v>3.02</v>
      </c>
      <c r="AT15">
        <f>MECS_EnergyPrices!C50</f>
        <v>5.18</v>
      </c>
      <c r="AU15" s="48">
        <f>MECS_EnergyPrices!C139</f>
        <v>1.86</v>
      </c>
      <c r="AV15" s="48"/>
      <c r="AW15" s="4"/>
      <c r="AX15" t="str">
        <f t="shared" si="19"/>
        <v>325</v>
      </c>
      <c r="AY15" s="16">
        <f t="shared" si="20"/>
        <v>1545.4059035714286</v>
      </c>
      <c r="AZ15">
        <f>MECS_Total_Fuel!S15</f>
        <v>1982.3306729500532</v>
      </c>
      <c r="BA15">
        <f t="shared" si="40"/>
        <v>1.2827249257744473</v>
      </c>
      <c r="BD15" s="3">
        <f t="shared" si="21"/>
        <v>1982.3306729500534</v>
      </c>
      <c r="BF15" t="str">
        <f t="shared" si="3"/>
        <v>325</v>
      </c>
      <c r="BG15" s="9" t="str">
        <f t="shared" si="4"/>
        <v>Chemicals</v>
      </c>
      <c r="BH15" s="4">
        <f>'[6]Table 7.6'!BG29</f>
        <v>0</v>
      </c>
      <c r="BI15" s="4">
        <f>'[6]Table 7.6'!BH29</f>
        <v>0</v>
      </c>
      <c r="BJ15">
        <f t="shared" si="22"/>
        <v>0</v>
      </c>
      <c r="BK15" s="4">
        <f t="shared" si="23"/>
        <v>1741.4059035714286</v>
      </c>
      <c r="BL15" s="14">
        <f t="shared" si="24"/>
        <v>4469.0012971100005</v>
      </c>
      <c r="BM15" s="4">
        <f t="shared" si="25"/>
        <v>2.5663179893582417</v>
      </c>
      <c r="BP15" s="17">
        <f t="shared" si="26"/>
        <v>4.576303405892302E-2</v>
      </c>
      <c r="BQ15" s="17">
        <f t="shared" si="27"/>
        <v>9.8000143295686581E-3</v>
      </c>
      <c r="BR15" s="17">
        <f t="shared" si="28"/>
        <v>0.74324551067493128</v>
      </c>
      <c r="BS15" s="17">
        <f t="shared" si="29"/>
        <v>5.3289744476816871E-3</v>
      </c>
      <c r="BT15" s="17">
        <f t="shared" si="30"/>
        <v>0.19586246648889535</v>
      </c>
      <c r="BU15" s="17">
        <v>0</v>
      </c>
      <c r="BV15" s="17">
        <v>0</v>
      </c>
      <c r="BW15">
        <f t="shared" si="31"/>
        <v>1</v>
      </c>
    </row>
    <row r="16" spans="1:75" ht="15" x14ac:dyDescent="0.25">
      <c r="B16" s="6" t="s">
        <v>32</v>
      </c>
      <c r="C16" s="7" t="s">
        <v>33</v>
      </c>
      <c r="D16" s="53">
        <v>211</v>
      </c>
      <c r="E16" s="53">
        <v>25803</v>
      </c>
      <c r="F16" s="53">
        <v>1729</v>
      </c>
      <c r="G16" s="53">
        <v>730</v>
      </c>
      <c r="H16" s="53">
        <v>94</v>
      </c>
      <c r="I16" s="53">
        <v>25</v>
      </c>
      <c r="J16" s="53">
        <v>312</v>
      </c>
      <c r="K16" s="53">
        <v>0</v>
      </c>
      <c r="L16" s="53">
        <v>3</v>
      </c>
      <c r="M16" s="16"/>
      <c r="N16" s="16">
        <f t="shared" si="5"/>
        <v>122.96016399999999</v>
      </c>
      <c r="O16" s="16"/>
      <c r="P16" s="16">
        <f t="shared" si="6"/>
        <v>10.870222999999999</v>
      </c>
      <c r="Q16" s="16">
        <f t="shared" si="7"/>
        <v>4.2522500000000001</v>
      </c>
      <c r="R16" s="16">
        <f t="shared" si="8"/>
        <v>97.007999999999996</v>
      </c>
      <c r="S16" s="16">
        <f t="shared" si="9"/>
        <v>2.1446428571428573</v>
      </c>
      <c r="T16" s="16">
        <f t="shared" si="10"/>
        <v>6.8677440000000001</v>
      </c>
      <c r="U16" s="16">
        <f t="shared" si="11"/>
        <v>0</v>
      </c>
      <c r="V16" s="16">
        <f t="shared" si="12"/>
        <v>3</v>
      </c>
      <c r="W16" s="16">
        <f t="shared" si="13"/>
        <v>124.14285985714285</v>
      </c>
      <c r="X16" s="16">
        <f t="shared" si="14"/>
        <v>122.96016399999999</v>
      </c>
      <c r="Y16" s="16">
        <f t="shared" si="15"/>
        <v>1.1826958571428605</v>
      </c>
      <c r="Z16" s="63"/>
      <c r="AA16">
        <v>326</v>
      </c>
      <c r="AB16" s="16">
        <f t="shared" si="32"/>
        <v>10.870222999999999</v>
      </c>
      <c r="AC16" s="16">
        <f t="shared" si="33"/>
        <v>4.2522500000000001</v>
      </c>
      <c r="AD16" s="16">
        <f t="shared" si="34"/>
        <v>97.007999999999996</v>
      </c>
      <c r="AE16" s="16">
        <f t="shared" si="35"/>
        <v>2.1446428571428573</v>
      </c>
      <c r="AF16" s="16">
        <f t="shared" si="36"/>
        <v>6.8677440000000001</v>
      </c>
      <c r="AG16" s="16">
        <f t="shared" si="37"/>
        <v>0</v>
      </c>
      <c r="AH16" s="16">
        <f t="shared" si="38"/>
        <v>3</v>
      </c>
      <c r="AI16" s="16">
        <f t="shared" si="17"/>
        <v>124.14285985714285</v>
      </c>
      <c r="AJ16" s="16">
        <f t="shared" si="18"/>
        <v>121.14285985714285</v>
      </c>
      <c r="AK16" s="16"/>
      <c r="AL16" s="16"/>
      <c r="AM16" s="64" t="s">
        <v>160</v>
      </c>
      <c r="AN16" s="68">
        <f>MECS_Total_Fuel!AM147</f>
        <v>0.34</v>
      </c>
      <c r="AO16" s="62"/>
      <c r="AP16" s="46"/>
      <c r="AQ16">
        <f>MECS_EnergyPrices!C111</f>
        <v>4.5599999999999996</v>
      </c>
      <c r="AR16">
        <f>MECS_EnergyPrices!C80</f>
        <v>6.16</v>
      </c>
      <c r="AS16" s="5">
        <f>MECS_EnergyPrices!C22</f>
        <v>4.34</v>
      </c>
      <c r="AT16">
        <f>MECS_EnergyPrices!C51</f>
        <v>8.1999999999999993</v>
      </c>
      <c r="AU16" s="48">
        <f>MECS_EnergyPrices!C140</f>
        <v>2.11</v>
      </c>
      <c r="AV16" s="48"/>
      <c r="AW16" s="4"/>
      <c r="AX16" t="str">
        <f t="shared" si="19"/>
        <v>326</v>
      </c>
      <c r="AY16" s="16">
        <f t="shared" si="20"/>
        <v>121.14285985714285</v>
      </c>
      <c r="AZ16">
        <f>MECS_Total_Fuel!S16</f>
        <v>128.43055874180072</v>
      </c>
      <c r="BA16">
        <f t="shared" si="40"/>
        <v>1.0601578903886855</v>
      </c>
      <c r="BD16" s="3">
        <f t="shared" si="21"/>
        <v>128.43055874180072</v>
      </c>
      <c r="BF16" t="str">
        <f t="shared" si="3"/>
        <v>326</v>
      </c>
      <c r="BG16" s="9" t="str">
        <f t="shared" si="4"/>
        <v>Plastics and Rubber Products</v>
      </c>
      <c r="BH16" s="4">
        <f>'[6]Table 7.6'!BG30</f>
        <v>0</v>
      </c>
      <c r="BI16" s="4">
        <f>'[6]Table 7.6'!BH30</f>
        <v>0</v>
      </c>
      <c r="BJ16">
        <f t="shared" si="22"/>
        <v>0</v>
      </c>
      <c r="BK16" s="4">
        <f t="shared" si="23"/>
        <v>124.14285985714285</v>
      </c>
      <c r="BL16" s="14">
        <f t="shared" si="24"/>
        <v>528.85380814857137</v>
      </c>
      <c r="BM16" s="4">
        <f t="shared" si="25"/>
        <v>4.2600420898724973</v>
      </c>
      <c r="BP16" s="17">
        <f t="shared" si="26"/>
        <v>8.9730612376318825E-2</v>
      </c>
      <c r="BQ16" s="17">
        <f t="shared" si="27"/>
        <v>3.510111949655511E-2</v>
      </c>
      <c r="BR16" s="17">
        <f t="shared" si="28"/>
        <v>0.80077356696379975</v>
      </c>
      <c r="BS16" s="17">
        <f t="shared" si="29"/>
        <v>1.7703419414663954E-2</v>
      </c>
      <c r="BT16" s="17">
        <f t="shared" si="30"/>
        <v>5.6691281748662323E-2</v>
      </c>
      <c r="BU16" s="17">
        <v>0</v>
      </c>
      <c r="BV16" s="17">
        <v>0</v>
      </c>
      <c r="BW16">
        <f t="shared" si="31"/>
        <v>0.99999999999999989</v>
      </c>
    </row>
    <row r="17" spans="1:75" ht="15" x14ac:dyDescent="0.25">
      <c r="B17" s="6" t="s">
        <v>34</v>
      </c>
      <c r="C17" s="7" t="s">
        <v>35</v>
      </c>
      <c r="D17" s="53">
        <v>878</v>
      </c>
      <c r="E17" s="53">
        <v>30801</v>
      </c>
      <c r="F17" s="53">
        <v>1491</v>
      </c>
      <c r="G17" s="53">
        <v>5643</v>
      </c>
      <c r="H17" s="53">
        <v>372</v>
      </c>
      <c r="I17" s="53">
        <v>44</v>
      </c>
      <c r="J17" s="53">
        <v>14503</v>
      </c>
      <c r="K17" s="53">
        <v>143</v>
      </c>
      <c r="L17" s="53">
        <v>20</v>
      </c>
      <c r="M17" s="16"/>
      <c r="N17" s="16">
        <f t="shared" si="5"/>
        <v>772.90698799999996</v>
      </c>
      <c r="O17" s="16"/>
      <c r="P17" s="16">
        <f t="shared" si="6"/>
        <v>9.3739169999999987</v>
      </c>
      <c r="Q17" s="16">
        <f t="shared" si="7"/>
        <v>32.870474999999999</v>
      </c>
      <c r="R17" s="16">
        <f t="shared" si="8"/>
        <v>383.904</v>
      </c>
      <c r="S17" s="16">
        <f t="shared" si="9"/>
        <v>3.7745714285714289</v>
      </c>
      <c r="T17" s="16">
        <f t="shared" si="10"/>
        <v>319.24003599999998</v>
      </c>
      <c r="U17" s="16">
        <f t="shared" si="11"/>
        <v>3.5463999999999998</v>
      </c>
      <c r="V17" s="16">
        <f t="shared" si="12"/>
        <v>20</v>
      </c>
      <c r="W17" s="16">
        <f t="shared" si="13"/>
        <v>772.70939942857137</v>
      </c>
      <c r="X17" s="16">
        <f t="shared" si="14"/>
        <v>772.90698799999996</v>
      </c>
      <c r="Y17" s="16">
        <f t="shared" si="15"/>
        <v>-0.19758857142858233</v>
      </c>
      <c r="Z17" s="63"/>
      <c r="AA17">
        <v>327</v>
      </c>
      <c r="AB17" s="16">
        <f t="shared" si="32"/>
        <v>9.3739169999999987</v>
      </c>
      <c r="AC17" s="16">
        <f t="shared" si="33"/>
        <v>32.870474999999999</v>
      </c>
      <c r="AD17" s="16">
        <f t="shared" si="34"/>
        <v>383.904</v>
      </c>
      <c r="AE17" s="16">
        <f t="shared" si="35"/>
        <v>3.7745714285714289</v>
      </c>
      <c r="AF17" s="16">
        <f t="shared" si="36"/>
        <v>319.24003599999998</v>
      </c>
      <c r="AG17" s="16">
        <f t="shared" si="37"/>
        <v>3.5463999999999998</v>
      </c>
      <c r="AH17" s="16">
        <f t="shared" si="38"/>
        <v>20</v>
      </c>
      <c r="AI17" s="16">
        <f t="shared" si="17"/>
        <v>772.70939942857137</v>
      </c>
      <c r="AJ17" s="16">
        <f t="shared" si="18"/>
        <v>749.16299942857142</v>
      </c>
      <c r="AK17" s="16"/>
      <c r="AL17" s="16"/>
      <c r="AM17" s="64" t="s">
        <v>161</v>
      </c>
      <c r="AN17" s="68">
        <f>MECS_Total_Fuel!AM148</f>
        <v>0</v>
      </c>
      <c r="AO17" s="62"/>
      <c r="AP17" s="46"/>
      <c r="AQ17">
        <f>MECS_EnergyPrices!C112</f>
        <v>4.34</v>
      </c>
      <c r="AR17">
        <f>MECS_EnergyPrices!C81</f>
        <v>6.44</v>
      </c>
      <c r="AS17" s="5">
        <f>MECS_EnergyPrices!C23</f>
        <v>4.18</v>
      </c>
      <c r="AT17">
        <f>MECS_EnergyPrices!C52</f>
        <v>6.92</v>
      </c>
      <c r="AU17" s="48">
        <f>MECS_EnergyPrices!C141</f>
        <v>1.87</v>
      </c>
      <c r="AV17" s="48"/>
      <c r="AW17" s="4"/>
      <c r="AX17" t="str">
        <f t="shared" si="19"/>
        <v>327</v>
      </c>
      <c r="AY17" s="16">
        <f t="shared" si="20"/>
        <v>749.16299942857142</v>
      </c>
      <c r="AZ17">
        <f>MECS_Total_Fuel!S17</f>
        <v>791.01545520082436</v>
      </c>
      <c r="BA17">
        <f t="shared" si="40"/>
        <v>1.055865620437977</v>
      </c>
      <c r="BD17" s="3">
        <f t="shared" si="21"/>
        <v>791.01545520082436</v>
      </c>
      <c r="BF17" t="str">
        <f t="shared" si="3"/>
        <v>327</v>
      </c>
      <c r="BG17" s="9" t="str">
        <f t="shared" si="4"/>
        <v>Nonmetallic Mineral Products</v>
      </c>
      <c r="BH17" s="4">
        <f>'[6]Table 7.6'!BG31</f>
        <v>0</v>
      </c>
      <c r="BI17" s="4">
        <f>'[6]Table 7.6'!BH31</f>
        <v>0</v>
      </c>
      <c r="BJ17">
        <f t="shared" si="22"/>
        <v>0</v>
      </c>
      <c r="BK17" s="4">
        <f t="shared" si="23"/>
        <v>772.70939942857137</v>
      </c>
      <c r="BL17" s="14">
        <f t="shared" si="24"/>
        <v>2480.1862803857143</v>
      </c>
      <c r="BM17" s="4">
        <f t="shared" si="25"/>
        <v>3.2097270749130842</v>
      </c>
      <c r="BP17" s="17">
        <f t="shared" si="26"/>
        <v>1.2512519981833073E-2</v>
      </c>
      <c r="BQ17" s="17">
        <f t="shared" si="27"/>
        <v>4.3876265946225519E-2</v>
      </c>
      <c r="BR17" s="17">
        <f t="shared" si="28"/>
        <v>0.51244388776918381</v>
      </c>
      <c r="BS17" s="17">
        <f t="shared" si="29"/>
        <v>5.0383847459771853E-3</v>
      </c>
      <c r="BT17" s="17">
        <f t="shared" si="30"/>
        <v>0.42612894155678033</v>
      </c>
      <c r="BU17" s="17">
        <v>0</v>
      </c>
      <c r="BV17" s="17">
        <v>0</v>
      </c>
      <c r="BW17">
        <f t="shared" si="31"/>
        <v>1</v>
      </c>
    </row>
    <row r="18" spans="1:75" ht="15" x14ac:dyDescent="0.25">
      <c r="B18" s="6" t="s">
        <v>36</v>
      </c>
      <c r="C18" s="7" t="s">
        <v>37</v>
      </c>
      <c r="D18" s="53">
        <v>1537</v>
      </c>
      <c r="E18" s="53">
        <v>142071</v>
      </c>
      <c r="F18" s="53">
        <v>6405</v>
      </c>
      <c r="G18" s="53">
        <v>2098</v>
      </c>
      <c r="H18" s="53">
        <v>665</v>
      </c>
      <c r="I18" s="53">
        <v>58</v>
      </c>
      <c r="J18" s="53">
        <v>3635</v>
      </c>
      <c r="K18" s="53">
        <v>8344</v>
      </c>
      <c r="L18" s="53">
        <v>21</v>
      </c>
      <c r="M18" s="16"/>
      <c r="N18" s="16">
        <f t="shared" si="5"/>
        <v>1052.2537480000001</v>
      </c>
      <c r="O18" s="16"/>
      <c r="P18" s="16">
        <f t="shared" si="6"/>
        <v>40.268234999999997</v>
      </c>
      <c r="Q18" s="16">
        <f t="shared" si="7"/>
        <v>12.220849999999999</v>
      </c>
      <c r="R18" s="16">
        <f t="shared" si="8"/>
        <v>686.28</v>
      </c>
      <c r="S18" s="16">
        <f t="shared" si="9"/>
        <v>4.9755714285714294</v>
      </c>
      <c r="T18" s="16">
        <f t="shared" si="10"/>
        <v>80.013620000000003</v>
      </c>
      <c r="U18" s="16">
        <f t="shared" si="11"/>
        <v>206.93119999999999</v>
      </c>
      <c r="V18" s="16">
        <f t="shared" si="12"/>
        <v>21</v>
      </c>
      <c r="W18" s="16">
        <f t="shared" si="13"/>
        <v>1051.6894764285714</v>
      </c>
      <c r="X18" s="16">
        <f t="shared" si="14"/>
        <v>1052.2537480000001</v>
      </c>
      <c r="Y18" s="16">
        <f t="shared" si="15"/>
        <v>-0.56427157142866236</v>
      </c>
      <c r="Z18" s="61"/>
      <c r="AA18">
        <v>331</v>
      </c>
      <c r="AB18" s="16">
        <f t="shared" si="32"/>
        <v>40.268234999999997</v>
      </c>
      <c r="AC18" s="16">
        <f t="shared" si="33"/>
        <v>12.220849999999999</v>
      </c>
      <c r="AD18" s="16">
        <f t="shared" si="34"/>
        <v>686.28</v>
      </c>
      <c r="AE18" s="16">
        <f t="shared" si="35"/>
        <v>4.9755714285714294</v>
      </c>
      <c r="AF18" s="16">
        <f t="shared" si="36"/>
        <v>80.013620000000003</v>
      </c>
      <c r="AG18" s="16">
        <f t="shared" si="37"/>
        <v>206.93119999999999</v>
      </c>
      <c r="AH18" s="16">
        <f t="shared" si="38"/>
        <v>21</v>
      </c>
      <c r="AI18" s="16">
        <f t="shared" si="17"/>
        <v>1051.6894764285714</v>
      </c>
      <c r="AJ18" s="16">
        <f>AI18-AH18</f>
        <v>1030.6894764285714</v>
      </c>
      <c r="AK18" s="16"/>
      <c r="AL18" s="16"/>
      <c r="AM18" s="64" t="s">
        <v>162</v>
      </c>
      <c r="AN18" s="68">
        <f>MECS_Total_Fuel!AM149</f>
        <v>7.0000000000000007E-2</v>
      </c>
      <c r="AO18" s="62"/>
      <c r="AP18" s="46"/>
      <c r="AQ18">
        <f>MECS_EnergyPrices!C113</f>
        <v>4.18</v>
      </c>
      <c r="AR18">
        <f>MECS_EnergyPrices!C82</f>
        <v>6.06</v>
      </c>
      <c r="AS18" s="5">
        <f>MECS_EnergyPrices!C24</f>
        <v>4.12</v>
      </c>
      <c r="AT18">
        <f>MECS_EnergyPrices!C53</f>
        <v>6.47</v>
      </c>
      <c r="AU18" s="48">
        <f>MECS_EnergyPrices!C142</f>
        <v>2.46</v>
      </c>
      <c r="AV18" s="48">
        <f>3*AU18</f>
        <v>7.38</v>
      </c>
      <c r="AW18" s="4"/>
      <c r="AX18" t="str">
        <f t="shared" si="19"/>
        <v>331</v>
      </c>
      <c r="AY18" s="16">
        <f t="shared" si="20"/>
        <v>1030.6894764285714</v>
      </c>
      <c r="AZ18">
        <f>MECS_Total_Fuel!S18</f>
        <v>1931.5726855408925</v>
      </c>
      <c r="BA18">
        <f t="shared" si="40"/>
        <v>1.874058802107847</v>
      </c>
      <c r="BD18" s="3">
        <f t="shared" si="21"/>
        <v>1931.5726855408925</v>
      </c>
      <c r="BF18" t="str">
        <f t="shared" si="3"/>
        <v>331</v>
      </c>
      <c r="BG18" s="9" t="str">
        <f t="shared" si="4"/>
        <v>Primary Metals</v>
      </c>
      <c r="BH18" s="4">
        <f>'[6]Table 7.6'!BG32</f>
        <v>0</v>
      </c>
      <c r="BI18" s="4">
        <f>'[6]Table 7.6'!BH32</f>
        <v>0</v>
      </c>
      <c r="BJ18">
        <f t="shared" si="22"/>
        <v>0</v>
      </c>
      <c r="BK18" s="4">
        <f t="shared" si="23"/>
        <v>1051.6894764285714</v>
      </c>
      <c r="BL18" s="14">
        <f>SUMPRODUCT(AB18:AG18,AQ18:AV18)</f>
        <v>4826.0308816428569</v>
      </c>
      <c r="BM18" s="4">
        <f t="shared" si="25"/>
        <v>4.5888363341159959</v>
      </c>
      <c r="BP18" s="17">
        <f t="shared" si="26"/>
        <v>3.9069221061160855E-2</v>
      </c>
      <c r="BQ18" s="17">
        <f t="shared" si="27"/>
        <v>1.1856965923768142E-2</v>
      </c>
      <c r="BR18" s="17">
        <f t="shared" si="28"/>
        <v>0.66584554872726531</v>
      </c>
      <c r="BS18" s="17">
        <f t="shared" si="29"/>
        <v>4.8274204232803628E-3</v>
      </c>
      <c r="BT18" s="17">
        <f t="shared" si="30"/>
        <v>7.7631160334783025E-2</v>
      </c>
      <c r="BU18" s="17">
        <f t="shared" si="30"/>
        <v>0.20076968352974223</v>
      </c>
      <c r="BV18" s="17">
        <v>0</v>
      </c>
      <c r="BW18">
        <f t="shared" si="31"/>
        <v>0.99999999999999989</v>
      </c>
    </row>
    <row r="19" spans="1:75" ht="15" x14ac:dyDescent="0.25">
      <c r="B19" s="6" t="s">
        <v>38</v>
      </c>
      <c r="C19" s="7" t="s">
        <v>39</v>
      </c>
      <c r="D19" s="53">
        <v>297</v>
      </c>
      <c r="E19" s="53">
        <v>26840</v>
      </c>
      <c r="F19" s="53">
        <v>801</v>
      </c>
      <c r="G19" s="53">
        <v>1721</v>
      </c>
      <c r="H19" s="53">
        <v>168</v>
      </c>
      <c r="I19" s="53">
        <v>46</v>
      </c>
      <c r="J19" s="53">
        <v>329</v>
      </c>
      <c r="K19" s="53">
        <v>32</v>
      </c>
      <c r="L19" s="53">
        <v>5</v>
      </c>
      <c r="M19" s="16"/>
      <c r="N19" s="16">
        <f t="shared" si="5"/>
        <v>205.42192</v>
      </c>
      <c r="O19" s="16"/>
      <c r="P19" s="16">
        <f t="shared" si="6"/>
        <v>5.0358869999999998</v>
      </c>
      <c r="Q19" s="16">
        <f t="shared" si="7"/>
        <v>10.024825</v>
      </c>
      <c r="R19" s="16">
        <f t="shared" si="8"/>
        <v>173.376</v>
      </c>
      <c r="S19" s="16">
        <f t="shared" si="9"/>
        <v>3.9461428571428576</v>
      </c>
      <c r="T19" s="16">
        <f t="shared" si="10"/>
        <v>7.2419479999999998</v>
      </c>
      <c r="U19" s="16">
        <f t="shared" si="11"/>
        <v>0.79359999999999997</v>
      </c>
      <c r="V19" s="16">
        <f t="shared" si="12"/>
        <v>5</v>
      </c>
      <c r="W19" s="16">
        <f t="shared" si="13"/>
        <v>205.41840285714287</v>
      </c>
      <c r="X19" s="16">
        <f t="shared" si="14"/>
        <v>205.42192</v>
      </c>
      <c r="Y19" s="16">
        <f t="shared" si="15"/>
        <v>-3.5171428571345587E-3</v>
      </c>
      <c r="Z19" s="61"/>
      <c r="AA19">
        <v>332</v>
      </c>
      <c r="AB19" s="66">
        <f t="shared" ref="AB19:AH19" si="41">P19+$AN11*P20-$AN18*P19</f>
        <v>5.9847839099999991</v>
      </c>
      <c r="AC19" s="66">
        <f t="shared" si="41"/>
        <v>10.684040250000001</v>
      </c>
      <c r="AD19" s="66">
        <f t="shared" si="41"/>
        <v>179.81567999999999</v>
      </c>
      <c r="AE19" s="66">
        <f t="shared" si="41"/>
        <v>4.210362857142858</v>
      </c>
      <c r="AF19" s="66">
        <f t="shared" si="41"/>
        <v>9.6709721999999978</v>
      </c>
      <c r="AG19" s="66">
        <f t="shared" si="41"/>
        <v>0.84518399999999994</v>
      </c>
      <c r="AH19" s="66">
        <f t="shared" si="41"/>
        <v>5.19</v>
      </c>
      <c r="AI19" s="16">
        <f t="shared" si="17"/>
        <v>216.40102321714281</v>
      </c>
      <c r="AJ19" s="16">
        <f t="shared" si="18"/>
        <v>210.36583921714282</v>
      </c>
      <c r="AK19" s="16"/>
      <c r="AL19" s="16"/>
      <c r="AM19" s="64" t="s">
        <v>163</v>
      </c>
      <c r="AN19" s="69">
        <f>MECS_Total_Fuel!AM150</f>
        <v>0.04</v>
      </c>
      <c r="AO19" s="62"/>
      <c r="AP19" s="46"/>
      <c r="AQ19">
        <f>MECS_EnergyPrices!C114</f>
        <v>4.6900000000000004</v>
      </c>
      <c r="AR19">
        <f>MECS_EnergyPrices!C83</f>
        <v>6.54</v>
      </c>
      <c r="AS19" s="5">
        <f>MECS_EnergyPrices!C25</f>
        <v>4.6900000000000004</v>
      </c>
      <c r="AT19">
        <f>MECS_EnergyPrices!C54</f>
        <v>8.85</v>
      </c>
      <c r="AU19" s="48">
        <f>MECS_EnergyPrices!C143</f>
        <v>2.29</v>
      </c>
      <c r="AV19" s="48"/>
      <c r="AW19" s="4"/>
      <c r="AX19" t="str">
        <f t="shared" si="19"/>
        <v>332</v>
      </c>
      <c r="AY19" s="16">
        <f t="shared" si="20"/>
        <v>210.36583921714282</v>
      </c>
      <c r="AZ19">
        <f>MECS_Total_Fuel!S19</f>
        <v>218.6220851003327</v>
      </c>
      <c r="BA19">
        <f t="shared" si="40"/>
        <v>1.0392470845737822</v>
      </c>
      <c r="BD19" s="3">
        <f t="shared" si="21"/>
        <v>218.6220851003327</v>
      </c>
      <c r="BF19" t="str">
        <f t="shared" si="3"/>
        <v>332</v>
      </c>
      <c r="BG19" s="9" t="str">
        <f t="shared" si="4"/>
        <v>Fabricated Metal Products</v>
      </c>
      <c r="BH19" s="4">
        <f>'[6]Table 7.6'!BG33</f>
        <v>0</v>
      </c>
      <c r="BI19" s="4">
        <f>'[6]Table 7.6'!BH33</f>
        <v>0</v>
      </c>
      <c r="BJ19">
        <f t="shared" si="22"/>
        <v>0</v>
      </c>
      <c r="BK19" s="4">
        <f t="shared" si="23"/>
        <v>216.40102321714281</v>
      </c>
      <c r="BL19" s="14">
        <f t="shared" si="24"/>
        <v>1000.6860365966143</v>
      </c>
      <c r="BM19" s="4">
        <f t="shared" si="25"/>
        <v>4.6242204483132134</v>
      </c>
      <c r="BP19" s="17">
        <f t="shared" si="26"/>
        <v>2.8449409525195837E-2</v>
      </c>
      <c r="BQ19" s="17">
        <f t="shared" si="27"/>
        <v>5.0787904964796932E-2</v>
      </c>
      <c r="BR19" s="17">
        <f t="shared" si="28"/>
        <v>0.85477604476642954</v>
      </c>
      <c r="BS19" s="17">
        <f t="shared" si="29"/>
        <v>2.001447988328969E-2</v>
      </c>
      <c r="BT19" s="17">
        <f t="shared" si="30"/>
        <v>4.5972160860288123E-2</v>
      </c>
      <c r="BU19" s="17">
        <v>0</v>
      </c>
      <c r="BV19" s="17">
        <v>0</v>
      </c>
      <c r="BW19">
        <f t="shared" si="31"/>
        <v>1.0000000000000002</v>
      </c>
    </row>
    <row r="20" spans="1:75" ht="15" x14ac:dyDescent="0.25">
      <c r="B20" s="6" t="s">
        <v>40</v>
      </c>
      <c r="C20" s="7" t="s">
        <v>41</v>
      </c>
      <c r="D20" s="53">
        <v>241</v>
      </c>
      <c r="E20" s="53">
        <v>28975</v>
      </c>
      <c r="F20" s="53">
        <v>1150</v>
      </c>
      <c r="G20" s="53">
        <v>1298</v>
      </c>
      <c r="H20" s="53">
        <v>100</v>
      </c>
      <c r="I20" s="53">
        <v>35</v>
      </c>
      <c r="J20" s="53">
        <v>741</v>
      </c>
      <c r="K20" s="53">
        <v>24</v>
      </c>
      <c r="L20" s="53">
        <v>3</v>
      </c>
      <c r="M20" s="16"/>
      <c r="N20" s="16">
        <f t="shared" si="5"/>
        <v>142.13729999999998</v>
      </c>
      <c r="O20" s="16"/>
      <c r="P20" s="16">
        <f t="shared" si="6"/>
        <v>7.2300499999999994</v>
      </c>
      <c r="Q20" s="16">
        <f t="shared" si="7"/>
        <v>7.5608499999999994</v>
      </c>
      <c r="R20" s="16">
        <f t="shared" si="8"/>
        <v>103.2</v>
      </c>
      <c r="S20" s="16">
        <f t="shared" si="9"/>
        <v>3.0024999999999999</v>
      </c>
      <c r="T20" s="16">
        <f t="shared" si="10"/>
        <v>16.310891999999999</v>
      </c>
      <c r="U20" s="16">
        <f t="shared" si="11"/>
        <v>0.59519999999999995</v>
      </c>
      <c r="V20" s="16">
        <f t="shared" si="12"/>
        <v>3</v>
      </c>
      <c r="W20" s="16">
        <f t="shared" si="13"/>
        <v>140.89949200000001</v>
      </c>
      <c r="X20" s="16">
        <f t="shared" si="14"/>
        <v>142.13729999999998</v>
      </c>
      <c r="Y20" s="16">
        <f t="shared" si="15"/>
        <v>-1.2378079999999727</v>
      </c>
      <c r="Z20" s="63"/>
      <c r="AA20">
        <v>333</v>
      </c>
      <c r="AB20" s="66">
        <f t="shared" ref="AB20:AH20" si="42">P20-$AN11*P20-$AN9*P20-$AN10*P20+$AN15*P21</f>
        <v>7.9102370000000004</v>
      </c>
      <c r="AC20" s="66">
        <f t="shared" si="42"/>
        <v>5.9585090000000003</v>
      </c>
      <c r="AD20" s="66">
        <f t="shared" si="42"/>
        <v>82.972799999999992</v>
      </c>
      <c r="AE20" s="66">
        <f t="shared" si="42"/>
        <v>2.2218500000000003</v>
      </c>
      <c r="AF20" s="66">
        <f t="shared" si="42"/>
        <v>17.190060079999999</v>
      </c>
      <c r="AG20" s="66">
        <f t="shared" si="42"/>
        <v>0.44044799999999995</v>
      </c>
      <c r="AH20" s="66">
        <f t="shared" si="42"/>
        <v>2.5399999999999996</v>
      </c>
      <c r="AI20" s="16">
        <f t="shared" si="17"/>
        <v>119.23390408</v>
      </c>
      <c r="AJ20" s="16">
        <f t="shared" si="18"/>
        <v>116.25345607999999</v>
      </c>
      <c r="AK20" s="16"/>
      <c r="AL20" s="16"/>
      <c r="AM20" s="64" t="s">
        <v>164</v>
      </c>
      <c r="AN20" s="68">
        <f>MECS_Total_Fuel!AM151</f>
        <v>0.28000000000000003</v>
      </c>
      <c r="AO20" s="62"/>
      <c r="AP20" s="46"/>
      <c r="AQ20">
        <f>MECS_EnergyPrices!C115</f>
        <v>4.6399999999999997</v>
      </c>
      <c r="AR20">
        <f>MECS_EnergyPrices!C84</f>
        <v>6.23</v>
      </c>
      <c r="AS20" s="5">
        <f>MECS_EnergyPrices!C26</f>
        <v>4.67</v>
      </c>
      <c r="AT20">
        <f>MECS_EnergyPrices!C55</f>
        <v>8.8699999999999992</v>
      </c>
      <c r="AU20" s="48">
        <f>MECS_EnergyPrices!C144</f>
        <v>1.83</v>
      </c>
      <c r="AV20" s="48"/>
      <c r="AW20" s="4"/>
      <c r="AX20" t="str">
        <f t="shared" si="19"/>
        <v>333</v>
      </c>
      <c r="AY20" s="16">
        <f t="shared" si="20"/>
        <v>116.25345607999999</v>
      </c>
      <c r="AZ20">
        <f>MECS_Total_Fuel!S20</f>
        <v>118.55685257512636</v>
      </c>
      <c r="BA20">
        <f t="shared" si="40"/>
        <v>1.0198135743469103</v>
      </c>
      <c r="BD20" s="3">
        <f t="shared" si="21"/>
        <v>118.55685257512634</v>
      </c>
      <c r="BF20" t="str">
        <f t="shared" si="3"/>
        <v>333</v>
      </c>
      <c r="BG20" s="9" t="str">
        <f t="shared" si="4"/>
        <v>Machinery</v>
      </c>
      <c r="BH20" s="4">
        <f>'[6]Table 7.6'!BG34</f>
        <v>0</v>
      </c>
      <c r="BI20" s="4">
        <f>'[6]Table 7.6'!BH34</f>
        <v>0</v>
      </c>
      <c r="BJ20">
        <f t="shared" si="22"/>
        <v>0</v>
      </c>
      <c r="BK20" s="4">
        <f t="shared" si="23"/>
        <v>119.23390408</v>
      </c>
      <c r="BL20" s="14">
        <f t="shared" si="24"/>
        <v>512.47360619639994</v>
      </c>
      <c r="BM20" s="4">
        <f t="shared" si="25"/>
        <v>4.2980527237668547</v>
      </c>
      <c r="BP20" s="17">
        <f t="shared" si="26"/>
        <v>6.8043026562208689E-2</v>
      </c>
      <c r="BQ20" s="17">
        <f t="shared" si="27"/>
        <v>5.1254467616856425E-2</v>
      </c>
      <c r="BR20" s="17">
        <f t="shared" si="28"/>
        <v>0.713723297334938</v>
      </c>
      <c r="BS20" s="17">
        <f t="shared" si="29"/>
        <v>1.9112119974059358E-2</v>
      </c>
      <c r="BT20" s="17">
        <f t="shared" si="30"/>
        <v>0.1478670885119375</v>
      </c>
      <c r="BU20" s="17">
        <v>0</v>
      </c>
      <c r="BV20" s="17">
        <v>0</v>
      </c>
      <c r="BW20">
        <f t="shared" si="31"/>
        <v>1</v>
      </c>
    </row>
    <row r="21" spans="1:75" ht="15" x14ac:dyDescent="0.25">
      <c r="A21">
        <v>38</v>
      </c>
      <c r="B21" s="6" t="s">
        <v>42</v>
      </c>
      <c r="C21" s="7" t="s">
        <v>139</v>
      </c>
      <c r="D21" s="53">
        <v>74</v>
      </c>
      <c r="E21" s="53">
        <v>7736</v>
      </c>
      <c r="F21" s="54"/>
      <c r="G21" s="53">
        <v>195</v>
      </c>
      <c r="H21" s="53">
        <v>20</v>
      </c>
      <c r="I21" s="54"/>
      <c r="J21" s="54"/>
      <c r="K21" s="53">
        <f>[7]M98_01p1!J55</f>
        <v>0</v>
      </c>
      <c r="L21" s="53">
        <f>[7]M98_01p1!K55</f>
        <v>1</v>
      </c>
      <c r="M21" s="16"/>
      <c r="N21" s="16">
        <f t="shared" si="5"/>
        <v>47.604768</v>
      </c>
      <c r="O21" s="16"/>
      <c r="P21" s="55">
        <v>8</v>
      </c>
      <c r="Q21" s="16">
        <f t="shared" si="7"/>
        <v>1.135875</v>
      </c>
      <c r="R21" s="16">
        <f t="shared" si="8"/>
        <v>20.64</v>
      </c>
      <c r="S21" s="16">
        <f t="shared" si="9"/>
        <v>0</v>
      </c>
      <c r="T21" s="55">
        <v>16</v>
      </c>
      <c r="U21" s="16">
        <f t="shared" si="11"/>
        <v>0</v>
      </c>
      <c r="V21" s="16">
        <f t="shared" si="12"/>
        <v>1</v>
      </c>
      <c r="W21" s="16">
        <f t="shared" si="13"/>
        <v>46.775874999999999</v>
      </c>
      <c r="X21" s="16">
        <f t="shared" si="14"/>
        <v>47.604768</v>
      </c>
      <c r="Y21" s="16">
        <f t="shared" si="15"/>
        <v>-0.82889300000000077</v>
      </c>
      <c r="Z21" s="63"/>
      <c r="AA21">
        <v>334</v>
      </c>
      <c r="AB21" s="66">
        <f t="shared" ref="AB21:AH21" si="43">$AN9*P20+$AN22*P21+$AN20*P22</f>
        <v>4.88599724</v>
      </c>
      <c r="AC21" s="66">
        <f t="shared" si="43"/>
        <v>1.7401605</v>
      </c>
      <c r="AD21" s="66">
        <f t="shared" si="43"/>
        <v>36.037440000000004</v>
      </c>
      <c r="AE21" s="66">
        <f t="shared" si="43"/>
        <v>0.5404500000000001</v>
      </c>
      <c r="AF21" s="66">
        <f t="shared" si="43"/>
        <v>8.7052600800000004</v>
      </c>
      <c r="AG21" s="66">
        <f t="shared" si="43"/>
        <v>6.3487999999999989E-2</v>
      </c>
      <c r="AH21" s="66">
        <f t="shared" si="43"/>
        <v>1.08</v>
      </c>
      <c r="AI21" s="16">
        <f t="shared" si="17"/>
        <v>53.05279582</v>
      </c>
      <c r="AJ21" s="16">
        <f t="shared" si="18"/>
        <v>51.909307820000002</v>
      </c>
      <c r="AK21" s="16"/>
      <c r="AM21" s="64" t="s">
        <v>165</v>
      </c>
      <c r="AN21" s="68">
        <f>MECS_Total_Fuel!AM152</f>
        <v>0</v>
      </c>
      <c r="AO21" s="62"/>
      <c r="AP21" s="46"/>
      <c r="AQ21">
        <f>MECS_EnergyPrices!C116</f>
        <v>4.6659999999999995</v>
      </c>
      <c r="AR21">
        <f>MECS_EnergyPrices!C85</f>
        <v>6.109</v>
      </c>
      <c r="AS21" s="5">
        <f>MECS_EnergyPrices!C27</f>
        <v>4.6839999999999993</v>
      </c>
      <c r="AT21">
        <f>MECS_EnergyPrices!C56</f>
        <v>6.6579999999999995</v>
      </c>
      <c r="AU21" s="48">
        <f>MECS_EnergyPrices!C145</f>
        <v>1.4349999999999998</v>
      </c>
      <c r="AV21" s="48"/>
      <c r="AW21" s="4"/>
      <c r="AX21" t="str">
        <f t="shared" si="19"/>
        <v>334</v>
      </c>
      <c r="AY21" s="16">
        <f t="shared" si="20"/>
        <v>51.909307820000002</v>
      </c>
      <c r="AZ21">
        <f>MECS_Total_Fuel!S21</f>
        <v>54.789455724294967</v>
      </c>
      <c r="BA21">
        <f t="shared" si="40"/>
        <v>1.055484228652829</v>
      </c>
      <c r="BD21" s="3">
        <f t="shared" si="21"/>
        <v>54.789455724294967</v>
      </c>
      <c r="BF21" t="str">
        <f t="shared" si="3"/>
        <v>334</v>
      </c>
      <c r="BG21" s="9" t="str">
        <f t="shared" si="4"/>
        <v>Computer and Electronic Products/Instruments</v>
      </c>
      <c r="BH21" s="4">
        <f>'[6]Table 7.6'!BG35</f>
        <v>0</v>
      </c>
      <c r="BI21" s="4">
        <f>'[6]Table 7.6'!BH35</f>
        <v>0</v>
      </c>
      <c r="BJ21">
        <f t="shared" si="22"/>
        <v>0</v>
      </c>
      <c r="BK21" s="4">
        <f t="shared" si="23"/>
        <v>53.05279582</v>
      </c>
      <c r="BL21" s="14">
        <f t="shared" si="24"/>
        <v>218.31843689113998</v>
      </c>
      <c r="BM21" s="4">
        <f t="shared" si="25"/>
        <v>4.1151165271640151</v>
      </c>
      <c r="BP21" s="17">
        <f t="shared" si="26"/>
        <v>9.4125648081122879E-2</v>
      </c>
      <c r="BQ21" s="17">
        <f t="shared" si="27"/>
        <v>3.3523091967131532E-2</v>
      </c>
      <c r="BR21" s="17">
        <f t="shared" si="28"/>
        <v>0.69423850005788812</v>
      </c>
      <c r="BS21" s="17">
        <f t="shared" si="29"/>
        <v>1.0411427597417732E-2</v>
      </c>
      <c r="BT21" s="17">
        <f t="shared" si="30"/>
        <v>0.16770133229643977</v>
      </c>
      <c r="BU21" s="17">
        <v>0</v>
      </c>
      <c r="BV21" s="17">
        <v>0</v>
      </c>
      <c r="BW21">
        <f t="shared" si="31"/>
        <v>1</v>
      </c>
    </row>
    <row r="22" spans="1:75" ht="15" x14ac:dyDescent="0.25">
      <c r="B22" s="6" t="s">
        <v>44</v>
      </c>
      <c r="C22" s="7" t="s">
        <v>45</v>
      </c>
      <c r="D22" s="53">
        <v>209</v>
      </c>
      <c r="E22" s="53">
        <v>30949</v>
      </c>
      <c r="F22" s="53">
        <v>984</v>
      </c>
      <c r="G22" s="53">
        <v>552</v>
      </c>
      <c r="H22" s="53">
        <v>79</v>
      </c>
      <c r="I22" s="53">
        <v>15</v>
      </c>
      <c r="J22" s="53">
        <v>371</v>
      </c>
      <c r="K22" s="53">
        <v>4</v>
      </c>
      <c r="L22" s="53">
        <v>2</v>
      </c>
      <c r="M22" s="16"/>
      <c r="N22" s="16">
        <f t="shared" si="5"/>
        <v>103.402012</v>
      </c>
      <c r="O22" s="16"/>
      <c r="P22" s="16">
        <f t="shared" si="6"/>
        <v>6.1864080000000001</v>
      </c>
      <c r="Q22" s="16">
        <f t="shared" si="7"/>
        <v>3.2153999999999998</v>
      </c>
      <c r="R22" s="16">
        <f t="shared" si="8"/>
        <v>81.528000000000006</v>
      </c>
      <c r="S22" s="16">
        <f t="shared" si="9"/>
        <v>1.2867857142857144</v>
      </c>
      <c r="T22" s="16">
        <f t="shared" si="10"/>
        <v>8.1664519999999996</v>
      </c>
      <c r="U22" s="16">
        <f t="shared" si="11"/>
        <v>9.9199999999999997E-2</v>
      </c>
      <c r="V22" s="16">
        <f t="shared" si="12"/>
        <v>2</v>
      </c>
      <c r="W22" s="16">
        <f t="shared" si="13"/>
        <v>102.48224571428571</v>
      </c>
      <c r="X22" s="16">
        <f t="shared" si="14"/>
        <v>103.402012</v>
      </c>
      <c r="Y22" s="16">
        <f t="shared" si="15"/>
        <v>-0.91976628571428876</v>
      </c>
      <c r="Z22" s="61"/>
      <c r="AA22">
        <v>335</v>
      </c>
      <c r="AB22" s="66">
        <f t="shared" ref="AB22:AH22" si="44">(1-$AN19-$AN20)*P22</f>
        <v>4.2067574399999996</v>
      </c>
      <c r="AC22" s="66">
        <f t="shared" si="44"/>
        <v>2.1864719999999997</v>
      </c>
      <c r="AD22" s="66">
        <f t="shared" si="44"/>
        <v>55.439039999999999</v>
      </c>
      <c r="AE22" s="66">
        <f t="shared" si="44"/>
        <v>0.87501428571428574</v>
      </c>
      <c r="AF22" s="66">
        <f t="shared" si="44"/>
        <v>5.553187359999999</v>
      </c>
      <c r="AG22" s="66">
        <f t="shared" si="44"/>
        <v>6.7455999999999988E-2</v>
      </c>
      <c r="AH22" s="66">
        <f t="shared" si="44"/>
        <v>1.3599999999999999</v>
      </c>
      <c r="AI22" s="16">
        <f t="shared" si="17"/>
        <v>69.687927085714293</v>
      </c>
      <c r="AJ22" s="16">
        <f t="shared" si="18"/>
        <v>68.260471085714286</v>
      </c>
      <c r="AK22" s="16"/>
      <c r="AM22" s="64" t="s">
        <v>166</v>
      </c>
      <c r="AN22" s="68">
        <f>MECS_Total_Fuel!AM153</f>
        <v>0.34</v>
      </c>
      <c r="AO22" s="62"/>
      <c r="AP22" s="46"/>
      <c r="AQ22">
        <f>MECS_EnergyPrices!C117</f>
        <v>4.75</v>
      </c>
      <c r="AR22">
        <f>MECS_EnergyPrices!C86</f>
        <v>6.1</v>
      </c>
      <c r="AS22" s="5">
        <f>MECS_EnergyPrices!C28</f>
        <v>4.72</v>
      </c>
      <c r="AT22">
        <f>MECS_EnergyPrices!C57</f>
        <v>7.54</v>
      </c>
      <c r="AU22" s="48">
        <f>MECS_EnergyPrices!C146</f>
        <v>2.0499999999999998</v>
      </c>
      <c r="AV22" s="48"/>
      <c r="AW22" s="4"/>
      <c r="AX22" t="str">
        <f t="shared" si="19"/>
        <v>335</v>
      </c>
      <c r="AY22" s="16">
        <f t="shared" si="20"/>
        <v>68.260471085714286</v>
      </c>
      <c r="AZ22">
        <f>MECS_Total_Fuel!S22</f>
        <v>62.919467623803939</v>
      </c>
      <c r="BA22">
        <f t="shared" si="40"/>
        <v>0.92175554347986144</v>
      </c>
      <c r="BD22" s="3">
        <f t="shared" si="21"/>
        <v>62.919467623803939</v>
      </c>
      <c r="BF22" t="str">
        <f t="shared" si="3"/>
        <v>335</v>
      </c>
      <c r="BG22" s="9" t="str">
        <f t="shared" si="4"/>
        <v>Electrical Equip., Appliances, and Components</v>
      </c>
      <c r="BH22" s="4">
        <f>'[6]Table 7.6'!BG36</f>
        <v>0</v>
      </c>
      <c r="BI22" s="4">
        <f>'[6]Table 7.6'!BH36</f>
        <v>0</v>
      </c>
      <c r="BJ22">
        <f t="shared" si="22"/>
        <v>0</v>
      </c>
      <c r="BK22" s="4">
        <f t="shared" si="23"/>
        <v>69.687927085714293</v>
      </c>
      <c r="BL22" s="14">
        <f t="shared" si="24"/>
        <v>312.9734876422857</v>
      </c>
      <c r="BM22" s="4">
        <f t="shared" si="25"/>
        <v>4.49107185032691</v>
      </c>
      <c r="BP22" s="17">
        <f t="shared" si="26"/>
        <v>6.1628016523905878E-2</v>
      </c>
      <c r="BQ22" s="17">
        <f t="shared" si="27"/>
        <v>3.2031305457216365E-2</v>
      </c>
      <c r="BR22" s="17">
        <f t="shared" si="28"/>
        <v>0.81216902137088254</v>
      </c>
      <c r="BS22" s="17">
        <f t="shared" si="29"/>
        <v>1.2818755449483132E-2</v>
      </c>
      <c r="BT22" s="17">
        <f t="shared" si="30"/>
        <v>8.135290119851199E-2</v>
      </c>
      <c r="BU22" s="17">
        <v>0</v>
      </c>
      <c r="BV22" s="17">
        <v>0</v>
      </c>
      <c r="BW22">
        <f t="shared" si="31"/>
        <v>0.99999999999999989</v>
      </c>
    </row>
    <row r="23" spans="1:75" ht="15" x14ac:dyDescent="0.25">
      <c r="B23" s="6" t="s">
        <v>46</v>
      </c>
      <c r="C23" s="7" t="s">
        <v>47</v>
      </c>
      <c r="D23" s="53">
        <v>322</v>
      </c>
      <c r="E23" s="53">
        <v>33737</v>
      </c>
      <c r="F23" s="53">
        <v>2630</v>
      </c>
      <c r="G23" s="53">
        <v>1501</v>
      </c>
      <c r="H23" s="53">
        <v>121</v>
      </c>
      <c r="I23" s="53">
        <v>28</v>
      </c>
      <c r="J23" s="53">
        <v>1860</v>
      </c>
      <c r="K23" s="53">
        <v>32</v>
      </c>
      <c r="L23" s="53">
        <v>12</v>
      </c>
      <c r="M23" s="16"/>
      <c r="N23" s="16">
        <f t="shared" si="5"/>
        <v>206.88935599999999</v>
      </c>
      <c r="O23" s="16"/>
      <c r="P23" s="16">
        <f t="shared" si="6"/>
        <v>16.53481</v>
      </c>
      <c r="Q23" s="16">
        <f t="shared" si="7"/>
        <v>8.7433250000000005</v>
      </c>
      <c r="R23" s="16">
        <f t="shared" si="8"/>
        <v>124.872</v>
      </c>
      <c r="S23" s="16">
        <f t="shared" si="9"/>
        <v>2.4020000000000001</v>
      </c>
      <c r="T23" s="16">
        <f t="shared" si="10"/>
        <v>40.942319999999995</v>
      </c>
      <c r="U23" s="16">
        <f t="shared" si="11"/>
        <v>0.79359999999999997</v>
      </c>
      <c r="V23" s="16">
        <f t="shared" si="12"/>
        <v>12</v>
      </c>
      <c r="W23" s="16">
        <f t="shared" si="13"/>
        <v>206.28805499999999</v>
      </c>
      <c r="X23" s="16">
        <f t="shared" si="14"/>
        <v>206.88935599999999</v>
      </c>
      <c r="Y23" s="16">
        <f t="shared" si="15"/>
        <v>-0.60130100000000652</v>
      </c>
      <c r="Z23" s="63"/>
      <c r="AA23">
        <v>336</v>
      </c>
      <c r="AB23" s="66">
        <f t="shared" ref="AB23:AH23" si="45">P23+$AN18*P19+$AN10*P20+$AN19*P22</f>
        <v>17.279379410000004</v>
      </c>
      <c r="AC23" s="66">
        <f t="shared" si="45"/>
        <v>9.7248957499999999</v>
      </c>
      <c r="AD23" s="66">
        <f t="shared" si="45"/>
        <v>142.33344</v>
      </c>
      <c r="AE23" s="66">
        <f t="shared" si="45"/>
        <v>2.7897514285714284</v>
      </c>
      <c r="AF23" s="66">
        <f t="shared" si="45"/>
        <v>42.102132279999992</v>
      </c>
      <c r="AG23" s="66">
        <f t="shared" si="45"/>
        <v>0.86502400000000002</v>
      </c>
      <c r="AH23" s="66">
        <f t="shared" si="45"/>
        <v>12.49</v>
      </c>
      <c r="AI23" s="16">
        <f t="shared" si="17"/>
        <v>227.58462286857144</v>
      </c>
      <c r="AJ23" s="16">
        <f t="shared" si="18"/>
        <v>214.22959886857143</v>
      </c>
      <c r="AK23" s="16"/>
      <c r="AL23" s="16"/>
      <c r="AM23" s="16"/>
      <c r="AO23" s="62"/>
      <c r="AP23" s="46"/>
      <c r="AQ23">
        <f>MECS_EnergyPrices!C118</f>
        <v>4.84</v>
      </c>
      <c r="AR23">
        <f>MECS_EnergyPrices!C87</f>
        <v>6.17</v>
      </c>
      <c r="AS23" s="5">
        <f>MECS_EnergyPrices!C29</f>
        <v>4.6399999999999997</v>
      </c>
      <c r="AT23">
        <f>MECS_EnergyPrices!C58</f>
        <v>7.06</v>
      </c>
      <c r="AU23" s="48">
        <f>MECS_EnergyPrices!C147</f>
        <v>2.33</v>
      </c>
      <c r="AV23" s="48"/>
      <c r="AW23" s="4"/>
      <c r="AX23" t="str">
        <f t="shared" si="19"/>
        <v>336</v>
      </c>
      <c r="AY23" s="16">
        <f t="shared" si="20"/>
        <v>214.22959886857143</v>
      </c>
      <c r="AZ23">
        <f>MECS_Total_Fuel!S23</f>
        <v>234.98001273849101</v>
      </c>
      <c r="BA23">
        <f t="shared" si="40"/>
        <v>1.0968606298079746</v>
      </c>
      <c r="BD23" s="3">
        <f t="shared" si="21"/>
        <v>234.98001273849101</v>
      </c>
      <c r="BF23" t="str">
        <f t="shared" si="3"/>
        <v>336</v>
      </c>
      <c r="BG23" s="9" t="str">
        <f t="shared" si="4"/>
        <v>Transportation Equipment</v>
      </c>
      <c r="BH23" s="4">
        <f>'[6]Table 7.6'!BG37</f>
        <v>0</v>
      </c>
      <c r="BI23" s="4">
        <f>'[6]Table 7.6'!BH37</f>
        <v>0</v>
      </c>
      <c r="BJ23">
        <f t="shared" si="22"/>
        <v>0</v>
      </c>
      <c r="BK23" s="4">
        <f t="shared" si="23"/>
        <v>227.58462286857144</v>
      </c>
      <c r="BL23" s="14">
        <f t="shared" si="24"/>
        <v>921.85557802001438</v>
      </c>
      <c r="BM23" s="4">
        <f t="shared" si="25"/>
        <v>4.0506057324988065</v>
      </c>
      <c r="BP23" s="17">
        <f t="shared" si="26"/>
        <v>8.0658226040001127E-2</v>
      </c>
      <c r="BQ23" s="17">
        <f t="shared" si="27"/>
        <v>4.5394734440809763E-2</v>
      </c>
      <c r="BR23" s="17">
        <f t="shared" si="28"/>
        <v>0.66439670685898411</v>
      </c>
      <c r="BS23" s="17">
        <f t="shared" si="29"/>
        <v>1.3022250161999902E-2</v>
      </c>
      <c r="BT23" s="17">
        <f t="shared" si="30"/>
        <v>0.19652808249820511</v>
      </c>
      <c r="BU23" s="17">
        <v>0</v>
      </c>
      <c r="BV23" s="17">
        <v>0</v>
      </c>
      <c r="BW23">
        <f t="shared" si="31"/>
        <v>0.99999999999999989</v>
      </c>
    </row>
    <row r="24" spans="1:75" ht="15" x14ac:dyDescent="0.25">
      <c r="B24" s="6" t="s">
        <v>48</v>
      </c>
      <c r="C24" s="7" t="s">
        <v>49</v>
      </c>
      <c r="D24" s="53">
        <v>41</v>
      </c>
      <c r="E24" s="53">
        <v>4244</v>
      </c>
      <c r="F24" s="53">
        <v>145</v>
      </c>
      <c r="G24" s="53">
        <v>342</v>
      </c>
      <c r="H24" s="53">
        <v>18</v>
      </c>
      <c r="I24" s="53">
        <v>8</v>
      </c>
      <c r="J24" s="53">
        <v>89</v>
      </c>
      <c r="K24" s="53">
        <v>0</v>
      </c>
      <c r="L24" s="53">
        <v>3</v>
      </c>
      <c r="M24" s="16"/>
      <c r="N24" s="16">
        <f t="shared" si="5"/>
        <v>26.519472</v>
      </c>
      <c r="O24" s="16"/>
      <c r="P24" s="16">
        <f t="shared" si="6"/>
        <v>0.91161499999999995</v>
      </c>
      <c r="Q24" s="16">
        <f t="shared" si="7"/>
        <v>1.9921499999999999</v>
      </c>
      <c r="R24" s="16">
        <f t="shared" si="8"/>
        <v>18.576000000000001</v>
      </c>
      <c r="S24" s="16">
        <f t="shared" si="9"/>
        <v>0.68628571428571439</v>
      </c>
      <c r="T24" s="16">
        <f t="shared" si="10"/>
        <v>1.9590679999999998</v>
      </c>
      <c r="U24" s="16">
        <f t="shared" si="11"/>
        <v>0</v>
      </c>
      <c r="V24" s="16">
        <f t="shared" si="12"/>
        <v>3</v>
      </c>
      <c r="W24" s="16">
        <f t="shared" si="13"/>
        <v>27.125118714285712</v>
      </c>
      <c r="X24" s="16">
        <f t="shared" si="14"/>
        <v>26.519472</v>
      </c>
      <c r="Y24" s="16">
        <f t="shared" si="15"/>
        <v>0.6056467142857116</v>
      </c>
      <c r="Z24" s="63"/>
      <c r="AA24">
        <v>337</v>
      </c>
      <c r="AB24" s="66">
        <f>P24</f>
        <v>0.91161499999999995</v>
      </c>
      <c r="AC24" s="66">
        <f t="shared" ref="AC24:AH24" si="46">Q24</f>
        <v>1.9921499999999999</v>
      </c>
      <c r="AD24" s="66">
        <f t="shared" si="46"/>
        <v>18.576000000000001</v>
      </c>
      <c r="AE24" s="66">
        <f t="shared" si="46"/>
        <v>0.68628571428571439</v>
      </c>
      <c r="AF24" s="66">
        <f t="shared" si="46"/>
        <v>1.9590679999999998</v>
      </c>
      <c r="AG24" s="66">
        <f t="shared" si="46"/>
        <v>0</v>
      </c>
      <c r="AH24" s="66">
        <f t="shared" si="46"/>
        <v>3</v>
      </c>
      <c r="AI24" s="16">
        <f t="shared" si="17"/>
        <v>27.125118714285712</v>
      </c>
      <c r="AJ24" s="16">
        <f t="shared" si="18"/>
        <v>24.125118714285712</v>
      </c>
      <c r="AK24" s="16"/>
      <c r="AL24" s="16"/>
      <c r="AO24" s="62"/>
      <c r="AP24" s="46"/>
      <c r="AQ24">
        <f>MECS_EnergyPrices!C119</f>
        <v>4.88</v>
      </c>
      <c r="AR24">
        <f>MECS_EnergyPrices!C88</f>
        <v>6.59</v>
      </c>
      <c r="AS24" s="5">
        <f>MECS_EnergyPrices!C30</f>
        <v>5.03</v>
      </c>
      <c r="AT24">
        <f>MECS_EnergyPrices!C59</f>
        <v>7.35</v>
      </c>
      <c r="AU24" s="48">
        <f>MECS_EnergyPrices!C148</f>
        <v>2.46</v>
      </c>
      <c r="AV24" s="48"/>
      <c r="AW24" s="4"/>
      <c r="AX24" t="str">
        <f t="shared" si="19"/>
        <v>337</v>
      </c>
      <c r="AY24" s="16">
        <f t="shared" si="20"/>
        <v>24.125118714285712</v>
      </c>
      <c r="AZ24">
        <f>MECS_Total_Fuel!S24</f>
        <v>37.383822846973821</v>
      </c>
      <c r="BA24">
        <f t="shared" si="40"/>
        <v>1.5495808866149519</v>
      </c>
      <c r="BD24" s="3">
        <f t="shared" si="21"/>
        <v>37.383822846973821</v>
      </c>
      <c r="BF24" t="str">
        <f t="shared" si="3"/>
        <v>337</v>
      </c>
      <c r="BG24" s="9" t="str">
        <f t="shared" si="4"/>
        <v>Furniture and Related Products</v>
      </c>
      <c r="BH24" s="4">
        <f>'[6]Table 7.6'!BG38</f>
        <v>0</v>
      </c>
      <c r="BI24" s="4">
        <f>'[6]Table 7.6'!BH38</f>
        <v>0</v>
      </c>
      <c r="BJ24">
        <f t="shared" si="22"/>
        <v>0</v>
      </c>
      <c r="BK24" s="4">
        <f t="shared" si="23"/>
        <v>27.125118714285712</v>
      </c>
      <c r="BL24" s="14">
        <f t="shared" si="24"/>
        <v>120.87773698000001</v>
      </c>
      <c r="BM24" s="4">
        <f t="shared" si="25"/>
        <v>4.4563025973537416</v>
      </c>
      <c r="BP24" s="17">
        <f t="shared" si="26"/>
        <v>3.7786964316995721E-2</v>
      </c>
      <c r="BQ24" s="17">
        <f t="shared" si="27"/>
        <v>8.2575759464360535E-2</v>
      </c>
      <c r="BR24" s="17">
        <f t="shared" si="28"/>
        <v>0.76998584835979289</v>
      </c>
      <c r="BS24" s="17">
        <f t="shared" si="29"/>
        <v>2.8446936258155267E-2</v>
      </c>
      <c r="BT24" s="17">
        <f t="shared" si="30"/>
        <v>8.1204491600695664E-2</v>
      </c>
      <c r="BU24" s="17">
        <v>0</v>
      </c>
      <c r="BV24" s="17">
        <v>0</v>
      </c>
      <c r="BW24">
        <f t="shared" si="31"/>
        <v>1.0000000000000002</v>
      </c>
    </row>
    <row r="25" spans="1:75" ht="15" x14ac:dyDescent="0.25">
      <c r="B25" s="6" t="s">
        <v>50</v>
      </c>
      <c r="C25" s="7" t="s">
        <v>51</v>
      </c>
      <c r="D25" s="53">
        <v>30</v>
      </c>
      <c r="E25" s="53">
        <v>3191</v>
      </c>
      <c r="F25" s="53">
        <v>312</v>
      </c>
      <c r="G25" s="53">
        <v>164</v>
      </c>
      <c r="H25" s="53">
        <v>14</v>
      </c>
      <c r="I25" s="53">
        <v>3</v>
      </c>
      <c r="J25" s="53">
        <v>48</v>
      </c>
      <c r="K25" s="53">
        <v>0</v>
      </c>
      <c r="L25" s="53">
        <v>1</v>
      </c>
      <c r="M25" s="16"/>
      <c r="N25" s="16">
        <f t="shared" si="5"/>
        <v>19.112307999999999</v>
      </c>
      <c r="O25" s="16"/>
      <c r="P25" s="16">
        <f t="shared" si="6"/>
        <v>1.961544</v>
      </c>
      <c r="Q25" s="16">
        <f t="shared" si="7"/>
        <v>0.95529999999999993</v>
      </c>
      <c r="R25" s="16">
        <f t="shared" si="8"/>
        <v>14.448</v>
      </c>
      <c r="S25" s="16">
        <f t="shared" si="9"/>
        <v>0.2573571428571429</v>
      </c>
      <c r="T25" s="16">
        <f t="shared" si="10"/>
        <v>1.056576</v>
      </c>
      <c r="U25" s="16">
        <f t="shared" si="11"/>
        <v>0</v>
      </c>
      <c r="V25" s="16">
        <f t="shared" si="12"/>
        <v>1</v>
      </c>
      <c r="W25" s="16">
        <f t="shared" si="13"/>
        <v>19.678777142857143</v>
      </c>
      <c r="X25" s="16">
        <f t="shared" si="14"/>
        <v>19.112307999999999</v>
      </c>
      <c r="Y25" s="16">
        <f t="shared" si="15"/>
        <v>0.56646914285714445</v>
      </c>
      <c r="Z25" s="61"/>
      <c r="AA25">
        <v>339</v>
      </c>
      <c r="AB25" s="66">
        <f t="shared" ref="AB25:AH25" si="47">P25+$AN16*P21</f>
        <v>4.6815440000000006</v>
      </c>
      <c r="AC25" s="66">
        <f t="shared" si="47"/>
        <v>1.3414975</v>
      </c>
      <c r="AD25" s="66">
        <f t="shared" si="47"/>
        <v>21.465600000000002</v>
      </c>
      <c r="AE25" s="66">
        <f t="shared" si="47"/>
        <v>0.2573571428571429</v>
      </c>
      <c r="AF25" s="66">
        <f t="shared" si="47"/>
        <v>6.4965760000000001</v>
      </c>
      <c r="AG25" s="66">
        <f t="shared" si="47"/>
        <v>0</v>
      </c>
      <c r="AH25" s="66">
        <f t="shared" si="47"/>
        <v>1.34</v>
      </c>
      <c r="AI25" s="16">
        <f t="shared" si="17"/>
        <v>35.582574642857146</v>
      </c>
      <c r="AJ25" s="16">
        <f t="shared" si="18"/>
        <v>34.242574642857143</v>
      </c>
      <c r="AK25" s="16"/>
      <c r="AO25" s="62"/>
      <c r="AP25" s="46"/>
      <c r="AQ25">
        <f>MECS_EnergyPrices!C120</f>
        <v>4.95</v>
      </c>
      <c r="AR25">
        <f>MECS_EnergyPrices!C89</f>
        <v>6.61</v>
      </c>
      <c r="AS25" s="5">
        <f>MECS_EnergyPrices!C31</f>
        <v>3.72</v>
      </c>
      <c r="AT25">
        <f>MECS_EnergyPrices!C60</f>
        <v>10</v>
      </c>
      <c r="AU25" s="48">
        <f>MECS_EnergyPrices!C149</f>
        <v>2.2599999999999998</v>
      </c>
      <c r="AV25" s="48"/>
      <c r="AW25" s="4"/>
      <c r="AX25" t="str">
        <f t="shared" si="19"/>
        <v>339</v>
      </c>
      <c r="AY25" s="16">
        <f t="shared" si="20"/>
        <v>34.242574642857143</v>
      </c>
      <c r="AZ25">
        <f>MECS_Total_Fuel!S25</f>
        <v>33.863505680901589</v>
      </c>
      <c r="BA25">
        <f t="shared" si="40"/>
        <v>0.988929893096265</v>
      </c>
      <c r="BD25" s="3">
        <f t="shared" si="21"/>
        <v>33.863505680901589</v>
      </c>
      <c r="BF25" t="str">
        <f t="shared" si="3"/>
        <v>339</v>
      </c>
      <c r="BG25" s="9" t="str">
        <f t="shared" si="4"/>
        <v>Miscellaneous</v>
      </c>
      <c r="BH25" s="4">
        <f>'[6]Table 7.6'!BG39</f>
        <v>0</v>
      </c>
      <c r="BI25" s="4">
        <f>'[6]Table 7.6'!BH39</f>
        <v>0</v>
      </c>
      <c r="BJ25">
        <f t="shared" si="22"/>
        <v>0</v>
      </c>
      <c r="BK25" s="4">
        <f t="shared" si="23"/>
        <v>35.582574642857146</v>
      </c>
      <c r="BL25" s="14">
        <f t="shared" si="24"/>
        <v>129.14880646357142</v>
      </c>
      <c r="BM25" s="4">
        <f t="shared" si="25"/>
        <v>3.6295520422521412</v>
      </c>
      <c r="BP25" s="17">
        <f t="shared" si="26"/>
        <v>0.13671705614509191</v>
      </c>
      <c r="BQ25" s="17">
        <f t="shared" si="27"/>
        <v>3.9176303592575526E-2</v>
      </c>
      <c r="BR25" s="17">
        <f t="shared" si="28"/>
        <v>0.6268687510761588</v>
      </c>
      <c r="BS25" s="17">
        <f t="shared" si="29"/>
        <v>7.515706559489869E-3</v>
      </c>
      <c r="BT25" s="17">
        <f t="shared" si="30"/>
        <v>0.18972218262668397</v>
      </c>
      <c r="BU25" s="17">
        <v>0</v>
      </c>
      <c r="BV25" s="17">
        <v>0</v>
      </c>
      <c r="BW25">
        <f t="shared" si="31"/>
        <v>1.0000000000000002</v>
      </c>
    </row>
    <row r="26" spans="1:75" ht="15" x14ac:dyDescent="0.25">
      <c r="B26" s="6"/>
      <c r="C26" s="8" t="s">
        <v>0</v>
      </c>
      <c r="D26" s="21">
        <v>9698</v>
      </c>
      <c r="E26" s="21">
        <v>653968</v>
      </c>
      <c r="F26" s="21">
        <v>64557</v>
      </c>
      <c r="G26" s="21">
        <v>30728</v>
      </c>
      <c r="H26" s="21">
        <v>4456</v>
      </c>
      <c r="I26" s="21">
        <v>618</v>
      </c>
      <c r="J26" s="21">
        <v>58584</v>
      </c>
      <c r="K26" s="21">
        <v>8702</v>
      </c>
      <c r="L26" s="21">
        <v>723</v>
      </c>
      <c r="M26" s="16">
        <f>[7]M98_01p1!L60</f>
        <v>10126</v>
      </c>
      <c r="N26" s="16">
        <f t="shared" si="5"/>
        <v>7466.6611840000005</v>
      </c>
      <c r="O26" s="16"/>
      <c r="P26" s="16">
        <f t="shared" si="6"/>
        <v>405.86985899999996</v>
      </c>
      <c r="Q26" s="16">
        <f t="shared" si="7"/>
        <v>178.9906</v>
      </c>
      <c r="R26" s="16">
        <f t="shared" si="8"/>
        <v>4598.5919999999996</v>
      </c>
      <c r="S26" s="16">
        <f t="shared" si="9"/>
        <v>53.015571428571434</v>
      </c>
      <c r="T26" s="16">
        <f t="shared" si="10"/>
        <v>1289.5510079999999</v>
      </c>
      <c r="U26" s="16">
        <f t="shared" si="11"/>
        <v>215.80959999999999</v>
      </c>
      <c r="V26" s="16">
        <f t="shared" si="12"/>
        <v>723</v>
      </c>
      <c r="W26" s="16">
        <f t="shared" si="13"/>
        <v>7464.8286384285702</v>
      </c>
      <c r="X26" s="16">
        <f t="shared" si="14"/>
        <v>7466.6611840000005</v>
      </c>
      <c r="Y26" s="16">
        <f t="shared" si="15"/>
        <v>-1.8325455714302734</v>
      </c>
      <c r="Z26" s="63"/>
      <c r="AB26" s="61"/>
      <c r="AG26" s="16"/>
      <c r="AH26" s="16"/>
      <c r="AI26" s="16"/>
      <c r="AJ26" s="16"/>
      <c r="AK26" s="16"/>
      <c r="AL26" s="16"/>
      <c r="AO26" s="63"/>
      <c r="AP26" s="46"/>
      <c r="AQ26">
        <f>MECS_EnergyPrices!C121</f>
        <v>4.33</v>
      </c>
      <c r="AR26">
        <f>MECS_EnergyPrices!C90</f>
        <v>6.18</v>
      </c>
      <c r="AS26" s="5"/>
      <c r="AT26">
        <f>MECS_EnergyPrices!C61</f>
        <v>5.28</v>
      </c>
      <c r="AU26" s="48">
        <f>MECS_EnergyPrices!C150</f>
        <v>2.14</v>
      </c>
      <c r="AV26" s="48"/>
      <c r="AW26" s="4"/>
      <c r="BL26" s="14"/>
    </row>
    <row r="27" spans="1:75" ht="15" x14ac:dyDescent="0.25">
      <c r="B27" s="6"/>
      <c r="C27" s="8" t="s">
        <v>52</v>
      </c>
      <c r="D27" s="21">
        <f>SUM(D5:D25)</f>
        <v>9697</v>
      </c>
      <c r="E27" s="21">
        <f t="shared" ref="E27:L27" si="48">SUM(E5:E25)</f>
        <v>653951</v>
      </c>
      <c r="F27" s="21">
        <f t="shared" si="48"/>
        <v>63166</v>
      </c>
      <c r="G27" s="21">
        <f t="shared" si="48"/>
        <v>30729</v>
      </c>
      <c r="H27" s="21">
        <f t="shared" si="48"/>
        <v>4457</v>
      </c>
      <c r="I27" s="21">
        <f t="shared" si="48"/>
        <v>616</v>
      </c>
      <c r="J27" s="21">
        <f t="shared" si="48"/>
        <v>57740</v>
      </c>
      <c r="K27" s="21">
        <f t="shared" si="48"/>
        <v>8701</v>
      </c>
      <c r="L27" s="21">
        <f t="shared" si="48"/>
        <v>725.3</v>
      </c>
      <c r="M27" s="21">
        <f>[7]M98_01p1!L61</f>
        <v>10126.550000000001</v>
      </c>
      <c r="N27" s="21">
        <f>[7]M98_01p1!M61</f>
        <v>10126</v>
      </c>
      <c r="O27" s="21"/>
      <c r="P27" s="21">
        <f t="shared" ref="P27:Y27" si="49">SUM(P5:P25)</f>
        <v>406.12464199999999</v>
      </c>
      <c r="Q27" s="21">
        <f t="shared" si="49"/>
        <v>178.99642499999996</v>
      </c>
      <c r="R27" s="21">
        <f t="shared" si="49"/>
        <v>4599.6240000000016</v>
      </c>
      <c r="S27" s="21">
        <f t="shared" si="49"/>
        <v>52.844000000000008</v>
      </c>
      <c r="T27" s="21">
        <f t="shared" si="49"/>
        <v>1287.9728799999996</v>
      </c>
      <c r="U27" s="21">
        <f t="shared" si="49"/>
        <v>215.78479999999999</v>
      </c>
      <c r="V27" s="21">
        <f t="shared" si="49"/>
        <v>726.1</v>
      </c>
      <c r="W27" s="21">
        <f t="shared" si="49"/>
        <v>7467.446747</v>
      </c>
      <c r="X27" s="21">
        <f t="shared" si="49"/>
        <v>7465.7191879999991</v>
      </c>
      <c r="Y27" s="21">
        <f t="shared" si="49"/>
        <v>1.7275590000001433</v>
      </c>
      <c r="Z27" s="67"/>
      <c r="AA27" s="21"/>
      <c r="AB27" s="21">
        <f>SUM(AB5:AB26)</f>
        <v>406.12464199999988</v>
      </c>
      <c r="AC27" s="21">
        <f>SUM(AC5:AC26)</f>
        <v>178.99642500000002</v>
      </c>
      <c r="AD27" s="21">
        <f>SUM(AD5:AD26)</f>
        <v>4599.6240000000007</v>
      </c>
      <c r="AE27" s="21">
        <f t="shared" ref="AE27:AH27" si="50">SUM(AE5:AE26)</f>
        <v>52.844000000000008</v>
      </c>
      <c r="AF27" s="21">
        <f t="shared" si="50"/>
        <v>1287.9728799999998</v>
      </c>
      <c r="AG27" s="21">
        <f t="shared" si="50"/>
        <v>215.78479999999999</v>
      </c>
      <c r="AH27" s="21">
        <f t="shared" si="50"/>
        <v>726.10000000000014</v>
      </c>
      <c r="AI27" s="21"/>
      <c r="AJ27" s="21"/>
      <c r="AK27" s="21"/>
      <c r="AL27" s="21"/>
      <c r="AO27" s="61"/>
      <c r="AW27" s="4"/>
    </row>
    <row r="28" spans="1:75" x14ac:dyDescent="0.2">
      <c r="Z28" s="61"/>
    </row>
    <row r="29" spans="1:75" x14ac:dyDescent="0.2">
      <c r="AP29">
        <f>1.4*10^9*53</f>
        <v>74200000000</v>
      </c>
    </row>
    <row r="30" spans="1:75" ht="25.5" x14ac:dyDescent="0.2">
      <c r="B30" s="13">
        <v>1988</v>
      </c>
      <c r="C30" t="s">
        <v>141</v>
      </c>
      <c r="F30" t="s">
        <v>53</v>
      </c>
      <c r="G30" t="s">
        <v>54</v>
      </c>
      <c r="I30" t="s">
        <v>55</v>
      </c>
      <c r="K30" t="s">
        <v>56</v>
      </c>
      <c r="AA30">
        <v>1988</v>
      </c>
      <c r="AN30" s="65"/>
      <c r="AY30" t="s">
        <v>185</v>
      </c>
      <c r="BP30" s="11" t="s">
        <v>85</v>
      </c>
      <c r="BQ30">
        <v>1988</v>
      </c>
    </row>
    <row r="31" spans="1:75" ht="51.75" x14ac:dyDescent="0.25">
      <c r="D31" t="s">
        <v>0</v>
      </c>
      <c r="E31" t="s">
        <v>57</v>
      </c>
      <c r="F31" t="s">
        <v>58</v>
      </c>
      <c r="G31" t="s">
        <v>54</v>
      </c>
      <c r="H31" t="s">
        <v>60</v>
      </c>
      <c r="I31" t="s">
        <v>55</v>
      </c>
      <c r="J31" t="s">
        <v>62</v>
      </c>
      <c r="K31" t="s">
        <v>63</v>
      </c>
      <c r="L31" t="s">
        <v>64</v>
      </c>
      <c r="M31" t="s">
        <v>65</v>
      </c>
      <c r="N31" t="s">
        <v>66</v>
      </c>
      <c r="P31" s="40" t="str">
        <f>F31</f>
        <v>Fuel Oil</v>
      </c>
      <c r="Q31" s="40" t="str">
        <f t="shared" ref="Q31" si="51">G31</f>
        <v>Distillate</v>
      </c>
      <c r="R31" s="40" t="str">
        <f t="shared" ref="R31" si="52">H31</f>
        <v>Natural Gas(d)</v>
      </c>
      <c r="S31" s="40" t="str">
        <f t="shared" ref="S31" si="53">I31</f>
        <v>LPG and</v>
      </c>
      <c r="T31" s="40" t="str">
        <f t="shared" ref="T31" si="54">J31</f>
        <v>Coal</v>
      </c>
      <c r="U31" s="40" t="s">
        <v>140</v>
      </c>
      <c r="V31" s="40" t="str">
        <f t="shared" ref="V31" si="55">L31</f>
        <v>Other(f)</v>
      </c>
      <c r="W31" s="40" t="s">
        <v>137</v>
      </c>
      <c r="X31" s="40" t="s">
        <v>66</v>
      </c>
      <c r="Y31" s="40" t="s">
        <v>138</v>
      </c>
      <c r="Z31" s="40"/>
      <c r="AA31" s="40"/>
      <c r="AB31" s="40" t="str">
        <f t="shared" ref="AB31" si="56">P31</f>
        <v>Fuel Oil</v>
      </c>
      <c r="AC31" s="40" t="str">
        <f t="shared" ref="AC31" si="57">Q31</f>
        <v>Distillate</v>
      </c>
      <c r="AD31" s="40" t="str">
        <f t="shared" ref="AD31" si="58">R31</f>
        <v>Natural Gas(d)</v>
      </c>
      <c r="AE31" s="40" t="str">
        <f t="shared" ref="AE31" si="59">S31</f>
        <v>LPG and</v>
      </c>
      <c r="AF31" s="40" t="str">
        <f t="shared" ref="AF31" si="60">T31</f>
        <v>Coal</v>
      </c>
      <c r="AG31" s="40" t="str">
        <f t="shared" ref="AG31" si="61">U31</f>
        <v>Coke and Breeze</v>
      </c>
      <c r="AH31" s="40" t="str">
        <f t="shared" ref="AH31" si="62">V31</f>
        <v>Other(f)</v>
      </c>
      <c r="AI31" s="40" t="str">
        <f t="shared" ref="AI31" si="63">W31</f>
        <v xml:space="preserve"> Calc. Total</v>
      </c>
      <c r="AJ31" s="40" t="s">
        <v>171</v>
      </c>
      <c r="AK31" s="40"/>
      <c r="AL31" s="40"/>
      <c r="AM31" s="40"/>
      <c r="AN31" s="40"/>
      <c r="AP31" t="s">
        <v>2</v>
      </c>
      <c r="AQ31" t="s">
        <v>58</v>
      </c>
      <c r="AR31" t="s">
        <v>54</v>
      </c>
      <c r="AS31" t="s">
        <v>60</v>
      </c>
      <c r="AT31" t="s">
        <v>68</v>
      </c>
      <c r="AU31" t="s">
        <v>62</v>
      </c>
      <c r="AV31" t="s">
        <v>140</v>
      </c>
      <c r="AW31" t="s">
        <v>64</v>
      </c>
      <c r="AY31" s="40" t="s">
        <v>171</v>
      </c>
      <c r="AZ31" s="40" t="s">
        <v>186</v>
      </c>
      <c r="BA31" s="40" t="s">
        <v>187</v>
      </c>
      <c r="BC31" s="40" t="s">
        <v>192</v>
      </c>
      <c r="BD31" s="40" t="s">
        <v>190</v>
      </c>
      <c r="BF31" s="20">
        <v>1988</v>
      </c>
      <c r="BH31" s="11" t="s">
        <v>76</v>
      </c>
      <c r="BI31" s="11" t="s">
        <v>72</v>
      </c>
      <c r="BJ31" s="11" t="s">
        <v>73</v>
      </c>
      <c r="BK31" s="11" t="s">
        <v>74</v>
      </c>
      <c r="BL31" s="11" t="s">
        <v>91</v>
      </c>
      <c r="BM31" s="11" t="s">
        <v>77</v>
      </c>
      <c r="BP31" s="17" t="s">
        <v>53</v>
      </c>
      <c r="BQ31" s="17" t="s">
        <v>54</v>
      </c>
      <c r="BR31" s="17" t="s">
        <v>67</v>
      </c>
      <c r="BS31" s="17" t="s">
        <v>68</v>
      </c>
      <c r="BT31" s="17" t="s">
        <v>71</v>
      </c>
      <c r="BU31" s="17" t="s">
        <v>56</v>
      </c>
      <c r="BV31" s="17" t="s">
        <v>69</v>
      </c>
    </row>
    <row r="32" spans="1:75" ht="15" x14ac:dyDescent="0.25">
      <c r="B32" s="6" t="s">
        <v>10</v>
      </c>
      <c r="C32" s="7" t="s">
        <v>11</v>
      </c>
      <c r="D32" s="14">
        <v>946</v>
      </c>
      <c r="E32" s="14">
        <v>51690</v>
      </c>
      <c r="F32" s="56">
        <v>0</v>
      </c>
      <c r="G32" s="56">
        <v>0</v>
      </c>
      <c r="H32" s="14">
        <v>473</v>
      </c>
      <c r="I32" s="56">
        <v>0</v>
      </c>
      <c r="J32" s="14">
        <v>6796</v>
      </c>
      <c r="K32" s="56">
        <v>0</v>
      </c>
      <c r="L32" s="14">
        <v>35</v>
      </c>
      <c r="M32" s="14"/>
      <c r="N32" s="16">
        <f>D32-0.003412*E32</f>
        <v>769.63372000000004</v>
      </c>
      <c r="O32" s="14"/>
      <c r="P32" s="55">
        <v>50</v>
      </c>
      <c r="Q32" s="55">
        <v>33</v>
      </c>
      <c r="R32" s="16">
        <f>H32*R$2*0.001</f>
        <v>488.13600000000002</v>
      </c>
      <c r="S32" s="55">
        <v>10</v>
      </c>
      <c r="T32" s="16">
        <f>J32*T$2*0.000001</f>
        <v>149.59355199999999</v>
      </c>
      <c r="U32" s="55">
        <v>3</v>
      </c>
      <c r="V32" s="16">
        <f>L32*V$2</f>
        <v>35</v>
      </c>
      <c r="W32" s="16">
        <f>SUM(P32:V32)</f>
        <v>768.72955200000001</v>
      </c>
      <c r="X32" s="16">
        <f>N32</f>
        <v>769.63372000000004</v>
      </c>
      <c r="Y32" s="16">
        <f>W32-X32</f>
        <v>-0.90416800000002695</v>
      </c>
      <c r="Z32" s="16"/>
      <c r="AA32">
        <v>311</v>
      </c>
      <c r="AB32" s="16">
        <f>P32-P87*P32</f>
        <v>45.147092888580033</v>
      </c>
      <c r="AC32" s="16">
        <f t="shared" ref="AC32:AH32" si="64">Q32-Q87*Q32</f>
        <v>32.354686446392449</v>
      </c>
      <c r="AD32" s="16">
        <f t="shared" si="64"/>
        <v>466.52837022132798</v>
      </c>
      <c r="AE32" s="16">
        <f t="shared" si="64"/>
        <v>9.9440167949615113</v>
      </c>
      <c r="AF32" s="16">
        <f t="shared" si="64"/>
        <v>134.31609681238245</v>
      </c>
      <c r="AG32" s="16">
        <f t="shared" si="64"/>
        <v>3</v>
      </c>
      <c r="AH32" s="16">
        <f t="shared" si="64"/>
        <v>34.469696969696969</v>
      </c>
      <c r="AI32" s="16">
        <f>SUM(AB32:AH32)</f>
        <v>725.75996013334134</v>
      </c>
      <c r="AJ32" s="16">
        <f>AI32-AG32-AH32</f>
        <v>688.29026316364434</v>
      </c>
      <c r="AK32" s="16"/>
      <c r="AL32" s="16"/>
      <c r="AM32" s="16"/>
      <c r="AN32" s="16"/>
      <c r="AP32" s="4"/>
      <c r="AQ32" s="4">
        <f>MECS_EnergyPrices!D100</f>
        <v>2.65</v>
      </c>
      <c r="AR32" s="4">
        <f>MECS_EnergyPrices!D69</f>
        <v>4.9862000000000002</v>
      </c>
      <c r="AS32" s="5">
        <f>MECS_EnergyPrices!D11</f>
        <v>2.91</v>
      </c>
      <c r="AT32">
        <f>MECS_EnergyPrices!D40</f>
        <v>6.72</v>
      </c>
      <c r="AU32" s="48">
        <f>MECS_EnergyPrices!D129</f>
        <v>1.54</v>
      </c>
      <c r="AV32" s="4"/>
      <c r="AW32" s="4"/>
      <c r="AX32" t="str">
        <f>AX5</f>
        <v>311</v>
      </c>
      <c r="AY32" s="16">
        <f>AJ32</f>
        <v>688.29026316364434</v>
      </c>
      <c r="BA32">
        <f>BC32/(AY32+AY33)</f>
        <v>1.1324136040950132</v>
      </c>
      <c r="BB32">
        <f>MECS_Total_Fuel!I34</f>
        <v>824.69712800000002</v>
      </c>
      <c r="BC32">
        <f>MECS_Total_Fuel!S34</f>
        <v>851.12053122624513</v>
      </c>
      <c r="BD32" s="3">
        <f>BA32*AY32</f>
        <v>779.42925757264766</v>
      </c>
      <c r="BF32" t="str">
        <f t="shared" ref="BF32:BF52" si="65">B32</f>
        <v>311</v>
      </c>
      <c r="BG32" s="9" t="str">
        <f t="shared" ref="BG32:BG52" si="66">C32</f>
        <v>Food</v>
      </c>
      <c r="BH32" s="4">
        <f>'[6]Table 7.6'!BG46</f>
        <v>0</v>
      </c>
      <c r="BI32" s="4">
        <f>'[6]Table 7.6'!BH46</f>
        <v>0</v>
      </c>
      <c r="BJ32">
        <f>E32*AP32</f>
        <v>0</v>
      </c>
      <c r="BK32" s="4">
        <f>AI32</f>
        <v>725.75996013334134</v>
      </c>
      <c r="BL32" s="14">
        <f>SUMPRODUCT(AB32:AF32,AQ32:AU32)</f>
        <v>1912.2348730110139</v>
      </c>
      <c r="BM32" s="4">
        <f>BL32/BK32</f>
        <v>2.6348034860722898</v>
      </c>
      <c r="BN32" s="3"/>
      <c r="BP32" s="17">
        <f>AB32/$AJ32</f>
        <v>6.5593101202778586E-2</v>
      </c>
      <c r="BQ32" s="17">
        <f t="shared" ref="BQ32:BQ34" si="67">AC32/$AJ32</f>
        <v>4.7007328416470665E-2</v>
      </c>
      <c r="BR32" s="17">
        <f t="shared" ref="BR32:BR34" si="68">AD32/$AJ32</f>
        <v>0.67780759831903736</v>
      </c>
      <c r="BS32" s="17">
        <f t="shared" ref="BS32:BS34" si="69">AE32/$AJ32</f>
        <v>1.4447417502689956E-2</v>
      </c>
      <c r="BT32" s="17">
        <f t="shared" ref="BT32:BT34" si="70">AF32/$AJ32</f>
        <v>0.19514455455902352</v>
      </c>
      <c r="BU32" s="17">
        <v>0</v>
      </c>
      <c r="BV32" s="17">
        <v>0</v>
      </c>
      <c r="BW32">
        <f>SUM(BP32:BV32)</f>
        <v>1</v>
      </c>
    </row>
    <row r="33" spans="2:75" ht="15" x14ac:dyDescent="0.25">
      <c r="B33" s="6" t="s">
        <v>12</v>
      </c>
      <c r="C33" s="7" t="s">
        <v>134</v>
      </c>
      <c r="D33" s="14">
        <v>26</v>
      </c>
      <c r="E33" s="14">
        <v>1454</v>
      </c>
      <c r="F33" s="14">
        <v>217</v>
      </c>
      <c r="G33" s="14">
        <v>81</v>
      </c>
      <c r="H33" s="14">
        <v>2</v>
      </c>
      <c r="I33" s="14">
        <v>1</v>
      </c>
      <c r="J33" s="14">
        <v>767</v>
      </c>
      <c r="K33" s="14">
        <v>0</v>
      </c>
      <c r="L33" s="29">
        <v>0.5</v>
      </c>
      <c r="M33" s="14"/>
      <c r="N33" s="16">
        <f t="shared" ref="N33:N53" si="71">D33-0.003412*E33</f>
        <v>21.038952000000002</v>
      </c>
      <c r="O33" s="14"/>
      <c r="P33" s="16">
        <f t="shared" ref="P33:P37" si="72">F33*P$2*0.000001</f>
        <v>1.364279</v>
      </c>
      <c r="Q33" s="16">
        <f t="shared" ref="Q33:Q53" si="73">G33*Q$2*0.000001</f>
        <v>0.47182499999999999</v>
      </c>
      <c r="R33" s="16">
        <f t="shared" ref="R33:R53" si="74">H33*R$2*0.001</f>
        <v>2.0640000000000001</v>
      </c>
      <c r="S33" s="16">
        <f t="shared" ref="S33:S53" si="75">I33*S$2*0.001</f>
        <v>8.5785714285714298E-2</v>
      </c>
      <c r="T33" s="16">
        <f t="shared" ref="T33:T37" si="76">J33*T$2*0.000001</f>
        <v>16.883203999999999</v>
      </c>
      <c r="U33" s="16">
        <f t="shared" ref="U33:U53" si="77">K33*U$2*0.000001</f>
        <v>0</v>
      </c>
      <c r="V33" s="16">
        <f t="shared" ref="V33:V35" si="78">L33*V$2</f>
        <v>0.5</v>
      </c>
      <c r="W33" s="16">
        <f t="shared" ref="W33:W53" si="79">SUM(P33:V33)</f>
        <v>21.369093714285714</v>
      </c>
      <c r="X33" s="16">
        <f t="shared" ref="X33:X53" si="80">N33</f>
        <v>21.038952000000002</v>
      </c>
      <c r="Y33" s="16">
        <f t="shared" ref="Y33:Y53" si="81">W33-X33</f>
        <v>0.3301417142857126</v>
      </c>
      <c r="Z33" s="16"/>
      <c r="AA33">
        <v>312</v>
      </c>
      <c r="AB33" s="16">
        <f>P33+P87*P32</f>
        <v>6.2171861114199674</v>
      </c>
      <c r="AC33" s="16">
        <f t="shared" ref="AC33:AH33" si="82">Q33+Q87*Q32</f>
        <v>1.1171385536075522</v>
      </c>
      <c r="AD33" s="16">
        <f t="shared" si="82"/>
        <v>23.671629778672031</v>
      </c>
      <c r="AE33" s="16">
        <f t="shared" si="82"/>
        <v>0.14176891932420277</v>
      </c>
      <c r="AF33" s="16">
        <f t="shared" si="82"/>
        <v>32.160659187617533</v>
      </c>
      <c r="AG33" s="16">
        <f t="shared" si="82"/>
        <v>0</v>
      </c>
      <c r="AH33" s="16">
        <f t="shared" si="82"/>
        <v>1.0303030303030303</v>
      </c>
      <c r="AI33" s="16">
        <f t="shared" ref="AI33:AI52" si="83">SUM(AB33:AH33)</f>
        <v>64.338685580944315</v>
      </c>
      <c r="AJ33" s="16">
        <f t="shared" ref="AJ33:AJ52" si="84">AI33-AG33-AH33</f>
        <v>63.308382550641284</v>
      </c>
      <c r="AK33" s="16"/>
      <c r="AL33" s="16"/>
      <c r="AM33" s="16"/>
      <c r="AN33" s="16"/>
      <c r="AP33" s="4"/>
      <c r="AQ33" s="4">
        <f>MECS_EnergyPrices!D101</f>
        <v>2.6379999999999999</v>
      </c>
      <c r="AR33" s="4">
        <f>MECS_EnergyPrices!D70</f>
        <v>5.766</v>
      </c>
      <c r="AS33" s="5">
        <f>MECS_EnergyPrices!D12</f>
        <v>3.42</v>
      </c>
      <c r="AT33">
        <f>MECS_EnergyPrices!D41</f>
        <v>6.8040000000000003</v>
      </c>
      <c r="AU33" s="48">
        <f>MECS_EnergyPrices!D130</f>
        <v>1.69</v>
      </c>
      <c r="AV33" s="4"/>
      <c r="AW33" s="4"/>
      <c r="AX33" t="str">
        <f t="shared" ref="AX33:AX52" si="85">AX6</f>
        <v>312</v>
      </c>
      <c r="AY33" s="16">
        <f t="shared" ref="AY33:AY52" si="86">AJ33</f>
        <v>63.308382550641284</v>
      </c>
      <c r="BA33">
        <f>BA32</f>
        <v>1.1324136040950132</v>
      </c>
      <c r="BB33">
        <f>MECS_Total_Fuel!I35</f>
        <v>21.052032000000001</v>
      </c>
      <c r="BC33">
        <f>MECS_Total_Fuel!S35</f>
        <v>168.48905994885055</v>
      </c>
      <c r="BD33" s="3">
        <f t="shared" ref="BD33:BD52" si="87">BA33*AY33</f>
        <v>71.691273653597548</v>
      </c>
      <c r="BF33" t="str">
        <f t="shared" si="65"/>
        <v>312</v>
      </c>
      <c r="BG33" s="9" t="str">
        <f t="shared" si="66"/>
        <v>Tobacco</v>
      </c>
      <c r="BH33" s="4">
        <f>'[6]Table 7.6'!BG47</f>
        <v>0</v>
      </c>
      <c r="BI33" s="4">
        <f>'[6]Table 7.6'!BH47</f>
        <v>0</v>
      </c>
      <c r="BJ33">
        <f t="shared" ref="BJ33:BJ52" si="88">E33*AP33</f>
        <v>0</v>
      </c>
      <c r="BK33" s="4">
        <f t="shared" ref="BK33:BK52" si="89">AI33</f>
        <v>64.338685580944315</v>
      </c>
      <c r="BL33" s="14">
        <f t="shared" ref="BL33:BL52" si="90">SUMPRODUCT(AB33:AF33,AQ33:AU33)</f>
        <v>159.11544145924086</v>
      </c>
      <c r="BM33" s="4">
        <f t="shared" ref="BM33:BM34" si="91">BL33/BK33</f>
        <v>2.4730912672914056</v>
      </c>
      <c r="BN33" s="3"/>
      <c r="BP33" s="17">
        <f t="shared" ref="BP33:BP34" si="92">AB33/$AJ33</f>
        <v>9.8204785226454816E-2</v>
      </c>
      <c r="BQ33" s="17">
        <f t="shared" si="67"/>
        <v>1.7645981599892197E-2</v>
      </c>
      <c r="BR33" s="17">
        <f t="shared" si="68"/>
        <v>0.37390988088720722</v>
      </c>
      <c r="BS33" s="17">
        <f t="shared" si="69"/>
        <v>2.2393388302220448E-3</v>
      </c>
      <c r="BT33" s="17">
        <f t="shared" si="70"/>
        <v>0.5080000134562237</v>
      </c>
      <c r="BU33" s="17">
        <v>0</v>
      </c>
      <c r="BV33" s="17">
        <v>0</v>
      </c>
      <c r="BW33">
        <f t="shared" ref="BW33:BW52" si="93">SUM(BP33:BV33)</f>
        <v>1</v>
      </c>
    </row>
    <row r="34" spans="2:75" ht="15" x14ac:dyDescent="0.25">
      <c r="B34" s="6" t="s">
        <v>14</v>
      </c>
      <c r="C34" s="7" t="s">
        <v>15</v>
      </c>
      <c r="D34" s="14">
        <v>276</v>
      </c>
      <c r="E34" s="14">
        <v>29684</v>
      </c>
      <c r="F34" s="14">
        <v>3024</v>
      </c>
      <c r="G34" s="14">
        <v>1144</v>
      </c>
      <c r="H34" s="14">
        <v>90</v>
      </c>
      <c r="I34" s="14">
        <v>31</v>
      </c>
      <c r="J34" s="14">
        <v>1760</v>
      </c>
      <c r="K34" s="29">
        <v>0.5</v>
      </c>
      <c r="L34" s="14">
        <v>15</v>
      </c>
      <c r="M34" s="14"/>
      <c r="N34" s="16">
        <f t="shared" si="71"/>
        <v>174.71819199999999</v>
      </c>
      <c r="O34" s="14"/>
      <c r="P34" s="16">
        <f t="shared" si="72"/>
        <v>19.011887999999999</v>
      </c>
      <c r="Q34" s="16">
        <f t="shared" si="73"/>
        <v>6.6637999999999993</v>
      </c>
      <c r="R34" s="16">
        <f t="shared" si="74"/>
        <v>92.88</v>
      </c>
      <c r="S34" s="16">
        <f t="shared" si="75"/>
        <v>2.659357142857143</v>
      </c>
      <c r="T34" s="16">
        <f t="shared" si="76"/>
        <v>38.741119999999995</v>
      </c>
      <c r="U34" s="16">
        <f t="shared" si="77"/>
        <v>1.24E-2</v>
      </c>
      <c r="V34" s="16">
        <f t="shared" si="78"/>
        <v>15</v>
      </c>
      <c r="W34" s="16">
        <f t="shared" si="79"/>
        <v>174.96856514285713</v>
      </c>
      <c r="X34" s="16">
        <f t="shared" si="80"/>
        <v>174.71819199999999</v>
      </c>
      <c r="Y34" s="16">
        <f t="shared" si="81"/>
        <v>0.25037314285714274</v>
      </c>
      <c r="Z34" s="16"/>
      <c r="AA34">
        <v>313</v>
      </c>
      <c r="AB34" s="16">
        <f t="shared" ref="AB34:AB45" si="94">P34</f>
        <v>19.011887999999999</v>
      </c>
      <c r="AC34" s="16">
        <f t="shared" ref="AC34:AC45" si="95">Q34</f>
        <v>6.6637999999999993</v>
      </c>
      <c r="AD34" s="16">
        <f t="shared" ref="AD34:AD45" si="96">R34</f>
        <v>92.88</v>
      </c>
      <c r="AE34" s="16">
        <f t="shared" ref="AE34:AE45" si="97">S34</f>
        <v>2.659357142857143</v>
      </c>
      <c r="AF34" s="16">
        <f t="shared" ref="AF34:AF45" si="98">T34</f>
        <v>38.741119999999995</v>
      </c>
      <c r="AG34" s="16">
        <f t="shared" ref="AG34:AG45" si="99">U34</f>
        <v>1.24E-2</v>
      </c>
      <c r="AH34" s="16">
        <f t="shared" ref="AH34:AH45" si="100">V34</f>
        <v>15</v>
      </c>
      <c r="AI34" s="16">
        <f t="shared" si="83"/>
        <v>174.96856514285713</v>
      </c>
      <c r="AJ34" s="16">
        <f t="shared" si="84"/>
        <v>159.95616514285712</v>
      </c>
      <c r="AK34" s="16"/>
      <c r="AL34" s="16"/>
      <c r="AM34" s="16"/>
      <c r="AN34" s="16"/>
      <c r="AP34" s="4"/>
      <c r="AQ34" s="4">
        <f>MECS_EnergyPrices!D102</f>
        <v>2.78</v>
      </c>
      <c r="AR34" s="4">
        <f>MECS_EnergyPrices!D71</f>
        <v>4.01</v>
      </c>
      <c r="AS34" s="5">
        <f>MECS_EnergyPrices!D13</f>
        <v>3.4</v>
      </c>
      <c r="AT34">
        <f>MECS_EnergyPrices!D42</f>
        <v>4.59</v>
      </c>
      <c r="AU34" s="48">
        <f>MECS_EnergyPrices!D131</f>
        <v>1.94</v>
      </c>
      <c r="AV34" s="4"/>
      <c r="AW34" s="4"/>
      <c r="AX34" t="str">
        <f t="shared" si="85"/>
        <v>313</v>
      </c>
      <c r="AY34" s="16">
        <f t="shared" si="86"/>
        <v>159.95616514285712</v>
      </c>
      <c r="BA34">
        <f>BC33/AY34</f>
        <v>1.0533452074096219</v>
      </c>
      <c r="BB34">
        <f>MECS_Total_Fuel!I36</f>
        <v>173.53394400000002</v>
      </c>
      <c r="BC34">
        <f>MECS_Total_Fuel!S36</f>
        <v>46.203934666809843</v>
      </c>
      <c r="BD34" s="3">
        <f t="shared" si="87"/>
        <v>168.48905994885055</v>
      </c>
      <c r="BF34" t="str">
        <f t="shared" si="65"/>
        <v>313</v>
      </c>
      <c r="BG34" s="9" t="str">
        <f t="shared" si="66"/>
        <v>Textile Mills</v>
      </c>
      <c r="BH34" s="4">
        <f>'[6]Table 7.6'!BG48</f>
        <v>0</v>
      </c>
      <c r="BI34" s="4">
        <f>'[6]Table 7.6'!BH48</f>
        <v>0</v>
      </c>
      <c r="BJ34">
        <f t="shared" si="88"/>
        <v>0</v>
      </c>
      <c r="BK34" s="4">
        <f t="shared" si="89"/>
        <v>174.96856514285713</v>
      </c>
      <c r="BL34" s="14">
        <f t="shared" si="90"/>
        <v>482.73110872571419</v>
      </c>
      <c r="BM34" s="4">
        <f t="shared" si="91"/>
        <v>2.7589590640557473</v>
      </c>
      <c r="BN34" s="3"/>
      <c r="BP34" s="17">
        <f t="shared" si="92"/>
        <v>0.11885686296005191</v>
      </c>
      <c r="BQ34" s="17">
        <f t="shared" si="67"/>
        <v>4.1660163545734846E-2</v>
      </c>
      <c r="BR34" s="17">
        <f t="shared" si="68"/>
        <v>0.58065908192440541</v>
      </c>
      <c r="BS34" s="17">
        <f t="shared" si="69"/>
        <v>1.6625537005604422E-2</v>
      </c>
      <c r="BT34" s="17">
        <f t="shared" si="70"/>
        <v>0.24219835456420349</v>
      </c>
      <c r="BU34" s="17">
        <v>0</v>
      </c>
      <c r="BV34" s="17">
        <v>0</v>
      </c>
      <c r="BW34">
        <f t="shared" si="93"/>
        <v>1.0000000000000002</v>
      </c>
    </row>
    <row r="35" spans="2:75" ht="15" x14ac:dyDescent="0.25">
      <c r="B35" s="6" t="s">
        <v>16</v>
      </c>
      <c r="C35" s="7" t="s">
        <v>17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6">
        <f t="shared" si="71"/>
        <v>0</v>
      </c>
      <c r="O35" s="14"/>
      <c r="P35" s="16">
        <f t="shared" si="72"/>
        <v>0</v>
      </c>
      <c r="Q35" s="16">
        <f t="shared" si="73"/>
        <v>0</v>
      </c>
      <c r="R35" s="16">
        <f t="shared" si="74"/>
        <v>0</v>
      </c>
      <c r="S35" s="16">
        <f t="shared" si="75"/>
        <v>0</v>
      </c>
      <c r="T35" s="16">
        <f t="shared" si="76"/>
        <v>0</v>
      </c>
      <c r="U35" s="16">
        <f t="shared" si="77"/>
        <v>0</v>
      </c>
      <c r="V35" s="16">
        <f t="shared" si="78"/>
        <v>0</v>
      </c>
      <c r="W35" s="16">
        <f t="shared" si="79"/>
        <v>0</v>
      </c>
      <c r="X35" s="16">
        <f t="shared" si="80"/>
        <v>0</v>
      </c>
      <c r="Y35" s="16">
        <f t="shared" si="81"/>
        <v>0</v>
      </c>
      <c r="Z35" s="16"/>
      <c r="AA35">
        <v>314</v>
      </c>
      <c r="AB35" s="16">
        <f t="shared" si="94"/>
        <v>0</v>
      </c>
      <c r="AC35" s="16">
        <f t="shared" si="95"/>
        <v>0</v>
      </c>
      <c r="AD35" s="16">
        <f t="shared" si="96"/>
        <v>0</v>
      </c>
      <c r="AE35" s="16">
        <f t="shared" si="97"/>
        <v>0</v>
      </c>
      <c r="AF35" s="16">
        <f t="shared" si="98"/>
        <v>0</v>
      </c>
      <c r="AG35" s="16">
        <f t="shared" si="99"/>
        <v>0</v>
      </c>
      <c r="AH35" s="16">
        <f t="shared" si="100"/>
        <v>0</v>
      </c>
      <c r="AI35" s="16">
        <f t="shared" si="83"/>
        <v>0</v>
      </c>
      <c r="AJ35" s="16">
        <f t="shared" si="84"/>
        <v>0</v>
      </c>
      <c r="AK35" s="16"/>
      <c r="AL35" s="16"/>
      <c r="AM35" s="16" t="s">
        <v>152</v>
      </c>
      <c r="AN35" s="16" t="s">
        <v>167</v>
      </c>
      <c r="AP35" s="4"/>
      <c r="AQ35" s="4">
        <f>MECS_EnergyPrices!D103</f>
        <v>2.78</v>
      </c>
      <c r="AR35" s="4">
        <f>MECS_EnergyPrices!D72</f>
        <v>4.01</v>
      </c>
      <c r="AS35" s="5">
        <f>MECS_EnergyPrices!D14</f>
        <v>3.4</v>
      </c>
      <c r="AT35">
        <f>MECS_EnergyPrices!D43</f>
        <v>4.59</v>
      </c>
      <c r="AU35" s="48">
        <f>MECS_EnergyPrices!D132</f>
        <v>1.94</v>
      </c>
      <c r="AV35" s="4"/>
      <c r="AW35" s="4"/>
      <c r="AX35" t="str">
        <f t="shared" si="85"/>
        <v>314</v>
      </c>
      <c r="AY35" s="16">
        <f t="shared" si="86"/>
        <v>0</v>
      </c>
      <c r="BA35">
        <f>BA34</f>
        <v>1.0533452074096219</v>
      </c>
      <c r="BB35">
        <f>MECS_Total_Fuel!I37</f>
        <v>0</v>
      </c>
      <c r="BD35" s="3"/>
      <c r="BF35" t="str">
        <f t="shared" si="65"/>
        <v>314</v>
      </c>
      <c r="BG35" s="9" t="str">
        <f t="shared" si="66"/>
        <v>Textile Product Mills</v>
      </c>
      <c r="BH35" s="4">
        <f>'[6]Table 7.6'!BG49</f>
        <v>0</v>
      </c>
      <c r="BI35" s="4">
        <f>'[6]Table 7.6'!BH49</f>
        <v>0</v>
      </c>
      <c r="BJ35">
        <f t="shared" si="88"/>
        <v>0</v>
      </c>
      <c r="BK35" s="4">
        <f t="shared" si="89"/>
        <v>0</v>
      </c>
      <c r="BL35" s="14">
        <f t="shared" si="90"/>
        <v>0</v>
      </c>
      <c r="BM35" s="70">
        <f>BM34</f>
        <v>2.7589590640557473</v>
      </c>
      <c r="BN35" s="3"/>
      <c r="BP35" s="17">
        <f>BP34</f>
        <v>0.11885686296005191</v>
      </c>
      <c r="BQ35" s="17">
        <f t="shared" ref="BQ35" si="101">BQ34</f>
        <v>4.1660163545734846E-2</v>
      </c>
      <c r="BR35" s="17">
        <f t="shared" ref="BR35" si="102">BR34</f>
        <v>0.58065908192440541</v>
      </c>
      <c r="BS35" s="17">
        <f t="shared" ref="BS35" si="103">BS34</f>
        <v>1.6625537005604422E-2</v>
      </c>
      <c r="BT35" s="17">
        <f t="shared" ref="BT35" si="104">BT34</f>
        <v>0.24219835456420349</v>
      </c>
      <c r="BU35" s="17">
        <v>0</v>
      </c>
      <c r="BV35" s="17">
        <v>0</v>
      </c>
      <c r="BW35">
        <f t="shared" si="93"/>
        <v>1.0000000000000002</v>
      </c>
    </row>
    <row r="36" spans="2:75" ht="15" x14ac:dyDescent="0.25">
      <c r="B36" s="6" t="s">
        <v>18</v>
      </c>
      <c r="C36" s="7" t="s">
        <v>19</v>
      </c>
      <c r="D36" s="14">
        <v>54</v>
      </c>
      <c r="E36" s="14">
        <v>6664</v>
      </c>
      <c r="F36" s="14">
        <v>311</v>
      </c>
      <c r="G36" s="14">
        <v>397</v>
      </c>
      <c r="H36" s="14">
        <v>21</v>
      </c>
      <c r="I36" s="14">
        <v>9</v>
      </c>
      <c r="J36" s="14">
        <v>130</v>
      </c>
      <c r="K36" s="14">
        <v>0</v>
      </c>
      <c r="L36" s="14">
        <v>1</v>
      </c>
      <c r="M36" s="14"/>
      <c r="N36" s="16">
        <f t="shared" si="71"/>
        <v>31.262432</v>
      </c>
      <c r="O36" s="14"/>
      <c r="P36" s="16">
        <f t="shared" si="72"/>
        <v>1.9552569999999998</v>
      </c>
      <c r="Q36" s="16">
        <f t="shared" si="73"/>
        <v>2.3125249999999999</v>
      </c>
      <c r="R36" s="16">
        <f t="shared" si="74"/>
        <v>21.672000000000001</v>
      </c>
      <c r="S36" s="16">
        <f t="shared" si="75"/>
        <v>0.77207142857142863</v>
      </c>
      <c r="T36" s="16">
        <f t="shared" si="76"/>
        <v>2.8615599999999999</v>
      </c>
      <c r="U36" s="16">
        <f t="shared" si="77"/>
        <v>0</v>
      </c>
      <c r="V36" s="55">
        <v>0.5</v>
      </c>
      <c r="W36" s="16">
        <f t="shared" si="79"/>
        <v>30.073413428571431</v>
      </c>
      <c r="X36" s="16">
        <f t="shared" si="80"/>
        <v>31.262432</v>
      </c>
      <c r="Y36" s="16">
        <f t="shared" si="81"/>
        <v>-1.1890185714285693</v>
      </c>
      <c r="Z36" s="16"/>
      <c r="AA36">
        <v>315</v>
      </c>
      <c r="AB36" s="16">
        <f t="shared" si="94"/>
        <v>1.9552569999999998</v>
      </c>
      <c r="AC36" s="16">
        <f t="shared" si="95"/>
        <v>2.3125249999999999</v>
      </c>
      <c r="AD36" s="16">
        <f t="shared" si="96"/>
        <v>21.672000000000001</v>
      </c>
      <c r="AE36" s="16">
        <f t="shared" si="97"/>
        <v>0.77207142857142863</v>
      </c>
      <c r="AF36" s="16">
        <f t="shared" si="98"/>
        <v>2.8615599999999999</v>
      </c>
      <c r="AG36" s="16">
        <f t="shared" si="99"/>
        <v>0</v>
      </c>
      <c r="AH36" s="16">
        <f t="shared" si="100"/>
        <v>0.5</v>
      </c>
      <c r="AI36" s="16">
        <f t="shared" si="83"/>
        <v>30.073413428571431</v>
      </c>
      <c r="AJ36" s="16">
        <f t="shared" si="84"/>
        <v>29.573413428571431</v>
      </c>
      <c r="AK36" s="16"/>
      <c r="AL36" s="16"/>
      <c r="AM36" s="64" t="s">
        <v>153</v>
      </c>
      <c r="AN36" s="68">
        <f>MECS_Total_Fuel!AM140</f>
        <v>0.06</v>
      </c>
      <c r="AP36" s="4"/>
      <c r="AQ36" s="4">
        <f>MECS_EnergyPrices!D104</f>
        <v>3.13</v>
      </c>
      <c r="AR36" s="4">
        <f>MECS_EnergyPrices!D73</f>
        <v>5.13</v>
      </c>
      <c r="AS36" s="5">
        <f>MECS_EnergyPrices!D15</f>
        <v>4.18</v>
      </c>
      <c r="AT36">
        <f>MECS_EnergyPrices!D44</f>
        <v>6.77</v>
      </c>
      <c r="AU36" s="48">
        <f>MECS_EnergyPrices!D133</f>
        <v>2.2799999999999998</v>
      </c>
      <c r="AV36" s="4"/>
      <c r="AW36" s="4"/>
      <c r="AX36" t="str">
        <f t="shared" si="85"/>
        <v>315</v>
      </c>
      <c r="AY36" s="16">
        <f t="shared" si="86"/>
        <v>29.573413428571431</v>
      </c>
      <c r="AZ36">
        <f>BB36</f>
        <v>31.279492000000001</v>
      </c>
      <c r="BA36">
        <f>AZ36/AY36*$BB$13</f>
        <v>1.2060069162587292</v>
      </c>
      <c r="BB36">
        <f>MECS_Total_Fuel!I38</f>
        <v>31.279492000000001</v>
      </c>
      <c r="BD36" s="3">
        <f t="shared" si="87"/>
        <v>35.665741132235922</v>
      </c>
      <c r="BF36" t="str">
        <f t="shared" si="65"/>
        <v>315</v>
      </c>
      <c r="BG36" s="9" t="str">
        <f t="shared" si="66"/>
        <v>Apparel</v>
      </c>
      <c r="BH36" s="4">
        <f>'[6]Table 7.6'!BG50</f>
        <v>0</v>
      </c>
      <c r="BI36" s="4">
        <f>'[6]Table 7.6'!BH50</f>
        <v>0</v>
      </c>
      <c r="BJ36">
        <f t="shared" si="88"/>
        <v>0</v>
      </c>
      <c r="BK36" s="4">
        <f t="shared" si="89"/>
        <v>30.073413428571431</v>
      </c>
      <c r="BL36" s="14">
        <f t="shared" si="90"/>
        <v>120.32344803142855</v>
      </c>
      <c r="BM36" s="4">
        <f t="shared" ref="BM36:BM52" si="105">BL36/BK36</f>
        <v>4.0009907195009173</v>
      </c>
      <c r="BN36" s="3"/>
      <c r="BP36" s="17">
        <f t="shared" ref="BP36:BP52" si="106">AB36/$AJ36</f>
        <v>6.6115364218017156E-2</v>
      </c>
      <c r="BQ36" s="17">
        <f t="shared" ref="BQ36:BQ52" si="107">AC36/$AJ36</f>
        <v>7.8196079921089734E-2</v>
      </c>
      <c r="BR36" s="17">
        <f t="shared" ref="BR36:BR52" si="108">AD36/$AJ36</f>
        <v>0.73282037774720565</v>
      </c>
      <c r="BS36" s="17">
        <f t="shared" ref="BS36:BS52" si="109">AE36/$AJ36</f>
        <v>2.6106943333958056E-2</v>
      </c>
      <c r="BT36" s="17">
        <f t="shared" ref="BT36:BU52" si="110">AF36/$AJ36</f>
        <v>9.676123477972931E-2</v>
      </c>
      <c r="BU36" s="17">
        <v>0</v>
      </c>
      <c r="BV36" s="17">
        <v>0</v>
      </c>
      <c r="BW36">
        <f t="shared" si="93"/>
        <v>0.99999999999999989</v>
      </c>
    </row>
    <row r="37" spans="2:75" ht="15" x14ac:dyDescent="0.25">
      <c r="B37" s="6" t="s">
        <v>20</v>
      </c>
      <c r="C37" s="7" t="s">
        <v>21</v>
      </c>
      <c r="D37" s="14">
        <v>16</v>
      </c>
      <c r="E37" s="14">
        <v>1390</v>
      </c>
      <c r="F37" s="14">
        <v>548</v>
      </c>
      <c r="G37" s="14">
        <v>169</v>
      </c>
      <c r="H37" s="14">
        <v>5</v>
      </c>
      <c r="I37" s="14">
        <v>1</v>
      </c>
      <c r="J37" s="14">
        <v>61</v>
      </c>
      <c r="K37" s="14">
        <v>0</v>
      </c>
      <c r="L37" s="29">
        <v>0.5</v>
      </c>
      <c r="M37" s="14"/>
      <c r="N37" s="16">
        <f t="shared" si="71"/>
        <v>11.25732</v>
      </c>
      <c r="O37" s="14"/>
      <c r="P37" s="16">
        <f t="shared" si="72"/>
        <v>3.4452759999999998</v>
      </c>
      <c r="Q37" s="16">
        <f t="shared" si="73"/>
        <v>0.98442499999999999</v>
      </c>
      <c r="R37" s="16">
        <f t="shared" si="74"/>
        <v>5.16</v>
      </c>
      <c r="S37" s="16">
        <f t="shared" si="75"/>
        <v>8.5785714285714298E-2</v>
      </c>
      <c r="T37" s="16">
        <f t="shared" si="76"/>
        <v>1.342732</v>
      </c>
      <c r="U37" s="16">
        <f t="shared" si="77"/>
        <v>0</v>
      </c>
      <c r="V37" s="55">
        <v>0.5</v>
      </c>
      <c r="W37" s="16">
        <f t="shared" si="79"/>
        <v>11.518218714285714</v>
      </c>
      <c r="X37" s="16">
        <f t="shared" si="80"/>
        <v>11.25732</v>
      </c>
      <c r="Y37" s="16">
        <f t="shared" si="81"/>
        <v>0.26089871428571421</v>
      </c>
      <c r="Z37" s="16"/>
      <c r="AA37">
        <v>316</v>
      </c>
      <c r="AB37" s="16">
        <f t="shared" si="94"/>
        <v>3.4452759999999998</v>
      </c>
      <c r="AC37" s="16">
        <f t="shared" si="95"/>
        <v>0.98442499999999999</v>
      </c>
      <c r="AD37" s="16">
        <f t="shared" si="96"/>
        <v>5.16</v>
      </c>
      <c r="AE37" s="16">
        <f t="shared" si="97"/>
        <v>8.5785714285714298E-2</v>
      </c>
      <c r="AF37" s="16">
        <f t="shared" si="98"/>
        <v>1.342732</v>
      </c>
      <c r="AG37" s="16">
        <f t="shared" si="99"/>
        <v>0</v>
      </c>
      <c r="AH37" s="16">
        <f t="shared" si="100"/>
        <v>0.5</v>
      </c>
      <c r="AI37" s="16">
        <f t="shared" si="83"/>
        <v>11.518218714285714</v>
      </c>
      <c r="AJ37" s="16">
        <f t="shared" si="84"/>
        <v>11.018218714285714</v>
      </c>
      <c r="AK37" s="16"/>
      <c r="AL37" s="16"/>
      <c r="AM37" s="64" t="s">
        <v>154</v>
      </c>
      <c r="AN37" s="68">
        <f>MECS_Total_Fuel!AM141</f>
        <v>0.02</v>
      </c>
      <c r="AP37" s="4"/>
      <c r="AQ37" s="4">
        <f>MECS_EnergyPrices!D105</f>
        <v>2.48</v>
      </c>
      <c r="AR37" s="4">
        <f>MECS_EnergyPrices!D74</f>
        <v>4.59</v>
      </c>
      <c r="AS37" s="5">
        <f>MECS_EnergyPrices!D16</f>
        <v>3.5</v>
      </c>
      <c r="AT37">
        <f>MECS_EnergyPrices!D45</f>
        <v>6.79</v>
      </c>
      <c r="AU37" s="48">
        <f>MECS_EnergyPrices!D134</f>
        <v>1.96</v>
      </c>
      <c r="AV37" s="4"/>
      <c r="AW37" s="4"/>
      <c r="AX37" t="str">
        <f t="shared" si="85"/>
        <v>316</v>
      </c>
      <c r="AY37" s="16">
        <f t="shared" si="86"/>
        <v>11.018218714285714</v>
      </c>
      <c r="AZ37">
        <f>BB37</f>
        <v>11.253907999999999</v>
      </c>
      <c r="BA37">
        <f>AZ37/AY37*$BB$14</f>
        <v>0.87826396015830344</v>
      </c>
      <c r="BB37">
        <f>MECS_Total_Fuel!I39</f>
        <v>11.253907999999999</v>
      </c>
      <c r="BD37" s="3">
        <f t="shared" si="87"/>
        <v>9.6769044018989021</v>
      </c>
      <c r="BF37" t="str">
        <f t="shared" si="65"/>
        <v>316</v>
      </c>
      <c r="BG37" s="9" t="str">
        <f t="shared" si="66"/>
        <v>Leather and Allied Products</v>
      </c>
      <c r="BH37" s="4">
        <f>'[6]Table 7.6'!BG51</f>
        <v>0</v>
      </c>
      <c r="BI37" s="4">
        <f>'[6]Table 7.6'!BH51</f>
        <v>0</v>
      </c>
      <c r="BJ37">
        <f t="shared" si="88"/>
        <v>0</v>
      </c>
      <c r="BK37" s="4">
        <f t="shared" si="89"/>
        <v>11.518218714285714</v>
      </c>
      <c r="BL37" s="14">
        <f t="shared" si="90"/>
        <v>34.337034950000003</v>
      </c>
      <c r="BM37" s="4">
        <f t="shared" si="105"/>
        <v>2.9811063500133721</v>
      </c>
      <c r="BN37" s="3"/>
      <c r="BP37" s="17">
        <f t="shared" si="106"/>
        <v>0.31268901891854933</v>
      </c>
      <c r="BQ37" s="17">
        <f t="shared" si="107"/>
        <v>8.9345204113949916E-2</v>
      </c>
      <c r="BR37" s="17">
        <f t="shared" si="108"/>
        <v>0.46831526345631369</v>
      </c>
      <c r="BS37" s="17">
        <f t="shared" si="109"/>
        <v>7.7858060826554928E-3</v>
      </c>
      <c r="BT37" s="17">
        <f t="shared" si="110"/>
        <v>0.12186470742853159</v>
      </c>
      <c r="BU37" s="17">
        <v>0</v>
      </c>
      <c r="BV37" s="17">
        <v>0</v>
      </c>
      <c r="BW37">
        <f t="shared" si="93"/>
        <v>1</v>
      </c>
    </row>
    <row r="38" spans="2:75" ht="15" x14ac:dyDescent="0.25">
      <c r="B38" s="6" t="s">
        <v>22</v>
      </c>
      <c r="C38" s="7" t="s">
        <v>23</v>
      </c>
      <c r="D38" s="14">
        <v>199</v>
      </c>
      <c r="E38" s="14">
        <v>19953</v>
      </c>
      <c r="F38" s="14">
        <v>458</v>
      </c>
      <c r="G38" s="14">
        <v>3835</v>
      </c>
      <c r="H38" s="14">
        <v>34</v>
      </c>
      <c r="I38" s="14">
        <v>39</v>
      </c>
      <c r="J38" s="14">
        <v>106</v>
      </c>
      <c r="K38" s="14">
        <v>0</v>
      </c>
      <c r="L38" s="14">
        <v>65</v>
      </c>
      <c r="M38" s="14"/>
      <c r="N38" s="16">
        <f t="shared" si="71"/>
        <v>130.92036400000001</v>
      </c>
      <c r="O38" s="14"/>
      <c r="P38" s="55">
        <v>1</v>
      </c>
      <c r="Q38" s="16">
        <f t="shared" si="73"/>
        <v>22.338874999999998</v>
      </c>
      <c r="R38" s="16">
        <f t="shared" si="74"/>
        <v>35.088000000000001</v>
      </c>
      <c r="S38" s="16">
        <f t="shared" si="75"/>
        <v>3.3456428571428574</v>
      </c>
      <c r="T38" s="55">
        <v>1</v>
      </c>
      <c r="U38" s="16">
        <f t="shared" si="77"/>
        <v>0</v>
      </c>
      <c r="V38" s="16">
        <f t="shared" ref="V38:V53" si="111">L38*V$2</f>
        <v>65</v>
      </c>
      <c r="W38" s="16">
        <f t="shared" si="79"/>
        <v>127.77251785714284</v>
      </c>
      <c r="X38" s="16">
        <f t="shared" si="80"/>
        <v>130.92036400000001</v>
      </c>
      <c r="Y38" s="16">
        <f t="shared" si="81"/>
        <v>-3.147846142857162</v>
      </c>
      <c r="Z38" s="16"/>
      <c r="AA38">
        <v>321</v>
      </c>
      <c r="AB38" s="16">
        <f t="shared" si="94"/>
        <v>1</v>
      </c>
      <c r="AC38" s="16">
        <f t="shared" si="95"/>
        <v>22.338874999999998</v>
      </c>
      <c r="AD38" s="16">
        <f t="shared" si="96"/>
        <v>35.088000000000001</v>
      </c>
      <c r="AE38" s="16">
        <f t="shared" si="97"/>
        <v>3.3456428571428574</v>
      </c>
      <c r="AF38" s="16">
        <f t="shared" si="98"/>
        <v>1</v>
      </c>
      <c r="AG38" s="16">
        <f t="shared" si="99"/>
        <v>0</v>
      </c>
      <c r="AH38" s="16">
        <f t="shared" si="100"/>
        <v>65</v>
      </c>
      <c r="AI38" s="16">
        <f t="shared" si="83"/>
        <v>127.77251785714284</v>
      </c>
      <c r="AJ38" s="16">
        <f t="shared" si="84"/>
        <v>62.772517857142844</v>
      </c>
      <c r="AK38" s="16"/>
      <c r="AL38" s="16"/>
      <c r="AM38" s="64" t="s">
        <v>155</v>
      </c>
      <c r="AN38" s="68">
        <f>MECS_Total_Fuel!AM142</f>
        <v>0.18</v>
      </c>
      <c r="AP38" s="4"/>
      <c r="AQ38" s="4">
        <f>MECS_EnergyPrices!D106</f>
        <v>2.65</v>
      </c>
      <c r="AR38" s="4">
        <f>MECS_EnergyPrices!D75</f>
        <v>5.22</v>
      </c>
      <c r="AS38" s="5">
        <f>MECS_EnergyPrices!D17</f>
        <v>3.58</v>
      </c>
      <c r="AT38">
        <f>MECS_EnergyPrices!D46</f>
        <v>5.38</v>
      </c>
      <c r="AU38" s="48">
        <f>MECS_EnergyPrices!D135</f>
        <v>2.5</v>
      </c>
      <c r="AV38" s="4"/>
      <c r="AW38" s="4"/>
      <c r="AX38" t="str">
        <f t="shared" si="85"/>
        <v>321</v>
      </c>
      <c r="AY38" s="16">
        <f t="shared" si="86"/>
        <v>62.772517857142844</v>
      </c>
      <c r="AZ38">
        <f>MECS_Total_Fuel!S37</f>
        <v>302.60197307912358</v>
      </c>
      <c r="BA38">
        <f>AZ38/AY38</f>
        <v>4.8206123222232788</v>
      </c>
      <c r="BD38" s="3">
        <f t="shared" si="87"/>
        <v>302.60197307912358</v>
      </c>
      <c r="BF38" t="str">
        <f t="shared" si="65"/>
        <v>321</v>
      </c>
      <c r="BG38" s="9" t="str">
        <f t="shared" si="66"/>
        <v>Wood Products</v>
      </c>
      <c r="BH38" s="4">
        <f>'[6]Table 7.6'!BG52</f>
        <v>0</v>
      </c>
      <c r="BI38" s="4">
        <f>'[6]Table 7.6'!BH52</f>
        <v>0</v>
      </c>
      <c r="BJ38">
        <f t="shared" si="88"/>
        <v>0</v>
      </c>
      <c r="BK38" s="4">
        <f t="shared" si="89"/>
        <v>127.77251785714284</v>
      </c>
      <c r="BL38" s="14">
        <f t="shared" si="90"/>
        <v>265.37352607142856</v>
      </c>
      <c r="BM38" s="4">
        <f t="shared" si="105"/>
        <v>2.0769217866406273</v>
      </c>
      <c r="BN38" s="3"/>
      <c r="BP38" s="17">
        <f t="shared" si="106"/>
        <v>1.5930538301423425E-2</v>
      </c>
      <c r="BQ38" s="17">
        <f t="shared" si="107"/>
        <v>0.35587030379821016</v>
      </c>
      <c r="BR38" s="17">
        <f t="shared" si="108"/>
        <v>0.55897072792034519</v>
      </c>
      <c r="BS38" s="17">
        <f t="shared" si="109"/>
        <v>5.329789167859799E-2</v>
      </c>
      <c r="BT38" s="17">
        <f t="shared" si="110"/>
        <v>1.5930538301423425E-2</v>
      </c>
      <c r="BU38" s="17">
        <v>0</v>
      </c>
      <c r="BV38" s="17">
        <v>0</v>
      </c>
      <c r="BW38">
        <f t="shared" si="93"/>
        <v>1.0000000000000002</v>
      </c>
    </row>
    <row r="39" spans="2:75" ht="15" x14ac:dyDescent="0.25">
      <c r="B39" s="6" t="s">
        <v>24</v>
      </c>
      <c r="C39" s="7" t="s">
        <v>25</v>
      </c>
      <c r="D39" s="14">
        <v>1409</v>
      </c>
      <c r="E39" s="14">
        <v>61015</v>
      </c>
      <c r="F39" s="14">
        <v>28274</v>
      </c>
      <c r="G39" s="14">
        <v>2139</v>
      </c>
      <c r="H39" s="14">
        <v>415</v>
      </c>
      <c r="I39" s="14">
        <v>53</v>
      </c>
      <c r="J39" s="14">
        <v>14036</v>
      </c>
      <c r="K39" s="14">
        <v>0</v>
      </c>
      <c r="L39" s="14">
        <v>263</v>
      </c>
      <c r="M39" s="14"/>
      <c r="N39" s="16">
        <f t="shared" si="71"/>
        <v>1200.81682</v>
      </c>
      <c r="O39" s="14"/>
      <c r="P39" s="16">
        <f t="shared" ref="P39:P47" si="112">F39*P$2*0.000001</f>
        <v>177.75863799999999</v>
      </c>
      <c r="Q39" s="16">
        <f t="shared" si="73"/>
        <v>12.459674999999999</v>
      </c>
      <c r="R39" s="16">
        <f t="shared" si="74"/>
        <v>428.28000000000003</v>
      </c>
      <c r="S39" s="16">
        <f t="shared" si="75"/>
        <v>4.5466428571428583</v>
      </c>
      <c r="T39" s="16">
        <f t="shared" ref="T39:T47" si="113">J39*T$2*0.000001</f>
        <v>308.96043199999997</v>
      </c>
      <c r="U39" s="16">
        <f t="shared" si="77"/>
        <v>0</v>
      </c>
      <c r="V39" s="16">
        <f t="shared" si="111"/>
        <v>263</v>
      </c>
      <c r="W39" s="16">
        <f t="shared" si="79"/>
        <v>1195.005387857143</v>
      </c>
      <c r="X39" s="16">
        <f t="shared" si="80"/>
        <v>1200.81682</v>
      </c>
      <c r="Y39" s="16">
        <f t="shared" si="81"/>
        <v>-5.8114321428570292</v>
      </c>
      <c r="Z39" s="16"/>
      <c r="AA39">
        <v>322</v>
      </c>
      <c r="AB39" s="16">
        <f t="shared" si="94"/>
        <v>177.75863799999999</v>
      </c>
      <c r="AC39" s="16">
        <f t="shared" si="95"/>
        <v>12.459674999999999</v>
      </c>
      <c r="AD39" s="16">
        <f t="shared" si="96"/>
        <v>428.28000000000003</v>
      </c>
      <c r="AE39" s="16">
        <f t="shared" si="97"/>
        <v>4.5466428571428583</v>
      </c>
      <c r="AF39" s="16">
        <f t="shared" si="98"/>
        <v>308.96043199999997</v>
      </c>
      <c r="AG39" s="16">
        <f t="shared" si="99"/>
        <v>0</v>
      </c>
      <c r="AH39" s="16">
        <f t="shared" si="100"/>
        <v>263</v>
      </c>
      <c r="AI39" s="16">
        <f t="shared" si="83"/>
        <v>1195.005387857143</v>
      </c>
      <c r="AJ39" s="16">
        <f t="shared" si="84"/>
        <v>932.00538785714298</v>
      </c>
      <c r="AK39" s="16"/>
      <c r="AL39" s="16"/>
      <c r="AM39" s="64" t="s">
        <v>156</v>
      </c>
      <c r="AN39" s="68">
        <f>MECS_Total_Fuel!AM143</f>
        <v>0.14000000000000001</v>
      </c>
      <c r="AP39" s="4"/>
      <c r="AQ39" s="4">
        <f>MECS_EnergyPrices!D107</f>
        <v>2.36</v>
      </c>
      <c r="AR39" s="4">
        <f>MECS_EnergyPrices!D76</f>
        <v>3.96</v>
      </c>
      <c r="AS39" s="5">
        <f>MECS_EnergyPrices!D18</f>
        <v>2.48</v>
      </c>
      <c r="AT39">
        <f>MECS_EnergyPrices!D47</f>
        <v>5.98</v>
      </c>
      <c r="AU39" s="48">
        <f>MECS_EnergyPrices!D136</f>
        <v>1.78</v>
      </c>
      <c r="AV39" s="4"/>
      <c r="AW39" s="4"/>
      <c r="AX39" t="str">
        <f t="shared" si="85"/>
        <v>322</v>
      </c>
      <c r="AY39" s="16">
        <f t="shared" si="86"/>
        <v>932.00538785714298</v>
      </c>
      <c r="AZ39">
        <f>MECS_Total_Fuel!S38</f>
        <v>2153.9562641132611</v>
      </c>
      <c r="BA39">
        <f t="shared" ref="BA39:BA52" si="114">AZ39/AY39</f>
        <v>2.3110985109921036</v>
      </c>
      <c r="BD39" s="3">
        <f t="shared" si="87"/>
        <v>2153.9562641132611</v>
      </c>
      <c r="BF39" t="str">
        <f t="shared" si="65"/>
        <v>322</v>
      </c>
      <c r="BG39" s="9" t="str">
        <f t="shared" si="66"/>
        <v>Paper</v>
      </c>
      <c r="BH39" s="4">
        <f>'[6]Table 7.6'!BG53</f>
        <v>0</v>
      </c>
      <c r="BI39" s="4">
        <f>'[6]Table 7.6'!BH53</f>
        <v>0</v>
      </c>
      <c r="BJ39">
        <f t="shared" si="88"/>
        <v>0</v>
      </c>
      <c r="BK39" s="4">
        <f t="shared" si="89"/>
        <v>1195.005387857143</v>
      </c>
      <c r="BL39" s="14">
        <f t="shared" si="90"/>
        <v>2108.1235919257147</v>
      </c>
      <c r="BM39" s="4">
        <f t="shared" si="105"/>
        <v>1.7641122068126864</v>
      </c>
      <c r="BN39" s="3"/>
      <c r="BP39" s="17">
        <f t="shared" si="106"/>
        <v>0.1907270497745735</v>
      </c>
      <c r="BQ39" s="17">
        <f t="shared" si="107"/>
        <v>1.3368672716203019E-2</v>
      </c>
      <c r="BR39" s="17">
        <f t="shared" si="108"/>
        <v>0.45952524049747923</v>
      </c>
      <c r="BS39" s="17">
        <f t="shared" si="109"/>
        <v>4.8783439627923739E-3</v>
      </c>
      <c r="BT39" s="17">
        <f t="shared" si="110"/>
        <v>0.33150069304895174</v>
      </c>
      <c r="BU39" s="17">
        <v>0</v>
      </c>
      <c r="BV39" s="17">
        <v>0</v>
      </c>
      <c r="BW39">
        <f t="shared" si="93"/>
        <v>0.99999999999999978</v>
      </c>
    </row>
    <row r="40" spans="2:75" ht="15" x14ac:dyDescent="0.25">
      <c r="B40" s="6" t="s">
        <v>26</v>
      </c>
      <c r="C40" s="7" t="s">
        <v>27</v>
      </c>
      <c r="D40" s="14">
        <v>115</v>
      </c>
      <c r="E40" s="14">
        <v>17066</v>
      </c>
      <c r="F40" s="14">
        <v>117</v>
      </c>
      <c r="G40" s="14">
        <v>384</v>
      </c>
      <c r="H40" s="14">
        <v>47</v>
      </c>
      <c r="I40" s="14">
        <v>18</v>
      </c>
      <c r="J40" s="14">
        <v>0</v>
      </c>
      <c r="K40" s="14">
        <v>0</v>
      </c>
      <c r="L40" s="14">
        <v>4</v>
      </c>
      <c r="M40" s="14"/>
      <c r="N40" s="16">
        <f t="shared" si="71"/>
        <v>56.770807999999995</v>
      </c>
      <c r="O40" s="14"/>
      <c r="P40" s="16">
        <f t="shared" si="112"/>
        <v>0.73557899999999998</v>
      </c>
      <c r="Q40" s="16">
        <f t="shared" si="73"/>
        <v>2.2367999999999997</v>
      </c>
      <c r="R40" s="16">
        <f t="shared" si="74"/>
        <v>48.503999999999998</v>
      </c>
      <c r="S40" s="16">
        <f t="shared" si="75"/>
        <v>1.5441428571428573</v>
      </c>
      <c r="T40" s="16">
        <f t="shared" si="113"/>
        <v>0</v>
      </c>
      <c r="U40" s="16">
        <f t="shared" si="77"/>
        <v>0</v>
      </c>
      <c r="V40" s="16">
        <f t="shared" si="111"/>
        <v>4</v>
      </c>
      <c r="W40" s="16">
        <f t="shared" si="79"/>
        <v>57.020521857142853</v>
      </c>
      <c r="X40" s="16">
        <f t="shared" si="80"/>
        <v>56.770807999999995</v>
      </c>
      <c r="Y40" s="16">
        <f t="shared" si="81"/>
        <v>0.24971385714285788</v>
      </c>
      <c r="Z40" s="16"/>
      <c r="AA40">
        <v>323</v>
      </c>
      <c r="AB40" s="16">
        <f t="shared" si="94"/>
        <v>0.73557899999999998</v>
      </c>
      <c r="AC40" s="16">
        <f t="shared" si="95"/>
        <v>2.2367999999999997</v>
      </c>
      <c r="AD40" s="16">
        <f t="shared" si="96"/>
        <v>48.503999999999998</v>
      </c>
      <c r="AE40" s="16">
        <f t="shared" si="97"/>
        <v>1.5441428571428573</v>
      </c>
      <c r="AF40" s="16">
        <f t="shared" si="98"/>
        <v>0</v>
      </c>
      <c r="AG40" s="16">
        <f t="shared" si="99"/>
        <v>0</v>
      </c>
      <c r="AH40" s="16">
        <f t="shared" si="100"/>
        <v>4</v>
      </c>
      <c r="AI40" s="16">
        <f t="shared" si="83"/>
        <v>57.020521857142853</v>
      </c>
      <c r="AJ40" s="16">
        <f t="shared" si="84"/>
        <v>53.020521857142853</v>
      </c>
      <c r="AK40" s="16"/>
      <c r="AL40" s="16"/>
      <c r="AM40" s="64" t="s">
        <v>157</v>
      </c>
      <c r="AN40" s="68">
        <f>MECS_Total_Fuel!AM144</f>
        <v>0.15</v>
      </c>
      <c r="AP40" s="4"/>
      <c r="AQ40" s="4">
        <f>MECS_EnergyPrices!D108</f>
        <v>3.11</v>
      </c>
      <c r="AR40" s="4">
        <f>MECS_EnergyPrices!D77</f>
        <v>4.5599999999999996</v>
      </c>
      <c r="AS40" s="5">
        <f>MECS_EnergyPrices!D19</f>
        <v>4.01</v>
      </c>
      <c r="AT40">
        <f>MECS_EnergyPrices!D48</f>
        <v>6.62</v>
      </c>
      <c r="AU40" s="48">
        <f>MECS_EnergyPrices!D137</f>
        <v>1.9250000000000003</v>
      </c>
      <c r="AV40" s="4"/>
      <c r="AW40" s="4"/>
      <c r="AX40" t="str">
        <f t="shared" si="85"/>
        <v>323</v>
      </c>
      <c r="AY40" s="16">
        <f t="shared" si="86"/>
        <v>53.020521857142853</v>
      </c>
      <c r="AZ40">
        <f>MECS_Total_Fuel!S39</f>
        <v>40.089746346787351</v>
      </c>
      <c r="BA40">
        <f t="shared" si="114"/>
        <v>0.75611753605149612</v>
      </c>
      <c r="BD40" s="3">
        <f t="shared" si="87"/>
        <v>40.089746346787351</v>
      </c>
      <c r="BF40" t="str">
        <f t="shared" si="65"/>
        <v>323</v>
      </c>
      <c r="BG40" s="9" t="str">
        <f t="shared" si="66"/>
        <v>Printing and Related Support</v>
      </c>
      <c r="BH40" s="4">
        <f>'[6]Table 7.6'!BG54</f>
        <v>0</v>
      </c>
      <c r="BI40" s="4">
        <f>'[6]Table 7.6'!BH54</f>
        <v>0</v>
      </c>
      <c r="BJ40">
        <f t="shared" si="88"/>
        <v>0</v>
      </c>
      <c r="BK40" s="4">
        <f t="shared" si="89"/>
        <v>57.020521857142853</v>
      </c>
      <c r="BL40" s="14">
        <f t="shared" si="90"/>
        <v>217.21072440428568</v>
      </c>
      <c r="BM40" s="4">
        <f t="shared" si="105"/>
        <v>3.8093429756479176</v>
      </c>
      <c r="BN40" s="3"/>
      <c r="BP40" s="17">
        <f t="shared" si="106"/>
        <v>1.3873477178929422E-2</v>
      </c>
      <c r="BQ40" s="17">
        <f t="shared" si="107"/>
        <v>4.2187438404072609E-2</v>
      </c>
      <c r="BR40" s="17">
        <f t="shared" si="108"/>
        <v>0.91481559028573767</v>
      </c>
      <c r="BS40" s="17">
        <f t="shared" si="109"/>
        <v>2.912349413126028E-2</v>
      </c>
      <c r="BT40" s="17">
        <f t="shared" si="110"/>
        <v>0</v>
      </c>
      <c r="BU40" s="17">
        <v>0</v>
      </c>
      <c r="BV40" s="17">
        <v>0</v>
      </c>
      <c r="BW40">
        <f t="shared" si="93"/>
        <v>1</v>
      </c>
    </row>
    <row r="41" spans="2:75" ht="15" x14ac:dyDescent="0.25">
      <c r="B41" s="6" t="s">
        <v>28</v>
      </c>
      <c r="C41" s="7" t="s">
        <v>29</v>
      </c>
      <c r="D41" s="14">
        <v>1070</v>
      </c>
      <c r="E41" s="14">
        <v>34172</v>
      </c>
      <c r="F41" s="14">
        <v>6143</v>
      </c>
      <c r="G41" s="14">
        <v>3844</v>
      </c>
      <c r="H41" s="14">
        <v>700</v>
      </c>
      <c r="I41" s="14">
        <v>115</v>
      </c>
      <c r="J41" s="14">
        <v>292</v>
      </c>
      <c r="K41" s="14">
        <v>0</v>
      </c>
      <c r="L41" s="14">
        <v>155</v>
      </c>
      <c r="M41" s="14"/>
      <c r="N41" s="16">
        <f t="shared" si="71"/>
        <v>953.40513599999997</v>
      </c>
      <c r="O41" s="14"/>
      <c r="P41" s="16">
        <f t="shared" si="112"/>
        <v>38.621040999999998</v>
      </c>
      <c r="Q41" s="16">
        <f t="shared" si="73"/>
        <v>22.391299999999998</v>
      </c>
      <c r="R41" s="16">
        <f t="shared" si="74"/>
        <v>722.4</v>
      </c>
      <c r="S41" s="16">
        <f t="shared" si="75"/>
        <v>9.8653571428571425</v>
      </c>
      <c r="T41" s="16">
        <f t="shared" si="113"/>
        <v>6.4275039999999999</v>
      </c>
      <c r="U41" s="16">
        <f t="shared" si="77"/>
        <v>0</v>
      </c>
      <c r="V41" s="16">
        <f t="shared" si="111"/>
        <v>155</v>
      </c>
      <c r="W41" s="16">
        <f t="shared" si="79"/>
        <v>954.70520214285716</v>
      </c>
      <c r="X41" s="16">
        <f t="shared" si="80"/>
        <v>953.40513599999997</v>
      </c>
      <c r="Y41" s="16">
        <f t="shared" si="81"/>
        <v>1.3000661428571902</v>
      </c>
      <c r="Z41" s="16"/>
      <c r="AA41">
        <v>324</v>
      </c>
      <c r="AB41" s="16">
        <f t="shared" si="94"/>
        <v>38.621040999999998</v>
      </c>
      <c r="AC41" s="16">
        <f t="shared" si="95"/>
        <v>22.391299999999998</v>
      </c>
      <c r="AD41" s="16">
        <f t="shared" si="96"/>
        <v>722.4</v>
      </c>
      <c r="AE41" s="16">
        <f t="shared" si="97"/>
        <v>9.8653571428571425</v>
      </c>
      <c r="AF41" s="16">
        <f t="shared" si="98"/>
        <v>6.4275039999999999</v>
      </c>
      <c r="AG41" s="16">
        <f t="shared" si="99"/>
        <v>0</v>
      </c>
      <c r="AH41" s="16">
        <f t="shared" si="100"/>
        <v>155</v>
      </c>
      <c r="AI41" s="16">
        <f t="shared" si="83"/>
        <v>954.70520214285716</v>
      </c>
      <c r="AJ41" s="16">
        <f t="shared" si="84"/>
        <v>799.70520214285716</v>
      </c>
      <c r="AK41" s="16"/>
      <c r="AL41" s="16"/>
      <c r="AM41" s="64" t="s">
        <v>158</v>
      </c>
      <c r="AN41" s="68">
        <f>MECS_Total_Fuel!AM145</f>
        <v>0.34</v>
      </c>
      <c r="AP41" s="4"/>
      <c r="AQ41" s="4">
        <f>MECS_EnergyPrices!D109</f>
        <v>3.03</v>
      </c>
      <c r="AR41" s="4">
        <f>MECS_EnergyPrices!D78</f>
        <v>4.5599999999999996</v>
      </c>
      <c r="AS41" s="5">
        <f>MECS_EnergyPrices!D20</f>
        <v>2.09</v>
      </c>
      <c r="AT41">
        <f>MECS_EnergyPrices!D49</f>
        <v>3.92</v>
      </c>
      <c r="AU41" s="48">
        <f>MECS_EnergyPrices!D138</f>
        <v>2.0299999999999998</v>
      </c>
      <c r="AV41" s="4"/>
      <c r="AW41" s="4"/>
      <c r="AX41" t="str">
        <f t="shared" si="85"/>
        <v>324</v>
      </c>
      <c r="AY41" s="16">
        <f t="shared" si="86"/>
        <v>799.70520214285716</v>
      </c>
      <c r="AZ41">
        <f>MECS_Total_Fuel!S40</f>
        <v>3018.3157833208888</v>
      </c>
      <c r="BA41">
        <f t="shared" si="114"/>
        <v>3.7742855432641105</v>
      </c>
      <c r="BD41" s="3">
        <f t="shared" si="87"/>
        <v>3018.3157833208888</v>
      </c>
      <c r="BF41" t="str">
        <f t="shared" si="65"/>
        <v>324</v>
      </c>
      <c r="BG41" s="9" t="str">
        <f t="shared" si="66"/>
        <v>Petroleum and Coal Products</v>
      </c>
      <c r="BH41" s="4">
        <f>'[6]Table 7.6'!BG55</f>
        <v>0</v>
      </c>
      <c r="BI41" s="4">
        <f>'[6]Table 7.6'!BH55</f>
        <v>0</v>
      </c>
      <c r="BJ41">
        <f t="shared" si="88"/>
        <v>0</v>
      </c>
      <c r="BK41" s="4">
        <f t="shared" si="89"/>
        <v>954.70520214285716</v>
      </c>
      <c r="BL41" s="14">
        <f t="shared" si="90"/>
        <v>1780.6621153499998</v>
      </c>
      <c r="BM41" s="4">
        <f t="shared" si="105"/>
        <v>1.8651434090369088</v>
      </c>
      <c r="BN41" s="3"/>
      <c r="BP41" s="17">
        <f t="shared" si="106"/>
        <v>4.8294097495567921E-2</v>
      </c>
      <c r="BQ41" s="17">
        <f t="shared" si="107"/>
        <v>2.7999442719643677E-2</v>
      </c>
      <c r="BR41" s="17">
        <f t="shared" si="108"/>
        <v>0.90333287574507037</v>
      </c>
      <c r="BS41" s="17">
        <f t="shared" si="109"/>
        <v>1.2336242300815772E-2</v>
      </c>
      <c r="BT41" s="17">
        <f t="shared" si="110"/>
        <v>8.0373417389021911E-3</v>
      </c>
      <c r="BU41" s="17">
        <v>0</v>
      </c>
      <c r="BV41" s="17">
        <v>0</v>
      </c>
      <c r="BW41">
        <f t="shared" si="93"/>
        <v>0.99999999999999989</v>
      </c>
    </row>
    <row r="42" spans="2:75" ht="15" x14ac:dyDescent="0.25">
      <c r="B42" s="6" t="s">
        <v>30</v>
      </c>
      <c r="C42" s="7" t="s">
        <v>31</v>
      </c>
      <c r="D42" s="14">
        <v>2568</v>
      </c>
      <c r="E42" s="14">
        <v>129927</v>
      </c>
      <c r="F42" s="14">
        <v>15691</v>
      </c>
      <c r="G42" s="14">
        <v>2585</v>
      </c>
      <c r="H42" s="14">
        <v>1460</v>
      </c>
      <c r="I42" s="14">
        <v>43</v>
      </c>
      <c r="J42" s="14">
        <v>12915</v>
      </c>
      <c r="K42" s="14">
        <v>48</v>
      </c>
      <c r="L42" s="14">
        <v>215</v>
      </c>
      <c r="M42" s="14"/>
      <c r="N42" s="16">
        <f t="shared" si="71"/>
        <v>2124.6890760000001</v>
      </c>
      <c r="O42" s="14"/>
      <c r="P42" s="16">
        <f t="shared" si="112"/>
        <v>98.649316999999996</v>
      </c>
      <c r="Q42" s="16">
        <f t="shared" si="73"/>
        <v>15.057625</v>
      </c>
      <c r="R42" s="16">
        <f t="shared" si="74"/>
        <v>1506.72</v>
      </c>
      <c r="S42" s="16">
        <f t="shared" si="75"/>
        <v>3.6887857142857148</v>
      </c>
      <c r="T42" s="16">
        <f t="shared" si="113"/>
        <v>284.28497999999996</v>
      </c>
      <c r="U42" s="16">
        <f t="shared" si="77"/>
        <v>1.1903999999999999</v>
      </c>
      <c r="V42" s="16">
        <f t="shared" si="111"/>
        <v>215</v>
      </c>
      <c r="W42" s="16">
        <f t="shared" si="79"/>
        <v>2124.5911077142855</v>
      </c>
      <c r="X42" s="16">
        <f t="shared" si="80"/>
        <v>2124.6890760000001</v>
      </c>
      <c r="Y42" s="16">
        <f t="shared" si="81"/>
        <v>-9.7968285714614467E-2</v>
      </c>
      <c r="Z42" s="16"/>
      <c r="AA42">
        <v>325</v>
      </c>
      <c r="AB42" s="16">
        <f t="shared" si="94"/>
        <v>98.649316999999996</v>
      </c>
      <c r="AC42" s="16">
        <f t="shared" si="95"/>
        <v>15.057625</v>
      </c>
      <c r="AD42" s="16">
        <f t="shared" si="96"/>
        <v>1506.72</v>
      </c>
      <c r="AE42" s="16">
        <f t="shared" si="97"/>
        <v>3.6887857142857148</v>
      </c>
      <c r="AF42" s="16">
        <f t="shared" si="98"/>
        <v>284.28497999999996</v>
      </c>
      <c r="AG42" s="16">
        <f t="shared" si="99"/>
        <v>1.1903999999999999</v>
      </c>
      <c r="AH42" s="16">
        <f t="shared" si="100"/>
        <v>215</v>
      </c>
      <c r="AI42" s="16">
        <f t="shared" si="83"/>
        <v>2124.5911077142855</v>
      </c>
      <c r="AJ42" s="16">
        <f t="shared" si="84"/>
        <v>1908.4007077142855</v>
      </c>
      <c r="AK42" s="16"/>
      <c r="AL42" s="16"/>
      <c r="AM42" s="64" t="s">
        <v>159</v>
      </c>
      <c r="AN42" s="68">
        <f>MECS_Total_Fuel!AM146</f>
        <v>0.32</v>
      </c>
      <c r="AP42" s="4"/>
      <c r="AQ42" s="4">
        <f>MECS_EnergyPrices!D110</f>
        <v>2.4900000000000002</v>
      </c>
      <c r="AR42" s="4">
        <f>MECS_EnergyPrices!D79</f>
        <v>4.3</v>
      </c>
      <c r="AS42" s="5">
        <f>MECS_EnergyPrices!D21</f>
        <v>1.97</v>
      </c>
      <c r="AT42">
        <f>MECS_EnergyPrices!D50</f>
        <v>5.25</v>
      </c>
      <c r="AU42" s="48">
        <f>MECS_EnergyPrices!D139</f>
        <v>1.63</v>
      </c>
      <c r="AV42" s="4"/>
      <c r="AW42" s="4"/>
      <c r="AX42" t="str">
        <f t="shared" si="85"/>
        <v>325</v>
      </c>
      <c r="AY42" s="16">
        <f t="shared" si="86"/>
        <v>1908.4007077142855</v>
      </c>
      <c r="AZ42">
        <f>MECS_Total_Fuel!S41</f>
        <v>2425.2974275342949</v>
      </c>
      <c r="BA42">
        <f t="shared" si="114"/>
        <v>1.2708533473764547</v>
      </c>
      <c r="BD42" s="3">
        <f t="shared" si="87"/>
        <v>2425.2974275342949</v>
      </c>
      <c r="BF42" t="str">
        <f t="shared" si="65"/>
        <v>325</v>
      </c>
      <c r="BG42" s="9" t="str">
        <f t="shared" si="66"/>
        <v>Chemicals</v>
      </c>
      <c r="BH42" s="4">
        <f>'[6]Table 7.6'!BG56</f>
        <v>0</v>
      </c>
      <c r="BI42" s="4">
        <f>'[6]Table 7.6'!BH56</f>
        <v>0</v>
      </c>
      <c r="BJ42">
        <f t="shared" si="88"/>
        <v>0</v>
      </c>
      <c r="BK42" s="4">
        <f t="shared" si="89"/>
        <v>2124.5911077142855</v>
      </c>
      <c r="BL42" s="14">
        <f t="shared" si="90"/>
        <v>3761.37362923</v>
      </c>
      <c r="BM42" s="4">
        <f t="shared" si="105"/>
        <v>1.7703988384271392</v>
      </c>
      <c r="BN42" s="3"/>
      <c r="BP42" s="17">
        <f t="shared" si="106"/>
        <v>5.1692140230944199E-2</v>
      </c>
      <c r="BQ42" s="17">
        <f t="shared" si="107"/>
        <v>7.8901799496997136E-3</v>
      </c>
      <c r="BR42" s="17">
        <f t="shared" si="108"/>
        <v>0.78951972398114267</v>
      </c>
      <c r="BS42" s="17">
        <f t="shared" si="109"/>
        <v>1.9329199048054315E-3</v>
      </c>
      <c r="BT42" s="17">
        <f t="shared" si="110"/>
        <v>0.1489650359334081</v>
      </c>
      <c r="BU42" s="17">
        <v>0</v>
      </c>
      <c r="BV42" s="17">
        <v>0</v>
      </c>
      <c r="BW42">
        <f t="shared" si="93"/>
        <v>1.0000000000000002</v>
      </c>
    </row>
    <row r="43" spans="2:75" ht="15" x14ac:dyDescent="0.25">
      <c r="B43" s="6" t="s">
        <v>32</v>
      </c>
      <c r="C43" s="7" t="s">
        <v>33</v>
      </c>
      <c r="D43" s="14">
        <v>251</v>
      </c>
      <c r="E43" s="14">
        <v>31305</v>
      </c>
      <c r="F43" s="56">
        <v>0</v>
      </c>
      <c r="G43" s="14">
        <v>785</v>
      </c>
      <c r="H43" s="14">
        <v>107</v>
      </c>
      <c r="I43" s="56">
        <v>0</v>
      </c>
      <c r="J43" s="14">
        <v>375</v>
      </c>
      <c r="K43" s="14">
        <f>'[10]Table 4.2'!J125</f>
        <v>0</v>
      </c>
      <c r="L43" s="14">
        <f>'[10]Table 4.2'!K125</f>
        <v>4</v>
      </c>
      <c r="M43" s="14"/>
      <c r="N43" s="16">
        <f t="shared" si="71"/>
        <v>144.18734000000001</v>
      </c>
      <c r="O43" s="14"/>
      <c r="P43" s="55">
        <v>15</v>
      </c>
      <c r="Q43" s="16">
        <f t="shared" si="73"/>
        <v>4.5726249999999995</v>
      </c>
      <c r="R43" s="16">
        <f t="shared" si="74"/>
        <v>110.42400000000001</v>
      </c>
      <c r="S43" s="55">
        <v>2</v>
      </c>
      <c r="T43" s="16">
        <f t="shared" si="113"/>
        <v>8.2545000000000002</v>
      </c>
      <c r="U43" s="16">
        <f t="shared" si="77"/>
        <v>0</v>
      </c>
      <c r="V43" s="16">
        <f t="shared" si="111"/>
        <v>4</v>
      </c>
      <c r="W43" s="16">
        <f t="shared" si="79"/>
        <v>144.251125</v>
      </c>
      <c r="X43" s="16">
        <f t="shared" si="80"/>
        <v>144.18734000000001</v>
      </c>
      <c r="Y43" s="16">
        <f t="shared" si="81"/>
        <v>6.3784999999995762E-2</v>
      </c>
      <c r="Z43" s="16"/>
      <c r="AA43">
        <v>326</v>
      </c>
      <c r="AB43" s="16">
        <f t="shared" si="94"/>
        <v>15</v>
      </c>
      <c r="AC43" s="16">
        <f t="shared" si="95"/>
        <v>4.5726249999999995</v>
      </c>
      <c r="AD43" s="16">
        <f t="shared" si="96"/>
        <v>110.42400000000001</v>
      </c>
      <c r="AE43" s="16">
        <f t="shared" si="97"/>
        <v>2</v>
      </c>
      <c r="AF43" s="16">
        <f t="shared" si="98"/>
        <v>8.2545000000000002</v>
      </c>
      <c r="AG43" s="16">
        <f t="shared" si="99"/>
        <v>0</v>
      </c>
      <c r="AH43" s="16">
        <f t="shared" si="100"/>
        <v>4</v>
      </c>
      <c r="AI43" s="16">
        <f t="shared" si="83"/>
        <v>144.251125</v>
      </c>
      <c r="AJ43" s="16">
        <f t="shared" si="84"/>
        <v>140.251125</v>
      </c>
      <c r="AK43" s="16"/>
      <c r="AL43" s="16"/>
      <c r="AM43" s="64" t="s">
        <v>160</v>
      </c>
      <c r="AN43" s="68">
        <f>MECS_Total_Fuel!AM147</f>
        <v>0.34</v>
      </c>
      <c r="AP43" s="4"/>
      <c r="AQ43" s="4">
        <f>MECS_EnergyPrices!D111</f>
        <v>2.6</v>
      </c>
      <c r="AR43" s="4">
        <f>MECS_EnergyPrices!D80</f>
        <v>7.46</v>
      </c>
      <c r="AS43" s="5">
        <f>MECS_EnergyPrices!D22</f>
        <v>3.15</v>
      </c>
      <c r="AT43">
        <f>MECS_EnergyPrices!D51</f>
        <v>7</v>
      </c>
      <c r="AU43" s="48">
        <f>MECS_EnergyPrices!D140</f>
        <v>2.2599999999999998</v>
      </c>
      <c r="AV43" s="4"/>
      <c r="AW43" s="4"/>
      <c r="AX43" t="str">
        <f t="shared" si="85"/>
        <v>326</v>
      </c>
      <c r="AY43" s="16">
        <f t="shared" si="86"/>
        <v>140.251125</v>
      </c>
      <c r="AZ43">
        <f>MECS_Total_Fuel!S42</f>
        <v>150.36582650079393</v>
      </c>
      <c r="BA43">
        <f t="shared" si="114"/>
        <v>1.0721185052939428</v>
      </c>
      <c r="BD43" s="3">
        <f t="shared" si="87"/>
        <v>150.36582650079393</v>
      </c>
      <c r="BF43" t="str">
        <f t="shared" si="65"/>
        <v>326</v>
      </c>
      <c r="BG43" s="9" t="str">
        <f t="shared" si="66"/>
        <v>Plastics and Rubber Products</v>
      </c>
      <c r="BH43" s="4">
        <f>'[6]Table 7.6'!BG57</f>
        <v>0</v>
      </c>
      <c r="BI43" s="4">
        <f>'[6]Table 7.6'!BH57</f>
        <v>0</v>
      </c>
      <c r="BJ43">
        <f t="shared" si="88"/>
        <v>0</v>
      </c>
      <c r="BK43" s="4">
        <f t="shared" si="89"/>
        <v>144.251125</v>
      </c>
      <c r="BL43" s="14">
        <f t="shared" si="90"/>
        <v>453.6025525</v>
      </c>
      <c r="BM43" s="4">
        <f t="shared" si="105"/>
        <v>3.1445338987824183</v>
      </c>
      <c r="BN43" s="3"/>
      <c r="BP43" s="17">
        <f t="shared" si="106"/>
        <v>0.10695101376192169</v>
      </c>
      <c r="BQ43" s="17">
        <f t="shared" si="107"/>
        <v>3.2603125286873806E-2</v>
      </c>
      <c r="BR43" s="17">
        <f t="shared" si="108"/>
        <v>0.78733058290976277</v>
      </c>
      <c r="BS43" s="17">
        <f t="shared" si="109"/>
        <v>1.4260135168256225E-2</v>
      </c>
      <c r="BT43" s="17">
        <f t="shared" si="110"/>
        <v>5.8855142873185509E-2</v>
      </c>
      <c r="BU43" s="17">
        <v>0</v>
      </c>
      <c r="BV43" s="17">
        <v>0</v>
      </c>
      <c r="BW43">
        <f t="shared" si="93"/>
        <v>1</v>
      </c>
    </row>
    <row r="44" spans="2:75" ht="15" x14ac:dyDescent="0.25">
      <c r="B44" s="6" t="s">
        <v>34</v>
      </c>
      <c r="C44" s="7" t="s">
        <v>35</v>
      </c>
      <c r="D44" s="14">
        <v>959</v>
      </c>
      <c r="E44" s="14">
        <v>34017</v>
      </c>
      <c r="F44" s="14">
        <v>2299</v>
      </c>
      <c r="G44" s="14">
        <v>6013</v>
      </c>
      <c r="H44" s="14">
        <v>451</v>
      </c>
      <c r="I44" s="14">
        <v>47</v>
      </c>
      <c r="J44" s="14">
        <v>12961</v>
      </c>
      <c r="K44" s="14">
        <v>390</v>
      </c>
      <c r="L44" s="14">
        <v>26</v>
      </c>
      <c r="M44" s="14"/>
      <c r="N44" s="16">
        <f t="shared" si="71"/>
        <v>842.93399599999998</v>
      </c>
      <c r="O44" s="14"/>
      <c r="P44" s="16">
        <f t="shared" si="112"/>
        <v>14.453812999999998</v>
      </c>
      <c r="Q44" s="16">
        <f t="shared" si="73"/>
        <v>35.025725000000001</v>
      </c>
      <c r="R44" s="16">
        <f t="shared" si="74"/>
        <v>465.43200000000002</v>
      </c>
      <c r="S44" s="16">
        <f t="shared" si="75"/>
        <v>4.0319285714285718</v>
      </c>
      <c r="T44" s="16">
        <f t="shared" si="113"/>
        <v>285.29753199999999</v>
      </c>
      <c r="U44" s="16">
        <f t="shared" si="77"/>
        <v>9.6719999999999988</v>
      </c>
      <c r="V44" s="16">
        <f t="shared" si="111"/>
        <v>26</v>
      </c>
      <c r="W44" s="16">
        <f t="shared" si="79"/>
        <v>839.91299857142872</v>
      </c>
      <c r="X44" s="16">
        <f t="shared" si="80"/>
        <v>842.93399599999998</v>
      </c>
      <c r="Y44" s="16">
        <f t="shared" si="81"/>
        <v>-3.0209974285712633</v>
      </c>
      <c r="Z44" s="16"/>
      <c r="AA44">
        <v>327</v>
      </c>
      <c r="AB44" s="16">
        <f t="shared" si="94"/>
        <v>14.453812999999998</v>
      </c>
      <c r="AC44" s="16">
        <f t="shared" si="95"/>
        <v>35.025725000000001</v>
      </c>
      <c r="AD44" s="16">
        <f t="shared" si="96"/>
        <v>465.43200000000002</v>
      </c>
      <c r="AE44" s="16">
        <f t="shared" si="97"/>
        <v>4.0319285714285718</v>
      </c>
      <c r="AF44" s="16">
        <f t="shared" si="98"/>
        <v>285.29753199999999</v>
      </c>
      <c r="AG44" s="16">
        <f t="shared" si="99"/>
        <v>9.6719999999999988</v>
      </c>
      <c r="AH44" s="16">
        <f t="shared" si="100"/>
        <v>26</v>
      </c>
      <c r="AI44" s="16">
        <f t="shared" si="83"/>
        <v>839.91299857142872</v>
      </c>
      <c r="AJ44" s="16">
        <f t="shared" si="84"/>
        <v>804.24099857142869</v>
      </c>
      <c r="AK44" s="16"/>
      <c r="AL44" s="16"/>
      <c r="AM44" s="64" t="s">
        <v>161</v>
      </c>
      <c r="AN44" s="68">
        <f>MECS_Total_Fuel!AM148</f>
        <v>0</v>
      </c>
      <c r="AP44" s="4"/>
      <c r="AQ44" s="4">
        <f>MECS_EnergyPrices!D112</f>
        <v>2.7</v>
      </c>
      <c r="AR44" s="4">
        <f>MECS_EnergyPrices!D81</f>
        <v>5.04</v>
      </c>
      <c r="AS44" s="5">
        <f>MECS_EnergyPrices!D23</f>
        <v>2.75</v>
      </c>
      <c r="AT44">
        <f>MECS_EnergyPrices!D52</f>
        <v>5.01</v>
      </c>
      <c r="AU44" s="48">
        <f>MECS_EnergyPrices!D141</f>
        <v>1.53</v>
      </c>
      <c r="AV44" s="4"/>
      <c r="AW44" s="4"/>
      <c r="AX44" t="str">
        <f t="shared" si="85"/>
        <v>327</v>
      </c>
      <c r="AY44" s="16">
        <f t="shared" si="86"/>
        <v>804.24099857142869</v>
      </c>
      <c r="AZ44">
        <f>MECS_Total_Fuel!S43</f>
        <v>884.64406029384702</v>
      </c>
      <c r="BA44">
        <f t="shared" si="114"/>
        <v>1.0999738410069098</v>
      </c>
      <c r="BD44" s="3">
        <f t="shared" si="87"/>
        <v>884.64406029384702</v>
      </c>
      <c r="BF44" t="str">
        <f t="shared" si="65"/>
        <v>327</v>
      </c>
      <c r="BG44" s="9" t="str">
        <f t="shared" si="66"/>
        <v>Nonmetallic Mineral Products</v>
      </c>
      <c r="BH44" s="4">
        <f>'[6]Table 7.6'!BG58</f>
        <v>0</v>
      </c>
      <c r="BI44" s="4">
        <f>'[6]Table 7.6'!BH58</f>
        <v>0</v>
      </c>
      <c r="BJ44">
        <f t="shared" si="88"/>
        <v>0</v>
      </c>
      <c r="BK44" s="4">
        <f t="shared" si="89"/>
        <v>839.91299857142872</v>
      </c>
      <c r="BL44" s="14">
        <f t="shared" si="90"/>
        <v>1952.1981352028572</v>
      </c>
      <c r="BM44" s="4">
        <f t="shared" si="105"/>
        <v>2.3242861326390538</v>
      </c>
      <c r="BN44" s="3"/>
      <c r="BP44" s="17">
        <f t="shared" si="106"/>
        <v>1.7971992258134405E-2</v>
      </c>
      <c r="BQ44" s="17">
        <f t="shared" si="107"/>
        <v>4.3551280104118184E-2</v>
      </c>
      <c r="BR44" s="17">
        <f t="shared" si="108"/>
        <v>0.57872205076183103</v>
      </c>
      <c r="BS44" s="17">
        <f t="shared" si="109"/>
        <v>5.0133337874971266E-3</v>
      </c>
      <c r="BT44" s="17">
        <f t="shared" si="110"/>
        <v>0.35474134308841915</v>
      </c>
      <c r="BU44" s="17">
        <v>0</v>
      </c>
      <c r="BV44" s="17">
        <v>0</v>
      </c>
      <c r="BW44">
        <f t="shared" si="93"/>
        <v>1</v>
      </c>
    </row>
    <row r="45" spans="2:75" ht="15" x14ac:dyDescent="0.25">
      <c r="B45" s="6" t="s">
        <v>36</v>
      </c>
      <c r="C45" s="7" t="s">
        <v>37</v>
      </c>
      <c r="D45" s="14">
        <v>1773</v>
      </c>
      <c r="E45" s="14">
        <v>150834</v>
      </c>
      <c r="F45" s="14">
        <v>6235</v>
      </c>
      <c r="G45" s="14">
        <v>2547</v>
      </c>
      <c r="H45" s="14">
        <v>719</v>
      </c>
      <c r="I45" s="14">
        <v>60</v>
      </c>
      <c r="J45" s="14">
        <v>2650</v>
      </c>
      <c r="K45" s="14">
        <v>14919</v>
      </c>
      <c r="L45" s="14">
        <v>29</v>
      </c>
      <c r="M45" s="14"/>
      <c r="N45" s="16">
        <f t="shared" si="71"/>
        <v>1258.354392</v>
      </c>
      <c r="O45" s="14"/>
      <c r="P45" s="16">
        <f t="shared" si="112"/>
        <v>39.199444999999997</v>
      </c>
      <c r="Q45" s="16">
        <f t="shared" si="73"/>
        <v>14.836274999999999</v>
      </c>
      <c r="R45" s="16">
        <f t="shared" si="74"/>
        <v>742.00800000000004</v>
      </c>
      <c r="S45" s="16">
        <f t="shared" si="75"/>
        <v>5.1471428571428577</v>
      </c>
      <c r="T45" s="16">
        <f t="shared" si="113"/>
        <v>58.331799999999994</v>
      </c>
      <c r="U45" s="16">
        <f t="shared" si="77"/>
        <v>369.99119999999999</v>
      </c>
      <c r="V45" s="16">
        <f t="shared" si="111"/>
        <v>29</v>
      </c>
      <c r="W45" s="16">
        <f t="shared" si="79"/>
        <v>1258.5138628571428</v>
      </c>
      <c r="X45" s="16">
        <f t="shared" si="80"/>
        <v>1258.354392</v>
      </c>
      <c r="Y45" s="16">
        <f t="shared" si="81"/>
        <v>0.15947085714287823</v>
      </c>
      <c r="Z45" s="16"/>
      <c r="AA45">
        <v>331</v>
      </c>
      <c r="AB45" s="16">
        <f t="shared" si="94"/>
        <v>39.199444999999997</v>
      </c>
      <c r="AC45" s="16">
        <f t="shared" si="95"/>
        <v>14.836274999999999</v>
      </c>
      <c r="AD45" s="16">
        <f t="shared" si="96"/>
        <v>742.00800000000004</v>
      </c>
      <c r="AE45" s="16">
        <f t="shared" si="97"/>
        <v>5.1471428571428577</v>
      </c>
      <c r="AF45" s="16">
        <f t="shared" si="98"/>
        <v>58.331799999999994</v>
      </c>
      <c r="AG45" s="16">
        <f t="shared" si="99"/>
        <v>369.99119999999999</v>
      </c>
      <c r="AH45" s="16">
        <f t="shared" si="100"/>
        <v>29</v>
      </c>
      <c r="AI45" s="16">
        <f t="shared" si="83"/>
        <v>1258.5138628571428</v>
      </c>
      <c r="AJ45" s="16">
        <f>AI45-AH45</f>
        <v>1229.5138628571428</v>
      </c>
      <c r="AK45" s="16"/>
      <c r="AL45" s="16"/>
      <c r="AM45" s="64" t="s">
        <v>162</v>
      </c>
      <c r="AN45" s="68">
        <f>MECS_Total_Fuel!AM149</f>
        <v>7.0000000000000007E-2</v>
      </c>
      <c r="AP45" s="4"/>
      <c r="AQ45" s="4">
        <f>MECS_EnergyPrices!D113</f>
        <v>2.29</v>
      </c>
      <c r="AR45" s="4">
        <f>MECS_EnergyPrices!D82</f>
        <v>4.18</v>
      </c>
      <c r="AS45" s="5">
        <f>MECS_EnergyPrices!D24</f>
        <v>2.78</v>
      </c>
      <c r="AT45">
        <f>MECS_EnergyPrices!D53</f>
        <v>4.87</v>
      </c>
      <c r="AU45" s="48">
        <f>MECS_EnergyPrices!D142</f>
        <v>1.78</v>
      </c>
      <c r="AV45" s="48">
        <f>3*AU45</f>
        <v>5.34</v>
      </c>
      <c r="AW45" s="4"/>
      <c r="AX45" t="str">
        <f t="shared" si="85"/>
        <v>331</v>
      </c>
      <c r="AY45" s="16">
        <f t="shared" si="86"/>
        <v>1229.5138628571428</v>
      </c>
      <c r="AZ45">
        <f>MECS_Total_Fuel!S44</f>
        <v>2134.8918237453663</v>
      </c>
      <c r="BA45">
        <f t="shared" si="114"/>
        <v>1.7363706813230291</v>
      </c>
      <c r="BD45" s="3">
        <f t="shared" si="87"/>
        <v>2134.8918237453663</v>
      </c>
      <c r="BF45" t="str">
        <f t="shared" si="65"/>
        <v>331</v>
      </c>
      <c r="BG45" s="9" t="str">
        <f t="shared" si="66"/>
        <v>Primary Metals</v>
      </c>
      <c r="BH45" s="4">
        <f>'[6]Table 7.6'!BG59</f>
        <v>0</v>
      </c>
      <c r="BI45" s="4">
        <f>'[6]Table 7.6'!BH59</f>
        <v>0</v>
      </c>
      <c r="BJ45">
        <f t="shared" si="88"/>
        <v>0</v>
      </c>
      <c r="BK45" s="4">
        <f t="shared" si="89"/>
        <v>1258.5138628571428</v>
      </c>
      <c r="BL45" s="14">
        <f>SUMPRODUCT(AB45:AG45,AQ45:AV45)</f>
        <v>4319.2147962642857</v>
      </c>
      <c r="BM45" s="4">
        <f t="shared" si="105"/>
        <v>3.4319962010260121</v>
      </c>
      <c r="BN45" s="3"/>
      <c r="BP45" s="17">
        <f t="shared" si="106"/>
        <v>3.1882068339521098E-2</v>
      </c>
      <c r="BQ45" s="17">
        <f t="shared" si="107"/>
        <v>1.2066781390755107E-2</v>
      </c>
      <c r="BR45" s="17">
        <f t="shared" si="108"/>
        <v>0.60349705880966864</v>
      </c>
      <c r="BS45" s="17">
        <f t="shared" si="109"/>
        <v>4.186323564650124E-3</v>
      </c>
      <c r="BT45" s="17">
        <f t="shared" si="110"/>
        <v>4.7442978694399285E-2</v>
      </c>
      <c r="BU45" s="17">
        <f t="shared" si="110"/>
        <v>0.30092478920100574</v>
      </c>
      <c r="BV45" s="17">
        <v>0</v>
      </c>
      <c r="BW45">
        <f t="shared" si="93"/>
        <v>1</v>
      </c>
    </row>
    <row r="46" spans="2:75" ht="15" x14ac:dyDescent="0.25">
      <c r="B46" s="6" t="s">
        <v>38</v>
      </c>
      <c r="C46" s="7" t="s">
        <v>39</v>
      </c>
      <c r="D46" s="14">
        <v>343</v>
      </c>
      <c r="E46" s="14">
        <v>31051</v>
      </c>
      <c r="F46" s="14">
        <v>737</v>
      </c>
      <c r="G46" s="14">
        <v>1202</v>
      </c>
      <c r="H46" s="14">
        <v>197</v>
      </c>
      <c r="I46" s="14">
        <v>49</v>
      </c>
      <c r="J46" s="14">
        <v>417</v>
      </c>
      <c r="K46" s="14">
        <v>39</v>
      </c>
      <c r="L46" s="14">
        <v>8</v>
      </c>
      <c r="M46" s="14"/>
      <c r="N46" s="16">
        <f t="shared" si="71"/>
        <v>237.053988</v>
      </c>
      <c r="O46" s="14"/>
      <c r="P46" s="16">
        <f t="shared" si="112"/>
        <v>4.6335189999999997</v>
      </c>
      <c r="Q46" s="16">
        <f t="shared" si="73"/>
        <v>7.0016499999999997</v>
      </c>
      <c r="R46" s="16">
        <f t="shared" si="74"/>
        <v>203.304</v>
      </c>
      <c r="S46" s="16">
        <f t="shared" si="75"/>
        <v>4.2035</v>
      </c>
      <c r="T46" s="16">
        <f t="shared" si="113"/>
        <v>9.1790039999999991</v>
      </c>
      <c r="U46" s="16">
        <f t="shared" si="77"/>
        <v>0.96719999999999995</v>
      </c>
      <c r="V46" s="16">
        <f t="shared" si="111"/>
        <v>8</v>
      </c>
      <c r="W46" s="16">
        <f t="shared" si="79"/>
        <v>237.28887299999997</v>
      </c>
      <c r="X46" s="16">
        <f t="shared" si="80"/>
        <v>237.053988</v>
      </c>
      <c r="Y46" s="16">
        <f t="shared" si="81"/>
        <v>0.23488499999996293</v>
      </c>
      <c r="Z46" s="16"/>
      <c r="AA46">
        <v>332</v>
      </c>
      <c r="AB46" s="66">
        <f>P46+$AN38*P47-$AN45*P46</f>
        <v>4.9383756299999995</v>
      </c>
      <c r="AC46" s="66">
        <f t="shared" ref="AC46" si="115">Q46+$AN38*Q47-$AN45*Q46</f>
        <v>8.0591205000000006</v>
      </c>
      <c r="AD46" s="66">
        <f t="shared" ref="AD46" si="116">R46+$AN38*R47-$AN45*R46</f>
        <v>211.9212</v>
      </c>
      <c r="AE46" s="66">
        <f t="shared" ref="AE46" si="117">S46+$AN38*S47-$AN45*S46</f>
        <v>4.4033807142857144</v>
      </c>
      <c r="AF46" s="66">
        <f t="shared" ref="AF46" si="118">T46+$AN38*T47-$AN45*T46</f>
        <v>11.729974679999998</v>
      </c>
      <c r="AG46" s="66">
        <f t="shared" ref="AG46" si="119">U46+$AN38*U47-$AN45*U46</f>
        <v>0.89949599999999996</v>
      </c>
      <c r="AH46" s="66">
        <f t="shared" ref="AH46" si="120">V46+$AN38*V47-$AN45*V46</f>
        <v>7.9799999999999986</v>
      </c>
      <c r="AI46" s="16">
        <f t="shared" si="83"/>
        <v>249.93154752428569</v>
      </c>
      <c r="AJ46" s="16">
        <f t="shared" si="84"/>
        <v>241.0520515242857</v>
      </c>
      <c r="AK46" s="16"/>
      <c r="AL46" s="16"/>
      <c r="AM46" s="64" t="s">
        <v>163</v>
      </c>
      <c r="AN46" s="69">
        <f>MECS_Total_Fuel!AM150</f>
        <v>0.04</v>
      </c>
      <c r="AP46" s="4"/>
      <c r="AQ46" s="4">
        <f>MECS_EnergyPrices!D114</f>
        <v>3.17</v>
      </c>
      <c r="AR46" s="4">
        <f>MECS_EnergyPrices!D83</f>
        <v>4.7699999999999996</v>
      </c>
      <c r="AS46" s="5">
        <f>MECS_EnergyPrices!D25</f>
        <v>3.6</v>
      </c>
      <c r="AT46">
        <f>MECS_EnergyPrices!D54</f>
        <v>6.37</v>
      </c>
      <c r="AU46" s="48">
        <f>MECS_EnergyPrices!D143</f>
        <v>1.94</v>
      </c>
      <c r="AV46" s="4"/>
      <c r="AW46" s="4"/>
      <c r="AX46" t="str">
        <f t="shared" si="85"/>
        <v>332</v>
      </c>
      <c r="AY46" s="16">
        <f t="shared" si="86"/>
        <v>241.0520515242857</v>
      </c>
      <c r="AZ46">
        <f>MECS_Total_Fuel!S45</f>
        <v>251.14969713900282</v>
      </c>
      <c r="BA46">
        <f t="shared" si="114"/>
        <v>1.0418898970196062</v>
      </c>
      <c r="BD46" s="3">
        <f t="shared" si="87"/>
        <v>251.14969713900285</v>
      </c>
      <c r="BF46" t="str">
        <f t="shared" si="65"/>
        <v>332</v>
      </c>
      <c r="BG46" s="9" t="str">
        <f t="shared" si="66"/>
        <v>Fabricated Metal Products</v>
      </c>
      <c r="BH46" s="4">
        <f>'[6]Table 7.6'!BG60</f>
        <v>0</v>
      </c>
      <c r="BI46" s="4">
        <f>'[6]Table 7.6'!BH60</f>
        <v>0</v>
      </c>
      <c r="BJ46">
        <f t="shared" si="88"/>
        <v>0</v>
      </c>
      <c r="BK46" s="4">
        <f t="shared" si="89"/>
        <v>249.93154752428569</v>
      </c>
      <c r="BL46" s="14">
        <f t="shared" si="90"/>
        <v>867.81866156130013</v>
      </c>
      <c r="BM46" s="4">
        <f t="shared" si="105"/>
        <v>3.4722253759380846</v>
      </c>
      <c r="BN46" s="3"/>
      <c r="BP46" s="17">
        <f t="shared" si="106"/>
        <v>2.0486760426938179E-2</v>
      </c>
      <c r="BQ46" s="17">
        <f t="shared" si="107"/>
        <v>3.3433113093368771E-2</v>
      </c>
      <c r="BR46" s="17">
        <f t="shared" si="108"/>
        <v>0.87915119850639067</v>
      </c>
      <c r="BS46" s="17">
        <f t="shared" si="109"/>
        <v>1.8267343863871157E-2</v>
      </c>
      <c r="BT46" s="17">
        <f t="shared" si="110"/>
        <v>4.8661584109431305E-2</v>
      </c>
      <c r="BU46" s="17">
        <v>0</v>
      </c>
      <c r="BV46" s="17">
        <v>0</v>
      </c>
      <c r="BW46">
        <f t="shared" si="93"/>
        <v>1</v>
      </c>
    </row>
    <row r="47" spans="2:75" ht="15" x14ac:dyDescent="0.25">
      <c r="B47" s="6" t="s">
        <v>40</v>
      </c>
      <c r="C47" s="7" t="s">
        <v>41</v>
      </c>
      <c r="D47" s="14">
        <v>278</v>
      </c>
      <c r="E47" s="14">
        <v>33894</v>
      </c>
      <c r="F47" s="14">
        <v>556</v>
      </c>
      <c r="G47" s="14">
        <v>1476</v>
      </c>
      <c r="H47" s="14">
        <v>123</v>
      </c>
      <c r="I47" s="14">
        <v>32</v>
      </c>
      <c r="J47" s="14">
        <v>806</v>
      </c>
      <c r="K47" s="56">
        <f>'[10]Table 4.2'!J129</f>
        <v>0</v>
      </c>
      <c r="L47" s="14">
        <v>3</v>
      </c>
      <c r="M47" s="14"/>
      <c r="N47" s="16">
        <f t="shared" si="71"/>
        <v>162.35367200000002</v>
      </c>
      <c r="O47" s="14"/>
      <c r="P47" s="16">
        <f t="shared" si="112"/>
        <v>3.4955719999999997</v>
      </c>
      <c r="Q47" s="16">
        <f t="shared" si="73"/>
        <v>8.5976999999999997</v>
      </c>
      <c r="R47" s="16">
        <f t="shared" si="74"/>
        <v>126.93600000000001</v>
      </c>
      <c r="S47" s="16">
        <f t="shared" si="75"/>
        <v>2.7451428571428576</v>
      </c>
      <c r="T47" s="16">
        <f t="shared" si="113"/>
        <v>17.741671999999998</v>
      </c>
      <c r="U47" s="16">
        <f t="shared" si="77"/>
        <v>0</v>
      </c>
      <c r="V47" s="16">
        <f t="shared" si="111"/>
        <v>3</v>
      </c>
      <c r="W47" s="16">
        <f t="shared" si="79"/>
        <v>162.51608685714285</v>
      </c>
      <c r="X47" s="16">
        <f t="shared" si="80"/>
        <v>162.35367200000002</v>
      </c>
      <c r="Y47" s="16">
        <f t="shared" si="81"/>
        <v>0.16241485714283499</v>
      </c>
      <c r="Z47" s="16"/>
      <c r="AA47">
        <v>333</v>
      </c>
      <c r="AB47" s="66">
        <f>P47-$AN38*P47-$AN36*P47-$AN37*P47+$AN42*P48</f>
        <v>5.1467232799999998</v>
      </c>
      <c r="AC47" s="66">
        <f t="shared" ref="AC47" si="121">Q47-$AN38*Q47-$AN36*Q47-$AN37*Q47+$AN42*Q48</f>
        <v>7.0482499999999995</v>
      </c>
      <c r="AD47" s="66">
        <f t="shared" ref="AD47" si="122">R47-$AN38*R47-$AN36*R47-$AN37*R47+$AN42*R48</f>
        <v>104.17008000000003</v>
      </c>
      <c r="AE47" s="66">
        <f t="shared" ref="AE47" si="123">S47-$AN38*S47-$AN36*S47-$AN37*S47+$AN42*S48</f>
        <v>2.031405714285714</v>
      </c>
      <c r="AF47" s="66">
        <f t="shared" ref="AF47" si="124">T47-$AN38*T47-$AN36*T47-$AN37*T47+$AN42*T48</f>
        <v>19.528837279999998</v>
      </c>
      <c r="AG47" s="66">
        <f t="shared" ref="AG47" si="125">U47-$AN38*U47-$AN36*U47-$AN37*U47+$AN42*U48</f>
        <v>0</v>
      </c>
      <c r="AH47" s="66">
        <f t="shared" ref="AH47" si="126">V47-$AN38*V47-$AN36*V47-$AN37*V47+$AN42*V48</f>
        <v>2.5399999999999996</v>
      </c>
      <c r="AI47" s="16">
        <f t="shared" si="83"/>
        <v>140.46529627428572</v>
      </c>
      <c r="AJ47" s="16">
        <f t="shared" si="84"/>
        <v>137.92529627428573</v>
      </c>
      <c r="AK47" s="16"/>
      <c r="AL47" s="16"/>
      <c r="AM47" s="64" t="s">
        <v>164</v>
      </c>
      <c r="AN47" s="68">
        <f>MECS_Total_Fuel!AM151</f>
        <v>0.28000000000000003</v>
      </c>
      <c r="AP47" s="4"/>
      <c r="AQ47" s="4">
        <f>MECS_EnergyPrices!D115</f>
        <v>3.02</v>
      </c>
      <c r="AR47" s="4">
        <f>MECS_EnergyPrices!D84</f>
        <v>4.3600000000000003</v>
      </c>
      <c r="AS47" s="5">
        <f>MECS_EnergyPrices!D26</f>
        <v>3.6</v>
      </c>
      <c r="AT47">
        <f>MECS_EnergyPrices!D55</f>
        <v>6.67</v>
      </c>
      <c r="AU47" s="48">
        <f>MECS_EnergyPrices!D144</f>
        <v>1.58</v>
      </c>
      <c r="AV47" s="4"/>
      <c r="AW47" s="4"/>
      <c r="AX47" t="str">
        <f t="shared" si="85"/>
        <v>333</v>
      </c>
      <c r="AY47" s="16">
        <f t="shared" si="86"/>
        <v>137.92529627428573</v>
      </c>
      <c r="AZ47">
        <f>MECS_Total_Fuel!S46</f>
        <v>138.88393804304263</v>
      </c>
      <c r="BA47">
        <f t="shared" si="114"/>
        <v>1.0069504419758541</v>
      </c>
      <c r="BD47" s="3">
        <f t="shared" si="87"/>
        <v>138.88393804304263</v>
      </c>
      <c r="BF47" t="str">
        <f t="shared" si="65"/>
        <v>333</v>
      </c>
      <c r="BG47" s="9" t="str">
        <f t="shared" si="66"/>
        <v>Machinery</v>
      </c>
      <c r="BH47" s="4">
        <f>'[6]Table 7.6'!BG61</f>
        <v>0</v>
      </c>
      <c r="BI47" s="4">
        <f>'[6]Table 7.6'!BH61</f>
        <v>0</v>
      </c>
      <c r="BJ47">
        <f t="shared" si="88"/>
        <v>0</v>
      </c>
      <c r="BK47" s="4">
        <f t="shared" si="89"/>
        <v>140.46529627428572</v>
      </c>
      <c r="BL47" s="14">
        <f t="shared" si="90"/>
        <v>465.69080132228584</v>
      </c>
      <c r="BM47" s="4">
        <f t="shared" si="105"/>
        <v>3.3153441716517245</v>
      </c>
      <c r="BN47" s="3"/>
      <c r="BP47" s="17">
        <f t="shared" si="106"/>
        <v>3.7315296171377778E-2</v>
      </c>
      <c r="BQ47" s="17">
        <f t="shared" si="107"/>
        <v>5.1101938443427135E-2</v>
      </c>
      <c r="BR47" s="17">
        <f t="shared" si="108"/>
        <v>0.75526450052238248</v>
      </c>
      <c r="BS47" s="17">
        <f t="shared" si="109"/>
        <v>1.4728304155649232E-2</v>
      </c>
      <c r="BT47" s="17">
        <f t="shared" si="110"/>
        <v>0.14158996070716348</v>
      </c>
      <c r="BU47" s="17">
        <v>0</v>
      </c>
      <c r="BV47" s="17">
        <v>0</v>
      </c>
      <c r="BW47">
        <f t="shared" si="93"/>
        <v>1</v>
      </c>
    </row>
    <row r="48" spans="2:75" ht="15" x14ac:dyDescent="0.25">
      <c r="B48" s="6" t="s">
        <v>42</v>
      </c>
      <c r="C48" s="7" t="s">
        <v>139</v>
      </c>
      <c r="D48" s="14">
        <v>112</v>
      </c>
      <c r="E48" s="14">
        <v>14339</v>
      </c>
      <c r="F48" s="14">
        <v>917</v>
      </c>
      <c r="G48" s="14">
        <v>368</v>
      </c>
      <c r="H48" s="14">
        <v>31</v>
      </c>
      <c r="I48" s="56">
        <v>0</v>
      </c>
      <c r="J48" s="14">
        <v>975</v>
      </c>
      <c r="K48" s="14">
        <v>0</v>
      </c>
      <c r="L48" s="14">
        <v>1</v>
      </c>
      <c r="M48" s="14"/>
      <c r="N48" s="16">
        <f t="shared" si="71"/>
        <v>63.075331999999996</v>
      </c>
      <c r="O48" s="14"/>
      <c r="P48" s="55">
        <v>8</v>
      </c>
      <c r="Q48" s="16">
        <f t="shared" si="73"/>
        <v>2.1435999999999997</v>
      </c>
      <c r="R48" s="16">
        <f t="shared" si="74"/>
        <v>31.992000000000001</v>
      </c>
      <c r="S48" s="16">
        <f t="shared" si="75"/>
        <v>0</v>
      </c>
      <c r="T48" s="55">
        <v>20</v>
      </c>
      <c r="U48" s="16">
        <f t="shared" si="77"/>
        <v>0</v>
      </c>
      <c r="V48" s="16">
        <f t="shared" si="111"/>
        <v>1</v>
      </c>
      <c r="W48" s="16">
        <f t="shared" si="79"/>
        <v>63.135599999999997</v>
      </c>
      <c r="X48" s="16">
        <f t="shared" si="80"/>
        <v>63.075331999999996</v>
      </c>
      <c r="Y48" s="16">
        <f t="shared" si="81"/>
        <v>6.0268000000000654E-2</v>
      </c>
      <c r="Z48" s="16"/>
      <c r="AA48">
        <v>334</v>
      </c>
      <c r="AB48" s="66">
        <f>$AN36*P47+$AN49*P48+$AN47*P49</f>
        <v>4.2059953200000004</v>
      </c>
      <c r="AC48" s="66">
        <f t="shared" ref="AC48" si="127">$AN36*Q47+$AN49*Q48+$AN47*Q49</f>
        <v>2.7403129999999996</v>
      </c>
      <c r="AD48" s="66">
        <f t="shared" ref="AD48" si="128">$AN36*R47+$AN49*R48+$AN47*R49</f>
        <v>42.188159999999996</v>
      </c>
      <c r="AE48" s="66">
        <f t="shared" ref="AE48" si="129">$AN36*S47+$AN49*S48+$AN47*S49</f>
        <v>0.95736857142857157</v>
      </c>
      <c r="AF48" s="66">
        <f t="shared" ref="AF48" si="130">$AN36*T47+$AN49*T48+$AN47*T49</f>
        <v>9.8614289600000014</v>
      </c>
      <c r="AG48" s="66">
        <f t="shared" ref="AG48" si="131">$AN36*U47+$AN49*U48+$AN47*U49</f>
        <v>6.2496000000000003E-2</v>
      </c>
      <c r="AH48" s="66">
        <f t="shared" ref="AH48" si="132">$AN36*V47+$AN49*V48+$AN47*V49</f>
        <v>1.08</v>
      </c>
      <c r="AI48" s="16">
        <f t="shared" si="83"/>
        <v>61.09576185142857</v>
      </c>
      <c r="AJ48" s="16">
        <f t="shared" si="84"/>
        <v>59.953265851428569</v>
      </c>
      <c r="AK48" s="16"/>
      <c r="AL48" s="16"/>
      <c r="AM48" s="64" t="s">
        <v>165</v>
      </c>
      <c r="AN48" s="68">
        <f>MECS_Total_Fuel!AM152</f>
        <v>0</v>
      </c>
      <c r="AP48" s="4"/>
      <c r="AQ48" s="4">
        <f>MECS_EnergyPrices!D116</f>
        <v>2.6469999999999998</v>
      </c>
      <c r="AR48" s="4">
        <f>MECS_EnergyPrices!D85</f>
        <v>4.181</v>
      </c>
      <c r="AS48" s="5">
        <f>MECS_EnergyPrices!D27</f>
        <v>3.5229999999999997</v>
      </c>
      <c r="AT48">
        <f>MECS_EnergyPrices!D56</f>
        <v>5.1889999999999992</v>
      </c>
      <c r="AU48" s="48">
        <f>MECS_EnergyPrices!D145</f>
        <v>1.1759999999999999</v>
      </c>
      <c r="AV48" s="4"/>
      <c r="AW48" s="4"/>
      <c r="AX48" t="str">
        <f t="shared" si="85"/>
        <v>334</v>
      </c>
      <c r="AY48" s="16">
        <f t="shared" si="86"/>
        <v>59.953265851428569</v>
      </c>
      <c r="AZ48">
        <f>MECS_Total_Fuel!S47</f>
        <v>62.693189717341816</v>
      </c>
      <c r="BA48">
        <f t="shared" si="114"/>
        <v>1.0457009943829101</v>
      </c>
      <c r="BD48" s="3">
        <f t="shared" si="87"/>
        <v>62.693189717341824</v>
      </c>
      <c r="BF48" t="str">
        <f t="shared" si="65"/>
        <v>334</v>
      </c>
      <c r="BG48" s="9" t="str">
        <f t="shared" si="66"/>
        <v>Computer and Electronic Products/Instruments</v>
      </c>
      <c r="BH48" s="4">
        <f>'[6]Table 7.6'!BG62</f>
        <v>0</v>
      </c>
      <c r="BI48" s="4">
        <f>'[6]Table 7.6'!BH62</f>
        <v>0</v>
      </c>
      <c r="BJ48">
        <f t="shared" si="88"/>
        <v>0</v>
      </c>
      <c r="BK48" s="4">
        <f t="shared" si="89"/>
        <v>61.09576185142857</v>
      </c>
      <c r="BL48" s="14">
        <f t="shared" si="90"/>
        <v>187.78423191914283</v>
      </c>
      <c r="BM48" s="4">
        <f t="shared" si="105"/>
        <v>3.0736048823778104</v>
      </c>
      <c r="BN48" s="3"/>
      <c r="BP48" s="17">
        <f t="shared" si="106"/>
        <v>7.0154565564834528E-2</v>
      </c>
      <c r="BQ48" s="17">
        <f t="shared" si="107"/>
        <v>4.5707485006585398E-2</v>
      </c>
      <c r="BR48" s="17">
        <f t="shared" si="108"/>
        <v>0.70368410128894976</v>
      </c>
      <c r="BS48" s="17">
        <f t="shared" si="109"/>
        <v>1.5968580824288148E-2</v>
      </c>
      <c r="BT48" s="17">
        <f t="shared" si="110"/>
        <v>0.16448526731534213</v>
      </c>
      <c r="BU48" s="17">
        <v>0</v>
      </c>
      <c r="BV48" s="17">
        <v>0</v>
      </c>
      <c r="BW48">
        <f t="shared" si="93"/>
        <v>1</v>
      </c>
    </row>
    <row r="49" spans="2:75" ht="15" x14ac:dyDescent="0.25">
      <c r="B49" s="6" t="s">
        <v>44</v>
      </c>
      <c r="C49" s="7" t="s">
        <v>45</v>
      </c>
      <c r="D49" s="14">
        <v>215</v>
      </c>
      <c r="E49" s="14">
        <v>31878</v>
      </c>
      <c r="F49" s="14">
        <v>725</v>
      </c>
      <c r="G49" s="14">
        <v>917</v>
      </c>
      <c r="H49" s="14">
        <v>82</v>
      </c>
      <c r="I49" s="14">
        <v>33</v>
      </c>
      <c r="J49" s="14">
        <v>324</v>
      </c>
      <c r="K49" s="14">
        <v>9</v>
      </c>
      <c r="L49" s="14">
        <v>2</v>
      </c>
      <c r="M49" s="14"/>
      <c r="N49" s="16">
        <f t="shared" si="71"/>
        <v>106.232264</v>
      </c>
      <c r="O49" s="14"/>
      <c r="P49" s="16">
        <f t="shared" ref="P49:P53" si="133">F49*P$2*0.000001</f>
        <v>4.5580749999999997</v>
      </c>
      <c r="Q49" s="16">
        <f t="shared" si="73"/>
        <v>5.3415249999999999</v>
      </c>
      <c r="R49" s="16">
        <f t="shared" si="74"/>
        <v>84.623999999999995</v>
      </c>
      <c r="S49" s="16">
        <f t="shared" si="75"/>
        <v>2.8309285714285717</v>
      </c>
      <c r="T49" s="16">
        <f t="shared" ref="T49:T53" si="134">J49*T$2*0.000001</f>
        <v>7.131888</v>
      </c>
      <c r="U49" s="16">
        <f t="shared" si="77"/>
        <v>0.22319999999999998</v>
      </c>
      <c r="V49" s="16">
        <f t="shared" si="111"/>
        <v>2</v>
      </c>
      <c r="W49" s="16">
        <f t="shared" si="79"/>
        <v>106.70961657142857</v>
      </c>
      <c r="X49" s="16">
        <f t="shared" si="80"/>
        <v>106.232264</v>
      </c>
      <c r="Y49" s="16">
        <f t="shared" si="81"/>
        <v>0.47735257142856824</v>
      </c>
      <c r="Z49" s="16"/>
      <c r="AA49">
        <v>335</v>
      </c>
      <c r="AB49" s="66">
        <f>(1-$AN46-$AN47)*P49</f>
        <v>3.0994909999999996</v>
      </c>
      <c r="AC49" s="66">
        <f t="shared" ref="AC49" si="135">(1-$AN46-$AN47)*Q49</f>
        <v>3.6322369999999995</v>
      </c>
      <c r="AD49" s="66">
        <f t="shared" ref="AD49" si="136">(1-$AN46-$AN47)*R49</f>
        <v>57.544319999999992</v>
      </c>
      <c r="AE49" s="66">
        <f t="shared" ref="AE49" si="137">(1-$AN46-$AN47)*S49</f>
        <v>1.9250314285714285</v>
      </c>
      <c r="AF49" s="66">
        <f t="shared" ref="AF49" si="138">(1-$AN46-$AN47)*T49</f>
        <v>4.84968384</v>
      </c>
      <c r="AG49" s="66">
        <f t="shared" ref="AG49" si="139">(1-$AN46-$AN47)*U49</f>
        <v>0.15177599999999997</v>
      </c>
      <c r="AH49" s="66">
        <f t="shared" ref="AH49" si="140">(1-$AN46-$AN47)*V49</f>
        <v>1.3599999999999999</v>
      </c>
      <c r="AI49" s="16">
        <f t="shared" si="83"/>
        <v>72.562539268571413</v>
      </c>
      <c r="AJ49" s="16">
        <f t="shared" si="84"/>
        <v>71.050763268571416</v>
      </c>
      <c r="AK49" s="16"/>
      <c r="AL49" s="16"/>
      <c r="AM49" s="64" t="s">
        <v>166</v>
      </c>
      <c r="AN49" s="68">
        <f>MECS_Total_Fuel!AM153</f>
        <v>0.34</v>
      </c>
      <c r="AP49" s="4"/>
      <c r="AQ49" s="4">
        <f>MECS_EnergyPrices!D117</f>
        <v>2.71</v>
      </c>
      <c r="AR49" s="4">
        <f>MECS_EnergyPrices!D86</f>
        <v>4.37</v>
      </c>
      <c r="AS49" s="5">
        <f>MECS_EnergyPrices!D28</f>
        <v>3.43</v>
      </c>
      <c r="AT49">
        <f>MECS_EnergyPrices!D57</f>
        <v>5.81</v>
      </c>
      <c r="AU49" s="48">
        <f>MECS_EnergyPrices!D146</f>
        <v>1.68</v>
      </c>
      <c r="AV49" s="4"/>
      <c r="AW49" s="4"/>
      <c r="AX49" t="str">
        <f t="shared" si="85"/>
        <v>335</v>
      </c>
      <c r="AY49" s="16">
        <f t="shared" si="86"/>
        <v>71.050763268571416</v>
      </c>
      <c r="AZ49">
        <f>MECS_Total_Fuel!S48</f>
        <v>64.55717435203718</v>
      </c>
      <c r="BA49">
        <f t="shared" si="114"/>
        <v>0.90860634540985141</v>
      </c>
      <c r="BD49" s="3">
        <f t="shared" si="87"/>
        <v>64.55717435203718</v>
      </c>
      <c r="BF49" t="str">
        <f t="shared" si="65"/>
        <v>335</v>
      </c>
      <c r="BG49" s="9" t="str">
        <f t="shared" si="66"/>
        <v>Electrical Equip., Appliances, and Components</v>
      </c>
      <c r="BH49" s="4">
        <f>'[6]Table 7.6'!BG63</f>
        <v>0</v>
      </c>
      <c r="BI49" s="4">
        <f>'[6]Table 7.6'!BH63</f>
        <v>0</v>
      </c>
      <c r="BJ49">
        <f t="shared" si="88"/>
        <v>0</v>
      </c>
      <c r="BK49" s="4">
        <f t="shared" si="89"/>
        <v>72.562539268571413</v>
      </c>
      <c r="BL49" s="14">
        <f t="shared" si="90"/>
        <v>240.98141535119998</v>
      </c>
      <c r="BM49" s="4">
        <f t="shared" si="105"/>
        <v>3.3210168467130097</v>
      </c>
      <c r="BN49" s="3"/>
      <c r="BP49" s="17">
        <f t="shared" si="106"/>
        <v>4.3623612997427542E-2</v>
      </c>
      <c r="BQ49" s="17">
        <f t="shared" si="107"/>
        <v>5.1121716824774531E-2</v>
      </c>
      <c r="BR49" s="17">
        <f t="shared" si="108"/>
        <v>0.80990431844458644</v>
      </c>
      <c r="BS49" s="17">
        <f t="shared" si="109"/>
        <v>2.7093747343639681E-2</v>
      </c>
      <c r="BT49" s="17">
        <f t="shared" si="110"/>
        <v>6.8256604389571818E-2</v>
      </c>
      <c r="BU49" s="17">
        <v>0</v>
      </c>
      <c r="BV49" s="17">
        <v>0</v>
      </c>
      <c r="BW49">
        <f t="shared" si="93"/>
        <v>1</v>
      </c>
    </row>
    <row r="50" spans="2:75" ht="15" x14ac:dyDescent="0.25">
      <c r="B50" s="6" t="s">
        <v>46</v>
      </c>
      <c r="C50" s="7" t="s">
        <v>47</v>
      </c>
      <c r="D50" s="14">
        <v>350</v>
      </c>
      <c r="E50" s="14">
        <v>37965</v>
      </c>
      <c r="F50" s="14">
        <v>2970</v>
      </c>
      <c r="G50" s="56">
        <v>0</v>
      </c>
      <c r="H50" s="14">
        <v>134</v>
      </c>
      <c r="I50" s="14">
        <v>24</v>
      </c>
      <c r="J50" s="14">
        <v>1646</v>
      </c>
      <c r="K50" s="56">
        <f>'[10]Table 4.2'!J132</f>
        <v>0</v>
      </c>
      <c r="L50" s="14">
        <v>9</v>
      </c>
      <c r="M50" s="14"/>
      <c r="N50" s="16">
        <f t="shared" si="71"/>
        <v>220.46341999999999</v>
      </c>
      <c r="O50" s="14"/>
      <c r="P50" s="16">
        <f t="shared" si="133"/>
        <v>18.67239</v>
      </c>
      <c r="Q50" s="55">
        <v>10</v>
      </c>
      <c r="R50" s="16">
        <f t="shared" si="74"/>
        <v>138.28800000000001</v>
      </c>
      <c r="S50" s="16">
        <f t="shared" si="75"/>
        <v>2.0588571428571432</v>
      </c>
      <c r="T50" s="16">
        <f t="shared" si="134"/>
        <v>36.231752</v>
      </c>
      <c r="U50" s="55">
        <v>6</v>
      </c>
      <c r="V50" s="16">
        <f t="shared" si="111"/>
        <v>9</v>
      </c>
      <c r="W50" s="16">
        <f t="shared" si="79"/>
        <v>220.25099914285715</v>
      </c>
      <c r="X50" s="16">
        <f t="shared" si="80"/>
        <v>220.46341999999999</v>
      </c>
      <c r="Y50" s="16">
        <f t="shared" si="81"/>
        <v>-0.21242085714283121</v>
      </c>
      <c r="Z50" s="16"/>
      <c r="AA50">
        <v>336</v>
      </c>
      <c r="AB50" s="66">
        <f>P50+$AN45*P46+$AN37*P47+$AN46*P49</f>
        <v>19.24897077</v>
      </c>
      <c r="AC50" s="66">
        <f t="shared" ref="AC50" si="141">Q50+$AN45*Q46+$AN37*Q47+$AN46*Q49</f>
        <v>10.8757305</v>
      </c>
      <c r="AD50" s="66">
        <f t="shared" ref="AD50" si="142">R50+$AN45*R46+$AN37*R47+$AN46*R49</f>
        <v>158.44296000000003</v>
      </c>
      <c r="AE50" s="66">
        <f t="shared" ref="AE50" si="143">S50+$AN45*S46+$AN37*S47+$AN46*S49</f>
        <v>2.5212421428571434</v>
      </c>
      <c r="AF50" s="66">
        <f t="shared" ref="AF50" si="144">T50+$AN45*T46+$AN37*T47+$AN46*T49</f>
        <v>37.514391240000002</v>
      </c>
      <c r="AG50" s="66">
        <f t="shared" ref="AG50" si="145">U50+$AN45*U46+$AN37*U47+$AN46*U49</f>
        <v>6.076632</v>
      </c>
      <c r="AH50" s="66">
        <f t="shared" ref="AH50" si="146">V50+$AN45*V46+$AN37*V47+$AN46*V49</f>
        <v>9.7000000000000011</v>
      </c>
      <c r="AI50" s="16">
        <f t="shared" si="83"/>
        <v>244.37992665285716</v>
      </c>
      <c r="AJ50" s="16">
        <f t="shared" si="84"/>
        <v>228.60329465285719</v>
      </c>
      <c r="AK50" s="16"/>
      <c r="AL50" s="16"/>
      <c r="AM50" s="16"/>
      <c r="AN50" s="16"/>
      <c r="AP50" s="4"/>
      <c r="AQ50" s="4">
        <f>MECS_EnergyPrices!D118</f>
        <v>2.88</v>
      </c>
      <c r="AR50" s="4">
        <f>MECS_EnergyPrices!D87</f>
        <v>4.4000000000000004</v>
      </c>
      <c r="AS50" s="5">
        <f>MECS_EnergyPrices!D29</f>
        <v>3.48</v>
      </c>
      <c r="AT50">
        <f>MECS_EnergyPrices!D58</f>
        <v>5.5</v>
      </c>
      <c r="AU50" s="48">
        <f>MECS_EnergyPrices!D147</f>
        <v>2.0499999999999998</v>
      </c>
      <c r="AV50" s="4"/>
      <c r="AW50" s="4"/>
      <c r="AX50" t="str">
        <f t="shared" si="85"/>
        <v>336</v>
      </c>
      <c r="AY50" s="16">
        <f t="shared" si="86"/>
        <v>228.60329465285719</v>
      </c>
      <c r="AZ50">
        <f>MECS_Total_Fuel!S49</f>
        <v>254.78050349600764</v>
      </c>
      <c r="BA50">
        <f t="shared" si="114"/>
        <v>1.1145093244736544</v>
      </c>
      <c r="BD50" s="3">
        <f t="shared" si="87"/>
        <v>254.78050349600764</v>
      </c>
      <c r="BF50" t="str">
        <f t="shared" si="65"/>
        <v>336</v>
      </c>
      <c r="BG50" s="9" t="str">
        <f t="shared" si="66"/>
        <v>Transportation Equipment</v>
      </c>
      <c r="BH50" s="4">
        <f>'[6]Table 7.6'!BG64</f>
        <v>0</v>
      </c>
      <c r="BI50" s="4">
        <f>'[6]Table 7.6'!BH64</f>
        <v>0</v>
      </c>
      <c r="BJ50">
        <f t="shared" si="88"/>
        <v>0</v>
      </c>
      <c r="BK50" s="4">
        <f t="shared" si="89"/>
        <v>244.37992665285716</v>
      </c>
      <c r="BL50" s="14">
        <f t="shared" si="90"/>
        <v>745.44308464531446</v>
      </c>
      <c r="BM50" s="4">
        <f t="shared" si="105"/>
        <v>3.0503449888673542</v>
      </c>
      <c r="BN50" s="3"/>
      <c r="BP50" s="17">
        <f t="shared" si="106"/>
        <v>8.420250810133903E-2</v>
      </c>
      <c r="BQ50" s="17">
        <f t="shared" si="107"/>
        <v>4.7574688354842874E-2</v>
      </c>
      <c r="BR50" s="17">
        <f t="shared" si="108"/>
        <v>0.69309132329261347</v>
      </c>
      <c r="BS50" s="17">
        <f t="shared" si="109"/>
        <v>1.102889679121093E-2</v>
      </c>
      <c r="BT50" s="17">
        <f t="shared" si="110"/>
        <v>0.1641025834599936</v>
      </c>
      <c r="BU50" s="17">
        <v>0</v>
      </c>
      <c r="BV50" s="17">
        <v>0</v>
      </c>
      <c r="BW50">
        <f t="shared" si="93"/>
        <v>0.99999999999999989</v>
      </c>
    </row>
    <row r="51" spans="2:75" ht="15" x14ac:dyDescent="0.25">
      <c r="B51" s="6" t="s">
        <v>48</v>
      </c>
      <c r="C51" s="7" t="s">
        <v>49</v>
      </c>
      <c r="D51" s="14">
        <v>54</v>
      </c>
      <c r="E51" s="14">
        <v>5687</v>
      </c>
      <c r="F51" s="14">
        <v>185</v>
      </c>
      <c r="G51" s="14">
        <v>591</v>
      </c>
      <c r="H51" s="14">
        <v>22</v>
      </c>
      <c r="I51" s="14">
        <v>14</v>
      </c>
      <c r="J51" s="14">
        <v>132</v>
      </c>
      <c r="K51" s="14">
        <v>0</v>
      </c>
      <c r="L51" s="14">
        <v>3</v>
      </c>
      <c r="M51" s="14"/>
      <c r="N51" s="16">
        <f t="shared" si="71"/>
        <v>34.595956000000001</v>
      </c>
      <c r="O51" s="14"/>
      <c r="P51" s="16">
        <f t="shared" si="133"/>
        <v>1.163095</v>
      </c>
      <c r="Q51" s="16">
        <f t="shared" si="73"/>
        <v>3.4425749999999997</v>
      </c>
      <c r="R51" s="16">
        <f t="shared" si="74"/>
        <v>22.704000000000001</v>
      </c>
      <c r="S51" s="16">
        <f t="shared" si="75"/>
        <v>1.2010000000000001</v>
      </c>
      <c r="T51" s="16">
        <f t="shared" si="134"/>
        <v>2.9055839999999997</v>
      </c>
      <c r="U51" s="16">
        <f t="shared" si="77"/>
        <v>0</v>
      </c>
      <c r="V51" s="16">
        <f t="shared" si="111"/>
        <v>3</v>
      </c>
      <c r="W51" s="16">
        <f t="shared" si="79"/>
        <v>34.416254000000002</v>
      </c>
      <c r="X51" s="16">
        <f t="shared" si="80"/>
        <v>34.595956000000001</v>
      </c>
      <c r="Y51" s="16">
        <f t="shared" si="81"/>
        <v>-0.17970199999999892</v>
      </c>
      <c r="Z51" s="16"/>
      <c r="AA51">
        <v>337</v>
      </c>
      <c r="AB51" s="66">
        <f>P51</f>
        <v>1.163095</v>
      </c>
      <c r="AC51" s="66">
        <f t="shared" ref="AC51" si="147">Q51</f>
        <v>3.4425749999999997</v>
      </c>
      <c r="AD51" s="66">
        <f t="shared" ref="AD51" si="148">R51</f>
        <v>22.704000000000001</v>
      </c>
      <c r="AE51" s="66">
        <f t="shared" ref="AE51" si="149">S51</f>
        <v>1.2010000000000001</v>
      </c>
      <c r="AF51" s="66">
        <f t="shared" ref="AF51" si="150">T51</f>
        <v>2.9055839999999997</v>
      </c>
      <c r="AG51" s="66">
        <f t="shared" ref="AG51" si="151">U51</f>
        <v>0</v>
      </c>
      <c r="AH51" s="66">
        <f t="shared" ref="AH51" si="152">V51</f>
        <v>3</v>
      </c>
      <c r="AI51" s="16">
        <f t="shared" si="83"/>
        <v>34.416254000000002</v>
      </c>
      <c r="AJ51" s="16">
        <f t="shared" si="84"/>
        <v>31.416254000000002</v>
      </c>
      <c r="AK51" s="16"/>
      <c r="AL51" s="16"/>
      <c r="AM51" s="16"/>
      <c r="AN51" s="16"/>
      <c r="AP51" s="4"/>
      <c r="AQ51" s="4">
        <f>MECS_EnergyPrices!D119</f>
        <v>3.14</v>
      </c>
      <c r="AR51" s="4">
        <f>MECS_EnergyPrices!D88</f>
        <v>5.22</v>
      </c>
      <c r="AS51" s="5">
        <f>MECS_EnergyPrices!D30</f>
        <v>3.9</v>
      </c>
      <c r="AT51">
        <f>MECS_EnergyPrices!D59</f>
        <v>6.19</v>
      </c>
      <c r="AU51" s="48">
        <f>MECS_EnergyPrices!D148</f>
        <v>2.1800000000000002</v>
      </c>
      <c r="AV51" s="4"/>
      <c r="AW51" s="4"/>
      <c r="AX51" t="str">
        <f t="shared" si="85"/>
        <v>337</v>
      </c>
      <c r="AY51" s="16">
        <f t="shared" si="86"/>
        <v>31.416254000000002</v>
      </c>
      <c r="AZ51">
        <f>MECS_Total_Fuel!S50</f>
        <v>48.640156995919362</v>
      </c>
      <c r="BA51">
        <f t="shared" si="114"/>
        <v>1.5482481455592816</v>
      </c>
      <c r="BD51" s="3">
        <f t="shared" si="87"/>
        <v>48.640156995919362</v>
      </c>
      <c r="BF51" t="str">
        <f t="shared" si="65"/>
        <v>337</v>
      </c>
      <c r="BG51" s="9" t="str">
        <f t="shared" si="66"/>
        <v>Furniture and Related Products</v>
      </c>
      <c r="BH51" s="4">
        <f>'[6]Table 7.6'!BG65</f>
        <v>0</v>
      </c>
      <c r="BI51" s="4">
        <f>'[6]Table 7.6'!BH65</f>
        <v>0</v>
      </c>
      <c r="BJ51">
        <f t="shared" si="88"/>
        <v>0</v>
      </c>
      <c r="BK51" s="4">
        <f t="shared" si="89"/>
        <v>34.416254000000002</v>
      </c>
      <c r="BL51" s="14">
        <f t="shared" si="90"/>
        <v>123.93632292000001</v>
      </c>
      <c r="BM51" s="4">
        <f t="shared" si="105"/>
        <v>3.601098565811375</v>
      </c>
      <c r="BN51" s="3"/>
      <c r="BP51" s="17">
        <f t="shared" si="106"/>
        <v>3.7022077807239526E-2</v>
      </c>
      <c r="BQ51" s="17">
        <f t="shared" si="107"/>
        <v>0.10957942344112699</v>
      </c>
      <c r="BR51" s="17">
        <f t="shared" si="108"/>
        <v>0.72268323269858969</v>
      </c>
      <c r="BS51" s="17">
        <f t="shared" si="109"/>
        <v>3.8228618854431212E-2</v>
      </c>
      <c r="BT51" s="17">
        <f t="shared" si="110"/>
        <v>9.248664719861252E-2</v>
      </c>
      <c r="BU51" s="17">
        <v>0</v>
      </c>
      <c r="BV51" s="17">
        <v>0</v>
      </c>
      <c r="BW51">
        <f t="shared" si="93"/>
        <v>1</v>
      </c>
    </row>
    <row r="52" spans="2:75" ht="15" x14ac:dyDescent="0.25">
      <c r="B52" s="6" t="s">
        <v>50</v>
      </c>
      <c r="C52" s="7" t="s">
        <v>51</v>
      </c>
      <c r="D52" s="14">
        <v>40</v>
      </c>
      <c r="E52" s="14">
        <v>4183</v>
      </c>
      <c r="F52" s="14">
        <v>195</v>
      </c>
      <c r="G52" s="14">
        <v>275</v>
      </c>
      <c r="H52" s="14">
        <v>19</v>
      </c>
      <c r="I52" s="14">
        <v>6</v>
      </c>
      <c r="J52" s="14">
        <v>82</v>
      </c>
      <c r="K52" s="14">
        <v>0</v>
      </c>
      <c r="L52" s="14">
        <v>1</v>
      </c>
      <c r="M52" s="14"/>
      <c r="N52" s="16">
        <f t="shared" si="71"/>
        <v>25.727603999999999</v>
      </c>
      <c r="O52" s="14"/>
      <c r="P52" s="16">
        <f t="shared" si="133"/>
        <v>1.225965</v>
      </c>
      <c r="Q52" s="16">
        <f t="shared" si="73"/>
        <v>1.6018749999999999</v>
      </c>
      <c r="R52" s="16">
        <f t="shared" si="74"/>
        <v>19.608000000000001</v>
      </c>
      <c r="S52" s="16">
        <f t="shared" si="75"/>
        <v>0.51471428571428579</v>
      </c>
      <c r="T52" s="16">
        <f t="shared" si="134"/>
        <v>1.8049839999999999</v>
      </c>
      <c r="U52" s="16">
        <f t="shared" si="77"/>
        <v>0</v>
      </c>
      <c r="V52" s="16">
        <f t="shared" si="111"/>
        <v>1</v>
      </c>
      <c r="W52" s="16">
        <f t="shared" si="79"/>
        <v>25.755538285714287</v>
      </c>
      <c r="X52" s="16">
        <f t="shared" si="80"/>
        <v>25.727603999999999</v>
      </c>
      <c r="Y52" s="16">
        <f t="shared" si="81"/>
        <v>2.793428571428791E-2</v>
      </c>
      <c r="Z52" s="16"/>
      <c r="AA52">
        <v>339</v>
      </c>
      <c r="AB52" s="66">
        <f>P52+$AN43*P48</f>
        <v>3.9459650000000002</v>
      </c>
      <c r="AC52" s="66">
        <f t="shared" ref="AC52" si="153">Q52+$AN43*Q48</f>
        <v>2.3306990000000001</v>
      </c>
      <c r="AD52" s="66">
        <f t="shared" ref="AD52" si="154">R52+$AN43*R48</f>
        <v>30.485280000000003</v>
      </c>
      <c r="AE52" s="66">
        <f t="shared" ref="AE52" si="155">S52+$AN43*S48</f>
        <v>0.51471428571428579</v>
      </c>
      <c r="AF52" s="66">
        <f t="shared" ref="AF52" si="156">T52+$AN43*T48</f>
        <v>8.604984</v>
      </c>
      <c r="AG52" s="66">
        <f t="shared" ref="AG52" si="157">U52+$AN43*U48</f>
        <v>0</v>
      </c>
      <c r="AH52" s="66">
        <f t="shared" ref="AH52" si="158">V52+$AN43*V48</f>
        <v>1.34</v>
      </c>
      <c r="AI52" s="16">
        <f t="shared" si="83"/>
        <v>47.221642285714289</v>
      </c>
      <c r="AJ52" s="16">
        <f t="shared" si="84"/>
        <v>45.881642285714285</v>
      </c>
      <c r="AK52" s="16"/>
      <c r="AL52" s="16"/>
      <c r="AM52" s="16"/>
      <c r="AN52" s="16"/>
      <c r="AP52" s="4"/>
      <c r="AQ52" s="4">
        <f>MECS_EnergyPrices!D120</f>
        <v>2.87</v>
      </c>
      <c r="AR52" s="4">
        <f>MECS_EnergyPrices!D89</f>
        <v>4.9800000000000004</v>
      </c>
      <c r="AS52" s="5">
        <f>MECS_EnergyPrices!D31</f>
        <v>3.74</v>
      </c>
      <c r="AT52">
        <f>MECS_EnergyPrices!D60</f>
        <v>7.65</v>
      </c>
      <c r="AU52" s="48">
        <f>MECS_EnergyPrices!D149</f>
        <v>1.82</v>
      </c>
      <c r="AV52" s="4"/>
      <c r="AW52" s="4"/>
      <c r="AX52" t="str">
        <f t="shared" si="85"/>
        <v>339</v>
      </c>
      <c r="AY52" s="16">
        <f t="shared" si="86"/>
        <v>45.881642285714285</v>
      </c>
      <c r="AZ52">
        <f>MECS_Total_Fuel!S51</f>
        <v>45.434393503358493</v>
      </c>
      <c r="BA52">
        <f t="shared" si="114"/>
        <v>0.99025211914667999</v>
      </c>
      <c r="BD52" s="3">
        <f t="shared" si="87"/>
        <v>45.434393503358493</v>
      </c>
      <c r="BF52" t="str">
        <f t="shared" si="65"/>
        <v>339</v>
      </c>
      <c r="BG52" s="9" t="str">
        <f t="shared" si="66"/>
        <v>Miscellaneous</v>
      </c>
      <c r="BH52" s="4">
        <f>'[6]Table 7.6'!BG66</f>
        <v>0</v>
      </c>
      <c r="BI52" s="4">
        <f>'[6]Table 7.6'!BH66</f>
        <v>0</v>
      </c>
      <c r="BJ52">
        <f t="shared" si="88"/>
        <v>0</v>
      </c>
      <c r="BK52" s="4">
        <f t="shared" si="89"/>
        <v>47.221642285714289</v>
      </c>
      <c r="BL52" s="14">
        <f t="shared" si="90"/>
        <v>156.54538293571431</v>
      </c>
      <c r="BM52" s="4">
        <f t="shared" si="105"/>
        <v>3.3151194104715236</v>
      </c>
      <c r="BN52" s="3"/>
      <c r="BP52" s="17">
        <f t="shared" si="106"/>
        <v>8.6003133354025915E-2</v>
      </c>
      <c r="BQ52" s="17">
        <f t="shared" si="107"/>
        <v>5.0798072690734677E-2</v>
      </c>
      <c r="BR52" s="17">
        <f t="shared" si="108"/>
        <v>0.66443306039836125</v>
      </c>
      <c r="BS52" s="17">
        <f t="shared" si="109"/>
        <v>1.1218305624481697E-2</v>
      </c>
      <c r="BT52" s="17">
        <f t="shared" si="110"/>
        <v>0.18754742793239659</v>
      </c>
      <c r="BU52" s="17">
        <v>0</v>
      </c>
      <c r="BV52" s="17">
        <v>0</v>
      </c>
      <c r="BW52">
        <f t="shared" si="93"/>
        <v>1</v>
      </c>
    </row>
    <row r="53" spans="2:75" ht="15" x14ac:dyDescent="0.25">
      <c r="B53" s="6"/>
      <c r="C53" s="8" t="s">
        <v>0</v>
      </c>
      <c r="D53" s="14">
        <v>11052</v>
      </c>
      <c r="E53" s="14">
        <v>728168</v>
      </c>
      <c r="F53" s="14">
        <v>79945</v>
      </c>
      <c r="G53" s="14">
        <v>36161</v>
      </c>
      <c r="H53" s="14">
        <v>5132</v>
      </c>
      <c r="I53" s="14">
        <v>713</v>
      </c>
      <c r="J53" s="14">
        <v>57229</v>
      </c>
      <c r="K53" s="14">
        <v>15765</v>
      </c>
      <c r="L53" s="14">
        <v>837</v>
      </c>
      <c r="M53" s="14"/>
      <c r="N53" s="16">
        <f t="shared" si="71"/>
        <v>8567.4907839999996</v>
      </c>
      <c r="O53" s="14"/>
      <c r="P53" s="16">
        <f t="shared" si="133"/>
        <v>502.614215</v>
      </c>
      <c r="Q53" s="16">
        <f t="shared" si="73"/>
        <v>210.63782499999999</v>
      </c>
      <c r="R53" s="16">
        <f t="shared" si="74"/>
        <v>5296.2240000000002</v>
      </c>
      <c r="S53" s="16">
        <f t="shared" si="75"/>
        <v>61.165214285714292</v>
      </c>
      <c r="T53" s="16">
        <f t="shared" si="134"/>
        <v>1259.7247479999999</v>
      </c>
      <c r="U53" s="16">
        <f t="shared" si="77"/>
        <v>390.97199999999998</v>
      </c>
      <c r="V53" s="16">
        <f t="shared" si="111"/>
        <v>837</v>
      </c>
      <c r="W53" s="16">
        <f t="shared" si="79"/>
        <v>8558.3380022857145</v>
      </c>
      <c r="X53" s="16">
        <f t="shared" si="80"/>
        <v>8567.4907839999996</v>
      </c>
      <c r="Y53" s="16">
        <f t="shared" si="81"/>
        <v>-9.1527817142850836</v>
      </c>
      <c r="Z53" s="16"/>
      <c r="AA53" s="16"/>
      <c r="AB53" s="61"/>
      <c r="AG53" s="16"/>
      <c r="AH53" s="16"/>
      <c r="AI53" s="16"/>
      <c r="AJ53" s="16"/>
      <c r="AK53" s="16"/>
      <c r="AL53" s="16"/>
      <c r="AM53" s="16"/>
      <c r="AN53" s="16"/>
      <c r="AP53" s="4"/>
      <c r="AQ53" s="4">
        <f>MECS_EnergyPrices!D121</f>
        <v>2.5</v>
      </c>
      <c r="AR53" s="4">
        <f>MECS_EnergyPrices!D90</f>
        <v>4.66</v>
      </c>
      <c r="AS53" s="5">
        <f>MECS_EnergyPrices!D32</f>
        <v>0</v>
      </c>
      <c r="AT53">
        <f>MECS_EnergyPrices!D61</f>
        <v>5.27</v>
      </c>
      <c r="AU53" s="48">
        <f>MECS_EnergyPrices!D150</f>
        <v>1.72</v>
      </c>
      <c r="AV53" s="4"/>
      <c r="AW53" s="4"/>
      <c r="BL53" s="14"/>
    </row>
    <row r="54" spans="2:75" ht="15" x14ac:dyDescent="0.25">
      <c r="B54" s="6"/>
      <c r="C54" s="8" t="s">
        <v>52</v>
      </c>
      <c r="D54" s="21">
        <f>SUM(D32:D52)</f>
        <v>11054</v>
      </c>
      <c r="E54" s="21">
        <f t="shared" ref="E54:N54" si="159">SUM(E32:E52)</f>
        <v>728168</v>
      </c>
      <c r="F54" s="21">
        <f t="shared" si="159"/>
        <v>69602</v>
      </c>
      <c r="G54" s="21">
        <f t="shared" si="159"/>
        <v>28752</v>
      </c>
      <c r="H54" s="21">
        <f t="shared" si="159"/>
        <v>5132</v>
      </c>
      <c r="I54" s="21">
        <f t="shared" si="159"/>
        <v>575</v>
      </c>
      <c r="J54" s="21">
        <f t="shared" si="159"/>
        <v>57231</v>
      </c>
      <c r="K54" s="21">
        <f t="shared" si="159"/>
        <v>15405.5</v>
      </c>
      <c r="L54" s="21">
        <f t="shared" si="159"/>
        <v>840</v>
      </c>
      <c r="M54" s="21"/>
      <c r="N54" s="21">
        <f t="shared" si="159"/>
        <v>8569.4907839999996</v>
      </c>
      <c r="O54" s="14"/>
      <c r="P54" s="21">
        <f t="shared" ref="P54:Y54" si="160">SUM(P32:P52)</f>
        <v>502.94314899999989</v>
      </c>
      <c r="Q54" s="21">
        <f t="shared" si="160"/>
        <v>210.48040000000003</v>
      </c>
      <c r="R54" s="21">
        <f t="shared" si="160"/>
        <v>5296.2239999999983</v>
      </c>
      <c r="S54" s="21">
        <f t="shared" si="160"/>
        <v>61.32678571428572</v>
      </c>
      <c r="T54" s="21">
        <f t="shared" si="160"/>
        <v>1256.9738</v>
      </c>
      <c r="U54" s="21">
        <f t="shared" si="160"/>
        <v>391.0564</v>
      </c>
      <c r="V54" s="21">
        <f t="shared" si="160"/>
        <v>839.5</v>
      </c>
      <c r="W54" s="21">
        <f t="shared" si="160"/>
        <v>8558.5045347142859</v>
      </c>
      <c r="X54" s="21">
        <f t="shared" si="160"/>
        <v>8569.4907839999996</v>
      </c>
      <c r="Y54" s="21">
        <f t="shared" si="160"/>
        <v>-10.986249285714349</v>
      </c>
      <c r="Z54" s="21"/>
      <c r="AA54" s="21"/>
      <c r="AB54" s="21">
        <f>SUM(AB32:AB53)</f>
        <v>502.94314899999995</v>
      </c>
      <c r="AC54" s="21">
        <f>SUM(AC32:AC53)</f>
        <v>210.48040000000003</v>
      </c>
      <c r="AD54" s="21">
        <f>SUM(AD32:AD53)</f>
        <v>5296.2239999999983</v>
      </c>
      <c r="AE54" s="21">
        <f t="shared" ref="AE54" si="161">SUM(AE32:AE53)</f>
        <v>61.32678571428572</v>
      </c>
      <c r="AF54" s="21">
        <f t="shared" ref="AF54" si="162">SUM(AF32:AF53)</f>
        <v>1256.9737999999998</v>
      </c>
      <c r="AG54" s="21">
        <f t="shared" ref="AG54" si="163">SUM(AG32:AG53)</f>
        <v>391.0564</v>
      </c>
      <c r="AH54" s="21">
        <f t="shared" ref="AH54:AI54" si="164">SUM(AH32:AH53)</f>
        <v>839.50000000000011</v>
      </c>
      <c r="AI54" s="21">
        <f t="shared" si="164"/>
        <v>8558.5045347142841</v>
      </c>
      <c r="AJ54" s="21"/>
      <c r="AK54" s="21"/>
      <c r="AL54" s="21"/>
      <c r="AM54" s="21"/>
      <c r="AN54" s="21"/>
      <c r="BL54" s="14"/>
    </row>
    <row r="55" spans="2:75" x14ac:dyDescent="0.2">
      <c r="BL55" s="14"/>
    </row>
    <row r="56" spans="2:75" x14ac:dyDescent="0.2">
      <c r="BL56" s="14"/>
    </row>
    <row r="57" spans="2:75" x14ac:dyDescent="0.2">
      <c r="BL57" s="14"/>
    </row>
    <row r="58" spans="2:75" x14ac:dyDescent="0.2">
      <c r="BL58" s="14"/>
    </row>
    <row r="59" spans="2:75" ht="18" x14ac:dyDescent="0.25">
      <c r="O59" t="s">
        <v>143</v>
      </c>
      <c r="R59">
        <v>1030</v>
      </c>
      <c r="S59">
        <v>3614</v>
      </c>
      <c r="AP59" t="s">
        <v>79</v>
      </c>
      <c r="AY59" s="20">
        <v>1991</v>
      </c>
      <c r="BL59" s="14"/>
    </row>
    <row r="60" spans="2:75" ht="26.25" x14ac:dyDescent="0.25">
      <c r="B60" s="13">
        <v>1991</v>
      </c>
      <c r="C60" t="s">
        <v>145</v>
      </c>
      <c r="F60" t="s">
        <v>53</v>
      </c>
      <c r="G60" t="s">
        <v>54</v>
      </c>
      <c r="I60" t="s">
        <v>55</v>
      </c>
      <c r="K60" t="s">
        <v>56</v>
      </c>
      <c r="AY60" t="s">
        <v>185</v>
      </c>
      <c r="BF60" s="20">
        <v>1991</v>
      </c>
      <c r="BL60" s="14"/>
      <c r="BP60" s="11" t="s">
        <v>85</v>
      </c>
      <c r="BQ60">
        <v>1991</v>
      </c>
    </row>
    <row r="61" spans="2:75" ht="51" x14ac:dyDescent="0.2">
      <c r="D61" t="s">
        <v>0</v>
      </c>
      <c r="E61" t="s">
        <v>57</v>
      </c>
      <c r="F61" t="s">
        <v>58</v>
      </c>
      <c r="G61" t="s">
        <v>54</v>
      </c>
      <c r="H61" t="s">
        <v>60</v>
      </c>
      <c r="I61" t="s">
        <v>68</v>
      </c>
      <c r="J61" t="s">
        <v>62</v>
      </c>
      <c r="K61" t="s">
        <v>63</v>
      </c>
      <c r="L61" t="s">
        <v>64</v>
      </c>
      <c r="M61" t="s">
        <v>65</v>
      </c>
      <c r="N61" t="s">
        <v>66</v>
      </c>
      <c r="P61" t="s">
        <v>58</v>
      </c>
      <c r="Q61" t="s">
        <v>54</v>
      </c>
      <c r="R61" t="s">
        <v>60</v>
      </c>
      <c r="S61" t="s">
        <v>68</v>
      </c>
      <c r="T61" t="s">
        <v>62</v>
      </c>
      <c r="U61" t="s">
        <v>63</v>
      </c>
      <c r="V61" t="s">
        <v>64</v>
      </c>
      <c r="W61" s="40" t="s">
        <v>137</v>
      </c>
      <c r="X61" s="40" t="s">
        <v>66</v>
      </c>
      <c r="Y61" s="40" t="s">
        <v>138</v>
      </c>
      <c r="Z61" s="40"/>
      <c r="AA61" s="40"/>
      <c r="AB61" s="40" t="str">
        <f t="shared" ref="AB61" si="165">P61</f>
        <v>Fuel Oil</v>
      </c>
      <c r="AC61" s="40" t="str">
        <f t="shared" ref="AC61" si="166">Q61</f>
        <v>Distillate</v>
      </c>
      <c r="AD61" s="40" t="str">
        <f t="shared" ref="AD61" si="167">R61</f>
        <v>Natural Gas(d)</v>
      </c>
      <c r="AE61" s="40" t="str">
        <f t="shared" ref="AE61" si="168">S61</f>
        <v>LPG</v>
      </c>
      <c r="AF61" s="40" t="str">
        <f t="shared" ref="AF61" si="169">T61</f>
        <v>Coal</v>
      </c>
      <c r="AG61" s="40" t="str">
        <f t="shared" ref="AG61" si="170">U61</f>
        <v>and Breeze</v>
      </c>
      <c r="AH61" s="40" t="str">
        <f t="shared" ref="AH61" si="171">V61</f>
        <v>Other(f)</v>
      </c>
      <c r="AI61" s="40" t="str">
        <f t="shared" ref="AI61" si="172">W61</f>
        <v xml:space="preserve"> Calc. Total</v>
      </c>
      <c r="AJ61" s="40" t="s">
        <v>171</v>
      </c>
      <c r="AK61" s="40"/>
      <c r="AL61" s="40"/>
      <c r="AM61" s="40"/>
      <c r="AN61" s="40"/>
      <c r="AP61" t="s">
        <v>2</v>
      </c>
      <c r="AQ61" t="s">
        <v>58</v>
      </c>
      <c r="AR61" t="s">
        <v>54</v>
      </c>
      <c r="AS61" t="s">
        <v>60</v>
      </c>
      <c r="AT61" t="s">
        <v>68</v>
      </c>
      <c r="AU61" t="s">
        <v>62</v>
      </c>
      <c r="AV61" t="s">
        <v>140</v>
      </c>
      <c r="AW61" t="s">
        <v>64</v>
      </c>
      <c r="AY61" s="40" t="s">
        <v>171</v>
      </c>
      <c r="AZ61" s="40" t="s">
        <v>186</v>
      </c>
      <c r="BA61" s="40" t="s">
        <v>187</v>
      </c>
      <c r="BC61" s="40" t="s">
        <v>192</v>
      </c>
      <c r="BD61" s="40" t="s">
        <v>190</v>
      </c>
      <c r="BH61" s="11" t="s">
        <v>76</v>
      </c>
      <c r="BI61" s="11" t="s">
        <v>72</v>
      </c>
      <c r="BJ61" s="11" t="s">
        <v>73</v>
      </c>
      <c r="BK61" s="11" t="s">
        <v>74</v>
      </c>
      <c r="BL61" s="18" t="s">
        <v>75</v>
      </c>
      <c r="BM61" s="11" t="s">
        <v>77</v>
      </c>
      <c r="BP61" t="s">
        <v>53</v>
      </c>
      <c r="BQ61" t="s">
        <v>54</v>
      </c>
      <c r="BR61" t="s">
        <v>67</v>
      </c>
      <c r="BS61" t="s">
        <v>68</v>
      </c>
      <c r="BT61" t="s">
        <v>71</v>
      </c>
      <c r="BU61" t="s">
        <v>56</v>
      </c>
      <c r="BV61" t="s">
        <v>69</v>
      </c>
    </row>
    <row r="62" spans="2:75" ht="15" x14ac:dyDescent="0.25">
      <c r="B62" s="6" t="s">
        <v>10</v>
      </c>
      <c r="C62" s="7" t="s">
        <v>11</v>
      </c>
      <c r="D62" s="14">
        <v>922</v>
      </c>
      <c r="E62" s="14">
        <v>50518</v>
      </c>
      <c r="F62" s="57">
        <v>4317</v>
      </c>
      <c r="G62" s="57">
        <v>2966</v>
      </c>
      <c r="H62" s="57">
        <v>497</v>
      </c>
      <c r="I62" s="57">
        <v>1429</v>
      </c>
      <c r="J62" s="14">
        <v>6913</v>
      </c>
      <c r="K62" s="56">
        <v>0</v>
      </c>
      <c r="L62" s="56">
        <v>0</v>
      </c>
      <c r="M62" s="16"/>
      <c r="N62" s="16">
        <f>D62-0.003412*E62</f>
        <v>749.63258399999995</v>
      </c>
      <c r="O62" s="16"/>
      <c r="P62" s="57">
        <f t="shared" ref="P62:P79" si="173">F62*P$2*0.000001</f>
        <v>27.140978999999998</v>
      </c>
      <c r="Q62" s="57">
        <f t="shared" ref="Q62:Q80" si="174">G62*Q$2*0.000001</f>
        <v>17.276949999999999</v>
      </c>
      <c r="R62" s="57">
        <f>H62*R$59*0.001</f>
        <v>511.91</v>
      </c>
      <c r="S62" s="57">
        <f>I62*S$59*0.000001</f>
        <v>5.1644059999999996</v>
      </c>
      <c r="T62" s="14">
        <f>J62*T$2*0.000001</f>
        <v>152.16895599999998</v>
      </c>
      <c r="U62" s="56">
        <v>2</v>
      </c>
      <c r="V62" s="56">
        <v>33</v>
      </c>
      <c r="W62" s="16">
        <f>SUM(P62:V62)</f>
        <v>748.66129100000001</v>
      </c>
      <c r="X62" s="16">
        <f>N62</f>
        <v>749.63258399999995</v>
      </c>
      <c r="Y62" s="16">
        <f>W62-X62</f>
        <v>-0.97129299999994601</v>
      </c>
      <c r="Z62" s="16"/>
      <c r="AA62">
        <v>311</v>
      </c>
      <c r="AB62" s="16">
        <f>P62-P87*P62</f>
        <v>24.506725999999997</v>
      </c>
      <c r="AC62" s="16">
        <f t="shared" ref="AC62:AH62" si="175">Q62-Q87*Q62</f>
        <v>16.9391</v>
      </c>
      <c r="AD62" s="16">
        <f t="shared" si="175"/>
        <v>489.25</v>
      </c>
      <c r="AE62" s="16">
        <f t="shared" si="175"/>
        <v>5.1354939999999996</v>
      </c>
      <c r="AF62" s="16">
        <f t="shared" si="175"/>
        <v>136.62848399999999</v>
      </c>
      <c r="AG62" s="16">
        <f t="shared" si="175"/>
        <v>2</v>
      </c>
      <c r="AH62" s="16">
        <f t="shared" si="175"/>
        <v>32.5</v>
      </c>
      <c r="AI62" s="16">
        <f>SUM(AB62:AH62)</f>
        <v>706.95980399999996</v>
      </c>
      <c r="AJ62" s="16">
        <f>AI62-AG62-AH62</f>
        <v>672.45980399999996</v>
      </c>
      <c r="AK62" s="16"/>
      <c r="AL62" s="16"/>
      <c r="AM62" s="16"/>
      <c r="AN62" s="16"/>
      <c r="AP62" s="2"/>
      <c r="AQ62" s="4">
        <f>MECS_EnergyPrices!E100</f>
        <v>2.8540000000000001</v>
      </c>
      <c r="AR62" s="4">
        <f>MECS_EnergyPrices!E69</f>
        <v>6.0640000000000001</v>
      </c>
      <c r="AS62" s="5">
        <f>MECS_EnergyPrices!E11</f>
        <v>2.6970000000000001</v>
      </c>
      <c r="AT62">
        <f>MECS_EnergyPrices!E40</f>
        <v>7.5960000000000001</v>
      </c>
      <c r="AU62" s="48">
        <f>MECS_EnergyPrices!E129</f>
        <v>1.4330000000000001</v>
      </c>
      <c r="AV62" s="47"/>
      <c r="AW62" s="41"/>
      <c r="AX62" t="str">
        <f>AX5</f>
        <v>311</v>
      </c>
      <c r="AY62" s="16">
        <f>AJ62</f>
        <v>672.45980399999996</v>
      </c>
      <c r="BA62">
        <f>BC62/(AY62+AY63)</f>
        <v>1.1028301584365299</v>
      </c>
      <c r="BB62">
        <f>MECS_Total_Fuel!I60</f>
        <v>783.98316799999998</v>
      </c>
      <c r="BC62">
        <f>MECS_Total_Fuel!S60</f>
        <v>809.67414956814787</v>
      </c>
      <c r="BD62" s="3">
        <f>BA62*AY62</f>
        <v>741.60895218751773</v>
      </c>
      <c r="BE62" s="3"/>
      <c r="BF62" t="str">
        <f t="shared" ref="BF62:BF82" si="176">B62</f>
        <v>311</v>
      </c>
      <c r="BG62" s="9" t="str">
        <f t="shared" ref="BG62:BG82" si="177">C62</f>
        <v>Food</v>
      </c>
      <c r="BH62" s="4">
        <f>'[6]Table 7.6'!BG76</f>
        <v>0</v>
      </c>
      <c r="BI62" s="4">
        <f>'[6]Table 7.6'!BH76</f>
        <v>0</v>
      </c>
      <c r="BJ62">
        <f>E62*AP62</f>
        <v>0</v>
      </c>
      <c r="BK62" s="4">
        <f>AI62</f>
        <v>706.95980399999996</v>
      </c>
      <c r="BL62" s="14">
        <f>SUMPRODUCT(AB62:AF62,AQ62:AU62)</f>
        <v>1726.9659784</v>
      </c>
      <c r="BM62" s="4">
        <f>BL62/BK62</f>
        <v>2.4428064631521824</v>
      </c>
      <c r="BN62" s="3">
        <f>'[13]3DNAICS'!AX402</f>
        <v>5673</v>
      </c>
      <c r="BP62" s="17">
        <f>AB62/$AJ62</f>
        <v>3.6443406511774197E-2</v>
      </c>
      <c r="BQ62" s="17">
        <f t="shared" ref="BQ62:BQ64" si="178">AC62/$AJ62</f>
        <v>2.5189758405247373E-2</v>
      </c>
      <c r="BR62" s="17">
        <f t="shared" ref="BR62:BR64" si="179">AD62/$AJ62</f>
        <v>0.72755278024022985</v>
      </c>
      <c r="BS62" s="17">
        <f t="shared" ref="BS62:BS64" si="180">AE62/$AJ62</f>
        <v>7.6368787687419899E-3</v>
      </c>
      <c r="BT62" s="17">
        <f t="shared" ref="BT62:BT64" si="181">AF62/$AJ62</f>
        <v>0.20317717607400665</v>
      </c>
      <c r="BU62" s="17">
        <v>0</v>
      </c>
      <c r="BV62" s="17">
        <v>0</v>
      </c>
      <c r="BW62">
        <f>SUM(BP62:BV62)</f>
        <v>1</v>
      </c>
    </row>
    <row r="63" spans="2:75" ht="15" x14ac:dyDescent="0.25">
      <c r="B63" s="6" t="s">
        <v>12</v>
      </c>
      <c r="C63" s="7" t="s">
        <v>134</v>
      </c>
      <c r="D63" s="14">
        <v>26</v>
      </c>
      <c r="E63" s="14">
        <v>1468</v>
      </c>
      <c r="F63" s="57">
        <v>135</v>
      </c>
      <c r="G63" s="57">
        <v>40</v>
      </c>
      <c r="H63" s="57">
        <v>4</v>
      </c>
      <c r="I63" s="57">
        <v>23</v>
      </c>
      <c r="J63" s="14">
        <v>692</v>
      </c>
      <c r="K63" s="14">
        <v>0</v>
      </c>
      <c r="L63" s="29">
        <v>0.5</v>
      </c>
      <c r="M63" s="16"/>
      <c r="N63" s="16">
        <f t="shared" ref="N63:N83" si="182">D63-0.003412*E63</f>
        <v>20.991184000000001</v>
      </c>
      <c r="O63" s="16"/>
      <c r="P63" s="57">
        <f t="shared" si="173"/>
        <v>0.84874499999999997</v>
      </c>
      <c r="Q63" s="57">
        <f t="shared" si="174"/>
        <v>0.23299999999999998</v>
      </c>
      <c r="R63" s="57">
        <f t="shared" ref="R63:R83" si="183">H63*R$59*0.001</f>
        <v>4.12</v>
      </c>
      <c r="S63" s="57">
        <f t="shared" ref="S63:S83" si="184">I63*S$59*0.000001</f>
        <v>8.3122000000000001E-2</v>
      </c>
      <c r="T63" s="14">
        <f t="shared" ref="T63:T69" si="185">J63*T$2*0.000001</f>
        <v>15.232303999999999</v>
      </c>
      <c r="U63" s="14">
        <f t="shared" ref="U63:U81" si="186">K63*U$2*0.000001</f>
        <v>0</v>
      </c>
      <c r="V63" s="29">
        <f t="shared" ref="V63:V68" si="187">L63*V$2</f>
        <v>0.5</v>
      </c>
      <c r="W63" s="16">
        <f t="shared" ref="W63:W83" si="188">SUM(P63:V63)</f>
        <v>21.017170999999998</v>
      </c>
      <c r="X63" s="16">
        <f t="shared" ref="X63:X83" si="189">N63</f>
        <v>20.991184000000001</v>
      </c>
      <c r="Y63" s="16">
        <f t="shared" ref="Y63:Y83" si="190">W63-X63</f>
        <v>2.5986999999997096E-2</v>
      </c>
      <c r="Z63" s="16"/>
      <c r="AA63">
        <v>312</v>
      </c>
      <c r="AB63" s="16">
        <f>P63+P87*P62</f>
        <v>3.4829979999999998</v>
      </c>
      <c r="AC63" s="16">
        <f t="shared" ref="AC63:AH63" si="191">Q63+Q87*Q62</f>
        <v>0.57084999999999997</v>
      </c>
      <c r="AD63" s="16">
        <f t="shared" si="191"/>
        <v>26.78</v>
      </c>
      <c r="AE63" s="16">
        <f t="shared" si="191"/>
        <v>0.11203399999999999</v>
      </c>
      <c r="AF63" s="16">
        <f t="shared" si="191"/>
        <v>30.772776</v>
      </c>
      <c r="AG63" s="16">
        <f t="shared" si="191"/>
        <v>0</v>
      </c>
      <c r="AH63" s="16">
        <f t="shared" si="191"/>
        <v>1</v>
      </c>
      <c r="AI63" s="16">
        <f t="shared" ref="AI63:AI82" si="192">SUM(AB63:AH63)</f>
        <v>62.718658000000005</v>
      </c>
      <c r="AJ63" s="16">
        <f t="shared" ref="AJ63:AJ82" si="193">AI63-AG63-AH63</f>
        <v>61.718658000000005</v>
      </c>
      <c r="AK63" s="16"/>
      <c r="AL63" s="16"/>
      <c r="AM63" s="16"/>
      <c r="AN63" s="16"/>
      <c r="AP63" s="2"/>
      <c r="AQ63" s="4">
        <f>MECS_EnergyPrices!E101</f>
        <v>2.7709000000000001</v>
      </c>
      <c r="AR63" s="4">
        <f>MECS_EnergyPrices!E70</f>
        <v>5.7906999999999993</v>
      </c>
      <c r="AS63" s="5">
        <f>MECS_EnergyPrices!E12</f>
        <v>3.2709000000000001</v>
      </c>
      <c r="AT63">
        <f>MECS_EnergyPrices!E41</f>
        <v>8.2176000000000009</v>
      </c>
      <c r="AU63" s="48">
        <f>MECS_EnergyPrices!E130</f>
        <v>1.6321999999999999</v>
      </c>
      <c r="AV63" s="47"/>
      <c r="AW63" s="41"/>
      <c r="AX63" t="str">
        <f t="shared" ref="AX63:AX83" si="194">AX6</f>
        <v>312</v>
      </c>
      <c r="AY63" s="16">
        <f t="shared" ref="AY63:AY82" si="195">AJ63</f>
        <v>61.718658000000005</v>
      </c>
      <c r="BA63">
        <f>BA62</f>
        <v>1.1028301584365299</v>
      </c>
      <c r="BB63">
        <f>MECS_Total_Fuel!I61</f>
        <v>20.581175999999999</v>
      </c>
      <c r="BC63">
        <f>MECS_Total_Fuel!S61</f>
        <v>167.22964134569051</v>
      </c>
      <c r="BD63" s="3">
        <f t="shared" ref="BD63:BD64" si="196">BA63*AY63</f>
        <v>68.065197380630011</v>
      </c>
      <c r="BE63" s="3"/>
      <c r="BF63" t="str">
        <f t="shared" si="176"/>
        <v>312</v>
      </c>
      <c r="BG63" s="9" t="str">
        <f t="shared" si="177"/>
        <v>Tobacco</v>
      </c>
      <c r="BH63" s="4">
        <f>'[6]Table 7.6'!BG77</f>
        <v>0</v>
      </c>
      <c r="BI63" s="4">
        <f>'[6]Table 7.6'!BH77</f>
        <v>0</v>
      </c>
      <c r="BJ63">
        <f t="shared" ref="BJ63:BJ82" si="197">E63*AP63</f>
        <v>0</v>
      </c>
      <c r="BK63" s="4">
        <f t="shared" ref="BK63:BK82" si="198">AI63</f>
        <v>62.718658000000005</v>
      </c>
      <c r="BL63" s="14">
        <f t="shared" ref="BL63:BL82" si="199">SUMPRODUCT(AB63:AF63,AQ63:AU63)</f>
        <v>151.69933783880001</v>
      </c>
      <c r="BM63" s="4">
        <f t="shared" ref="BM63:BM64" si="200">BL63/BK63</f>
        <v>2.4187274198181981</v>
      </c>
      <c r="BN63" s="3">
        <f>'[13]3DNAICS'!AX403</f>
        <v>540</v>
      </c>
      <c r="BP63" s="17">
        <f t="shared" ref="BP63:BP64" si="201">AB63/$AJ63</f>
        <v>5.643346943804254E-2</v>
      </c>
      <c r="BQ63" s="17">
        <f t="shared" si="178"/>
        <v>9.2492289770785344E-3</v>
      </c>
      <c r="BR63" s="17">
        <f t="shared" si="179"/>
        <v>0.43390444426059943</v>
      </c>
      <c r="BS63" s="17">
        <f t="shared" si="180"/>
        <v>1.8152371362319638E-3</v>
      </c>
      <c r="BT63" s="17">
        <f t="shared" si="181"/>
        <v>0.49859762018804749</v>
      </c>
      <c r="BU63" s="17">
        <v>0</v>
      </c>
      <c r="BV63" s="17">
        <v>0</v>
      </c>
      <c r="BW63">
        <f t="shared" ref="BW63:BW82" si="202">SUM(BP63:BV63)</f>
        <v>1</v>
      </c>
    </row>
    <row r="64" spans="2:75" ht="15" x14ac:dyDescent="0.25">
      <c r="B64" s="6" t="s">
        <v>14</v>
      </c>
      <c r="C64" s="7" t="s">
        <v>15</v>
      </c>
      <c r="D64" s="14">
        <v>272</v>
      </c>
      <c r="E64" s="14">
        <v>29522</v>
      </c>
      <c r="F64" s="57">
        <v>1966</v>
      </c>
      <c r="G64" s="57">
        <v>1064</v>
      </c>
      <c r="H64" s="57">
        <v>105</v>
      </c>
      <c r="I64" s="57">
        <v>629</v>
      </c>
      <c r="J64" s="14">
        <v>1362</v>
      </c>
      <c r="K64" s="57">
        <v>0</v>
      </c>
      <c r="L64" s="57">
        <v>12</v>
      </c>
      <c r="M64" s="16"/>
      <c r="N64" s="16">
        <f t="shared" si="182"/>
        <v>171.27093600000001</v>
      </c>
      <c r="O64" s="16"/>
      <c r="P64" s="57">
        <f t="shared" si="173"/>
        <v>12.360242</v>
      </c>
      <c r="Q64" s="57">
        <f t="shared" si="174"/>
        <v>6.1978</v>
      </c>
      <c r="R64" s="57">
        <f t="shared" si="183"/>
        <v>108.15</v>
      </c>
      <c r="S64" s="57">
        <f t="shared" si="184"/>
        <v>2.2732060000000001</v>
      </c>
      <c r="T64" s="14">
        <f t="shared" si="185"/>
        <v>29.980343999999999</v>
      </c>
      <c r="U64" s="57">
        <f t="shared" si="186"/>
        <v>0</v>
      </c>
      <c r="V64" s="57">
        <f t="shared" si="187"/>
        <v>12</v>
      </c>
      <c r="W64" s="16">
        <f t="shared" si="188"/>
        <v>170.961592</v>
      </c>
      <c r="X64" s="16">
        <f t="shared" si="189"/>
        <v>171.27093600000001</v>
      </c>
      <c r="Y64" s="16">
        <f t="shared" si="190"/>
        <v>-0.30934400000001006</v>
      </c>
      <c r="Z64" s="16"/>
      <c r="AA64">
        <v>313</v>
      </c>
      <c r="AB64" s="16">
        <f t="shared" ref="AB64:AB75" si="203">P64</f>
        <v>12.360242</v>
      </c>
      <c r="AC64" s="16">
        <f t="shared" ref="AC64:AC75" si="204">Q64</f>
        <v>6.1978</v>
      </c>
      <c r="AD64" s="16">
        <f t="shared" ref="AD64:AD75" si="205">R64</f>
        <v>108.15</v>
      </c>
      <c r="AE64" s="16">
        <f t="shared" ref="AE64:AE75" si="206">S64</f>
        <v>2.2732060000000001</v>
      </c>
      <c r="AF64" s="16">
        <f t="shared" ref="AF64:AF75" si="207">T64</f>
        <v>29.980343999999999</v>
      </c>
      <c r="AG64" s="16">
        <f t="shared" ref="AG64:AG75" si="208">U64</f>
        <v>0</v>
      </c>
      <c r="AH64" s="16">
        <f t="shared" ref="AH64:AH75" si="209">V64</f>
        <v>12</v>
      </c>
      <c r="AI64" s="16">
        <f t="shared" si="192"/>
        <v>170.961592</v>
      </c>
      <c r="AJ64" s="16">
        <f t="shared" si="193"/>
        <v>158.961592</v>
      </c>
      <c r="AK64" s="16"/>
      <c r="AL64" s="16"/>
      <c r="AM64" s="16"/>
      <c r="AN64" s="16"/>
      <c r="AP64" s="2"/>
      <c r="AQ64" s="4">
        <f>MECS_EnergyPrices!E102</f>
        <v>2.8090000000000002</v>
      </c>
      <c r="AR64" s="4">
        <f>MECS_EnergyPrices!E71</f>
        <v>4.468</v>
      </c>
      <c r="AS64" s="5">
        <f>MECS_EnergyPrices!E13</f>
        <v>3.3170000000000002</v>
      </c>
      <c r="AT64">
        <f>MECS_EnergyPrices!E42</f>
        <v>7.2510000000000003</v>
      </c>
      <c r="AU64" s="48">
        <f>MECS_EnergyPrices!E131</f>
        <v>1.952</v>
      </c>
      <c r="AV64" s="47"/>
      <c r="AW64" s="41"/>
      <c r="AX64" t="str">
        <f t="shared" si="194"/>
        <v>313</v>
      </c>
      <c r="AY64" s="16">
        <f t="shared" si="195"/>
        <v>158.961592</v>
      </c>
      <c r="BA64">
        <f>BC63/AY64</f>
        <v>1.0520128745671502</v>
      </c>
      <c r="BB64">
        <f>MECS_Total_Fuel!I62</f>
        <v>172.236816</v>
      </c>
      <c r="BC64">
        <f>MECS_Total_Fuel!S62</f>
        <v>36.963147733447869</v>
      </c>
      <c r="BD64" s="3">
        <f t="shared" si="196"/>
        <v>167.22964134569051</v>
      </c>
      <c r="BE64" s="3"/>
      <c r="BF64" t="str">
        <f t="shared" si="176"/>
        <v>313</v>
      </c>
      <c r="BG64" s="9" t="str">
        <f t="shared" si="177"/>
        <v>Textile Mills</v>
      </c>
      <c r="BH64" s="4">
        <f>'[6]Table 7.6'!BG78</f>
        <v>0</v>
      </c>
      <c r="BI64" s="4">
        <f>'[6]Table 7.6'!BH78</f>
        <v>0</v>
      </c>
      <c r="BJ64">
        <f t="shared" si="197"/>
        <v>0</v>
      </c>
      <c r="BK64" s="4">
        <f t="shared" si="198"/>
        <v>170.961592</v>
      </c>
      <c r="BL64" s="14">
        <f t="shared" si="199"/>
        <v>496.14988837200008</v>
      </c>
      <c r="BM64" s="4">
        <f t="shared" si="200"/>
        <v>2.9021131738876185</v>
      </c>
      <c r="BN64" s="3">
        <f>'[13]3DNAICS'!AX404</f>
        <v>787</v>
      </c>
      <c r="BP64" s="17">
        <f t="shared" si="201"/>
        <v>7.7756153826139332E-2</v>
      </c>
      <c r="BQ64" s="17">
        <f t="shared" si="178"/>
        <v>3.898929245751389E-2</v>
      </c>
      <c r="BR64" s="17">
        <f t="shared" si="179"/>
        <v>0.68035302515088047</v>
      </c>
      <c r="BS64" s="17">
        <f t="shared" si="180"/>
        <v>1.4300347470098312E-2</v>
      </c>
      <c r="BT64" s="17">
        <f t="shared" si="181"/>
        <v>0.188601181095368</v>
      </c>
      <c r="BU64" s="17">
        <v>0</v>
      </c>
      <c r="BV64" s="17">
        <v>0</v>
      </c>
      <c r="BW64">
        <f t="shared" si="202"/>
        <v>1</v>
      </c>
    </row>
    <row r="65" spans="2:75" ht="15" x14ac:dyDescent="0.25">
      <c r="B65" s="6" t="s">
        <v>16</v>
      </c>
      <c r="C65" s="7" t="s">
        <v>17</v>
      </c>
      <c r="D65" s="14"/>
      <c r="E65" s="14"/>
      <c r="F65" s="57"/>
      <c r="G65" s="57"/>
      <c r="H65" s="57"/>
      <c r="I65" s="57"/>
      <c r="J65" s="14"/>
      <c r="K65" s="57"/>
      <c r="L65" s="57"/>
      <c r="M65" s="16"/>
      <c r="N65" s="16">
        <f t="shared" si="182"/>
        <v>0</v>
      </c>
      <c r="O65" s="16"/>
      <c r="P65" s="57"/>
      <c r="Q65" s="57"/>
      <c r="R65" s="57">
        <f t="shared" si="183"/>
        <v>0</v>
      </c>
      <c r="S65" s="57"/>
      <c r="T65" s="14"/>
      <c r="U65" s="57"/>
      <c r="V65" s="57"/>
      <c r="W65" s="16"/>
      <c r="X65" s="16"/>
      <c r="Y65" s="16"/>
      <c r="Z65" s="16"/>
      <c r="AA65">
        <v>314</v>
      </c>
      <c r="AB65" s="16">
        <f t="shared" si="203"/>
        <v>0</v>
      </c>
      <c r="AC65" s="16">
        <f t="shared" si="204"/>
        <v>0</v>
      </c>
      <c r="AD65" s="16">
        <f t="shared" si="205"/>
        <v>0</v>
      </c>
      <c r="AE65" s="16">
        <f t="shared" si="206"/>
        <v>0</v>
      </c>
      <c r="AF65" s="16">
        <f t="shared" si="207"/>
        <v>0</v>
      </c>
      <c r="AG65" s="16">
        <f t="shared" si="208"/>
        <v>0</v>
      </c>
      <c r="AH65" s="16">
        <f t="shared" si="209"/>
        <v>0</v>
      </c>
      <c r="AI65" s="16">
        <f t="shared" si="192"/>
        <v>0</v>
      </c>
      <c r="AJ65" s="16">
        <f t="shared" si="193"/>
        <v>0</v>
      </c>
      <c r="AK65" s="16"/>
      <c r="AL65" s="16"/>
      <c r="AM65" s="16"/>
      <c r="AN65" s="16" t="s">
        <v>167</v>
      </c>
      <c r="AP65" s="2"/>
      <c r="AQ65" s="4">
        <f>MECS_EnergyPrices!E103</f>
        <v>2.8090000000000002</v>
      </c>
      <c r="AR65" s="4">
        <f>MECS_EnergyPrices!E72</f>
        <v>4.468</v>
      </c>
      <c r="AS65" s="5">
        <f>MECS_EnergyPrices!E14</f>
        <v>3.3170000000000002</v>
      </c>
      <c r="AT65">
        <f>MECS_EnergyPrices!E43</f>
        <v>6.1539999999999999</v>
      </c>
      <c r="AU65" s="48">
        <f>MECS_EnergyPrices!E132</f>
        <v>1.952</v>
      </c>
      <c r="AV65" s="47"/>
      <c r="AW65" s="41"/>
      <c r="AX65" t="str">
        <f t="shared" si="194"/>
        <v>314</v>
      </c>
      <c r="AY65" s="16">
        <f t="shared" si="195"/>
        <v>0</v>
      </c>
      <c r="BA65">
        <f>BA64</f>
        <v>1.0520128745671502</v>
      </c>
      <c r="BB65">
        <f>MECS_Total_Fuel!I63</f>
        <v>0</v>
      </c>
      <c r="BD65" s="3"/>
      <c r="BE65" s="3"/>
      <c r="BF65" t="str">
        <f t="shared" si="176"/>
        <v>314</v>
      </c>
      <c r="BG65" s="9" t="str">
        <f t="shared" si="177"/>
        <v>Textile Product Mills</v>
      </c>
      <c r="BH65" s="4">
        <f>'[6]Table 7.6'!BG79</f>
        <v>0</v>
      </c>
      <c r="BI65" s="4">
        <f>'[6]Table 7.6'!BH79</f>
        <v>0</v>
      </c>
      <c r="BJ65">
        <f t="shared" si="197"/>
        <v>0</v>
      </c>
      <c r="BK65" s="4">
        <f t="shared" si="198"/>
        <v>0</v>
      </c>
      <c r="BL65" s="14">
        <f t="shared" si="199"/>
        <v>0</v>
      </c>
      <c r="BM65" s="70">
        <f>BM64</f>
        <v>2.9021131738876185</v>
      </c>
      <c r="BN65" s="3">
        <f>'[13]3DNAICS'!AX405</f>
        <v>470</v>
      </c>
      <c r="BP65" s="17">
        <f>BP64</f>
        <v>7.7756153826139332E-2</v>
      </c>
      <c r="BQ65" s="17">
        <f t="shared" ref="BQ65" si="210">BQ64</f>
        <v>3.898929245751389E-2</v>
      </c>
      <c r="BR65" s="17">
        <f t="shared" ref="BR65" si="211">BR64</f>
        <v>0.68035302515088047</v>
      </c>
      <c r="BS65" s="17">
        <f t="shared" ref="BS65" si="212">BS64</f>
        <v>1.4300347470098312E-2</v>
      </c>
      <c r="BT65" s="17">
        <f t="shared" ref="BT65" si="213">BT64</f>
        <v>0.188601181095368</v>
      </c>
      <c r="BU65" s="17">
        <v>0</v>
      </c>
      <c r="BV65" s="17">
        <v>0</v>
      </c>
      <c r="BW65">
        <f t="shared" si="202"/>
        <v>1</v>
      </c>
    </row>
    <row r="66" spans="2:75" ht="15" x14ac:dyDescent="0.25">
      <c r="B66" s="6" t="s">
        <v>18</v>
      </c>
      <c r="C66" s="7" t="s">
        <v>19</v>
      </c>
      <c r="D66" s="14">
        <v>44</v>
      </c>
      <c r="E66" s="14">
        <v>5645</v>
      </c>
      <c r="F66" s="56">
        <v>0</v>
      </c>
      <c r="G66" s="57">
        <v>142</v>
      </c>
      <c r="H66" s="57">
        <v>18</v>
      </c>
      <c r="I66" s="57">
        <v>158</v>
      </c>
      <c r="J66" s="14">
        <v>88</v>
      </c>
      <c r="K66" s="57">
        <v>0</v>
      </c>
      <c r="L66" s="57">
        <v>1</v>
      </c>
      <c r="M66" s="16"/>
      <c r="N66" s="16">
        <f t="shared" si="182"/>
        <v>24.739259999999998</v>
      </c>
      <c r="O66" s="16"/>
      <c r="P66" s="56">
        <v>1</v>
      </c>
      <c r="Q66" s="57">
        <f t="shared" si="174"/>
        <v>0.82714999999999994</v>
      </c>
      <c r="R66" s="57">
        <f t="shared" si="183"/>
        <v>18.54</v>
      </c>
      <c r="S66" s="57">
        <f t="shared" si="184"/>
        <v>0.57101199999999996</v>
      </c>
      <c r="T66" s="14">
        <f t="shared" si="185"/>
        <v>1.9370559999999999</v>
      </c>
      <c r="U66" s="57">
        <f t="shared" si="186"/>
        <v>0</v>
      </c>
      <c r="V66" s="57">
        <f t="shared" si="187"/>
        <v>1</v>
      </c>
      <c r="W66" s="16">
        <f t="shared" si="188"/>
        <v>23.875217999999997</v>
      </c>
      <c r="X66" s="16">
        <f t="shared" si="189"/>
        <v>24.739259999999998</v>
      </c>
      <c r="Y66" s="16">
        <f t="shared" si="190"/>
        <v>-0.86404200000000131</v>
      </c>
      <c r="Z66" s="16"/>
      <c r="AA66">
        <v>315</v>
      </c>
      <c r="AB66" s="16">
        <f t="shared" si="203"/>
        <v>1</v>
      </c>
      <c r="AC66" s="16">
        <f t="shared" si="204"/>
        <v>0.82714999999999994</v>
      </c>
      <c r="AD66" s="16">
        <f t="shared" si="205"/>
        <v>18.54</v>
      </c>
      <c r="AE66" s="16">
        <f t="shared" si="206"/>
        <v>0.57101199999999996</v>
      </c>
      <c r="AF66" s="16">
        <f t="shared" si="207"/>
        <v>1.9370559999999999</v>
      </c>
      <c r="AG66" s="16">
        <f t="shared" si="208"/>
        <v>0</v>
      </c>
      <c r="AH66" s="16">
        <f t="shared" si="209"/>
        <v>1</v>
      </c>
      <c r="AI66" s="16">
        <f t="shared" si="192"/>
        <v>23.875217999999997</v>
      </c>
      <c r="AJ66" s="16">
        <f t="shared" si="193"/>
        <v>22.875217999999997</v>
      </c>
      <c r="AK66" s="16"/>
      <c r="AL66" s="16"/>
      <c r="AM66" s="64" t="s">
        <v>153</v>
      </c>
      <c r="AN66" s="68">
        <f>MECS_Total_Fuel!AO140</f>
        <v>5.6999999999999995E-2</v>
      </c>
      <c r="AP66" s="2"/>
      <c r="AQ66" s="4">
        <f>MECS_EnergyPrices!E104</f>
        <v>3.121</v>
      </c>
      <c r="AR66" s="4">
        <f>MECS_EnergyPrices!E73</f>
        <v>6.6669999999999998</v>
      </c>
      <c r="AS66" s="5">
        <f>MECS_EnergyPrices!E15</f>
        <v>3.7410000000000001</v>
      </c>
      <c r="AT66">
        <f>MECS_EnergyPrices!E44</f>
        <v>7.86</v>
      </c>
      <c r="AU66" s="48">
        <f>MECS_EnergyPrices!E133</f>
        <v>2.4</v>
      </c>
      <c r="AV66" s="47"/>
      <c r="AW66" s="41"/>
      <c r="AX66" t="str">
        <f t="shared" si="194"/>
        <v>315</v>
      </c>
      <c r="AY66" s="16">
        <f t="shared" si="195"/>
        <v>22.875217999999997</v>
      </c>
      <c r="AZ66">
        <f>BB66</f>
        <v>24.739260000000002</v>
      </c>
      <c r="BA66">
        <f>AZ66/AY66*$BB$13</f>
        <v>1.233141816528655</v>
      </c>
      <c r="BB66">
        <f>MECS_Total_Fuel!I64</f>
        <v>24.739260000000002</v>
      </c>
      <c r="BD66" s="3">
        <f t="shared" ref="BD66:BD82" si="214">BA66*AY66</f>
        <v>28.208387878008981</v>
      </c>
      <c r="BE66" s="3"/>
      <c r="BF66" t="str">
        <f t="shared" si="176"/>
        <v>315</v>
      </c>
      <c r="BG66" s="9" t="str">
        <f t="shared" si="177"/>
        <v>Apparel</v>
      </c>
      <c r="BH66" s="4">
        <f>'[6]Table 7.6'!BG80</f>
        <v>0</v>
      </c>
      <c r="BI66" s="4">
        <f>'[6]Table 7.6'!BH80</f>
        <v>0</v>
      </c>
      <c r="BJ66">
        <f t="shared" si="197"/>
        <v>0</v>
      </c>
      <c r="BK66" s="4">
        <f t="shared" si="198"/>
        <v>23.875217999999997</v>
      </c>
      <c r="BL66" s="14">
        <f t="shared" si="199"/>
        <v>87.130837769999999</v>
      </c>
      <c r="BM66" s="4">
        <f t="shared" ref="BM66:BM82" si="215">BL66/BK66</f>
        <v>3.6494258511063653</v>
      </c>
      <c r="BN66" s="3">
        <f>'[13]3DNAICS'!AX406</f>
        <v>71</v>
      </c>
      <c r="BP66" s="17">
        <f t="shared" ref="BP66:BP82" si="216">AB66/$AJ66</f>
        <v>4.3715430384095144E-2</v>
      </c>
      <c r="BQ66" s="17">
        <f t="shared" ref="BQ66:BQ82" si="217">AC66/$AJ66</f>
        <v>3.6159218242204298E-2</v>
      </c>
      <c r="BR66" s="17">
        <f t="shared" ref="BR66:BR82" si="218">AD66/$AJ66</f>
        <v>0.81048407932112387</v>
      </c>
      <c r="BS66" s="17">
        <f t="shared" ref="BS66:BS82" si="219">AE66/$AJ66</f>
        <v>2.4962035334482935E-2</v>
      </c>
      <c r="BT66" s="17">
        <f t="shared" ref="BT66:BU82" si="220">AF66/$AJ66</f>
        <v>8.4679236718093798E-2</v>
      </c>
      <c r="BU66" s="17">
        <v>0</v>
      </c>
      <c r="BV66" s="17">
        <v>0</v>
      </c>
      <c r="BW66">
        <f t="shared" si="202"/>
        <v>1</v>
      </c>
    </row>
    <row r="67" spans="2:75" ht="15" x14ac:dyDescent="0.25">
      <c r="B67" s="6" t="s">
        <v>20</v>
      </c>
      <c r="C67" s="7" t="s">
        <v>21</v>
      </c>
      <c r="D67" s="14">
        <v>12</v>
      </c>
      <c r="E67" s="14">
        <v>795</v>
      </c>
      <c r="F67" s="57">
        <v>225</v>
      </c>
      <c r="G67" s="57">
        <v>220</v>
      </c>
      <c r="H67" s="57">
        <v>5</v>
      </c>
      <c r="I67" s="57">
        <v>44</v>
      </c>
      <c r="J67" s="56">
        <v>0</v>
      </c>
      <c r="K67" s="57">
        <v>0</v>
      </c>
      <c r="L67" s="57">
        <v>1</v>
      </c>
      <c r="M67" s="16"/>
      <c r="N67" s="16">
        <f t="shared" si="182"/>
        <v>9.2874599999999994</v>
      </c>
      <c r="O67" s="16"/>
      <c r="P67" s="57">
        <f t="shared" si="173"/>
        <v>1.4145749999999999</v>
      </c>
      <c r="Q67" s="57">
        <f t="shared" si="174"/>
        <v>1.2814999999999999</v>
      </c>
      <c r="R67" s="57">
        <f t="shared" si="183"/>
        <v>5.15</v>
      </c>
      <c r="S67" s="57">
        <f t="shared" si="184"/>
        <v>0.15901599999999999</v>
      </c>
      <c r="T67" s="56">
        <f t="shared" si="185"/>
        <v>0</v>
      </c>
      <c r="U67" s="57">
        <f t="shared" si="186"/>
        <v>0</v>
      </c>
      <c r="V67" s="57">
        <f t="shared" si="187"/>
        <v>1</v>
      </c>
      <c r="W67" s="16">
        <f t="shared" si="188"/>
        <v>9.0050910000000002</v>
      </c>
      <c r="X67" s="16">
        <f t="shared" si="189"/>
        <v>9.2874599999999994</v>
      </c>
      <c r="Y67" s="16">
        <f t="shared" si="190"/>
        <v>-0.2823689999999992</v>
      </c>
      <c r="Z67" s="16"/>
      <c r="AA67">
        <v>316</v>
      </c>
      <c r="AB67" s="16">
        <f t="shared" si="203"/>
        <v>1.4145749999999999</v>
      </c>
      <c r="AC67" s="16">
        <f t="shared" si="204"/>
        <v>1.2814999999999999</v>
      </c>
      <c r="AD67" s="16">
        <f t="shared" si="205"/>
        <v>5.15</v>
      </c>
      <c r="AE67" s="16">
        <f t="shared" si="206"/>
        <v>0.15901599999999999</v>
      </c>
      <c r="AF67" s="16">
        <f t="shared" si="207"/>
        <v>0</v>
      </c>
      <c r="AG67" s="16">
        <f t="shared" si="208"/>
        <v>0</v>
      </c>
      <c r="AH67" s="16">
        <f t="shared" si="209"/>
        <v>1</v>
      </c>
      <c r="AI67" s="16">
        <f t="shared" si="192"/>
        <v>9.0050910000000002</v>
      </c>
      <c r="AJ67" s="16">
        <f t="shared" si="193"/>
        <v>8.0050910000000002</v>
      </c>
      <c r="AK67" s="16"/>
      <c r="AL67" s="16"/>
      <c r="AM67" s="64" t="s">
        <v>154</v>
      </c>
      <c r="AN67" s="68">
        <f>MECS_Total_Fuel!AO141</f>
        <v>1.9999999999999997E-2</v>
      </c>
      <c r="AP67" s="2"/>
      <c r="AQ67" s="4">
        <f>MECS_EnergyPrices!E105</f>
        <v>2.6259999999999999</v>
      </c>
      <c r="AR67" s="4">
        <f>MECS_EnergyPrices!E74</f>
        <v>4.8639999999999999</v>
      </c>
      <c r="AS67" s="5">
        <f>MECS_EnergyPrices!E16</f>
        <v>2.863</v>
      </c>
      <c r="AT67">
        <f>MECS_EnergyPrices!E45</f>
        <v>8.2919999999999998</v>
      </c>
      <c r="AU67" s="48">
        <f>MECS_EnergyPrices!E134</f>
        <v>1.7749999999999999</v>
      </c>
      <c r="AV67" s="47"/>
      <c r="AW67" s="41"/>
      <c r="AX67" t="str">
        <f t="shared" si="194"/>
        <v>316</v>
      </c>
      <c r="AY67" s="16">
        <f t="shared" si="195"/>
        <v>8.0050910000000002</v>
      </c>
      <c r="AZ67">
        <f>BB67</f>
        <v>9.2874599999999994</v>
      </c>
      <c r="BA67">
        <f>AZ67/AY67*$BB$14</f>
        <v>0.99761684397243278</v>
      </c>
      <c r="BB67">
        <f>MECS_Total_Fuel!I65</f>
        <v>9.2874599999999994</v>
      </c>
      <c r="BD67" s="3">
        <f t="shared" si="214"/>
        <v>7.9860136191321258</v>
      </c>
      <c r="BE67" s="3"/>
      <c r="BF67" t="str">
        <f t="shared" si="176"/>
        <v>316</v>
      </c>
      <c r="BG67" s="9" t="str">
        <f t="shared" si="177"/>
        <v>Leather and Allied Products</v>
      </c>
      <c r="BH67" s="4">
        <f>'[6]Table 7.6'!BG81</f>
        <v>0</v>
      </c>
      <c r="BI67" s="4">
        <f>'[6]Table 7.6'!BH81</f>
        <v>0</v>
      </c>
      <c r="BJ67">
        <f t="shared" si="197"/>
        <v>0</v>
      </c>
      <c r="BK67" s="4">
        <f t="shared" si="198"/>
        <v>9.0050910000000002</v>
      </c>
      <c r="BL67" s="14">
        <f t="shared" si="199"/>
        <v>26.010900621999998</v>
      </c>
      <c r="BM67" s="4">
        <f t="shared" si="215"/>
        <v>2.8884661600865553</v>
      </c>
      <c r="BN67" s="3">
        <f>'[13]3DNAICS'!AX407</f>
        <v>17</v>
      </c>
      <c r="BP67" s="17">
        <f t="shared" si="216"/>
        <v>0.17670942154186628</v>
      </c>
      <c r="BQ67" s="17">
        <f t="shared" si="217"/>
        <v>0.160085625510066</v>
      </c>
      <c r="BR67" s="17">
        <f t="shared" si="218"/>
        <v>0.64334059412941091</v>
      </c>
      <c r="BS67" s="17">
        <f t="shared" si="219"/>
        <v>1.9864358818656776E-2</v>
      </c>
      <c r="BT67" s="17">
        <f t="shared" si="220"/>
        <v>0</v>
      </c>
      <c r="BU67" s="17">
        <v>0</v>
      </c>
      <c r="BV67" s="17">
        <v>0</v>
      </c>
      <c r="BW67">
        <f t="shared" si="202"/>
        <v>1</v>
      </c>
    </row>
    <row r="68" spans="2:75" ht="15" x14ac:dyDescent="0.25">
      <c r="B68" s="6" t="s">
        <v>22</v>
      </c>
      <c r="C68" s="7" t="s">
        <v>23</v>
      </c>
      <c r="D68" s="14">
        <v>197</v>
      </c>
      <c r="E68" s="14">
        <v>19575</v>
      </c>
      <c r="F68" s="57">
        <v>333</v>
      </c>
      <c r="G68" s="57">
        <v>2373</v>
      </c>
      <c r="H68" s="57">
        <v>39</v>
      </c>
      <c r="I68" s="57">
        <v>1000</v>
      </c>
      <c r="J68" s="14">
        <v>92</v>
      </c>
      <c r="K68" s="57">
        <v>0</v>
      </c>
      <c r="L68" s="57">
        <v>68</v>
      </c>
      <c r="M68" s="16"/>
      <c r="N68" s="16">
        <f t="shared" si="182"/>
        <v>130.21010000000001</v>
      </c>
      <c r="O68" s="16"/>
      <c r="P68" s="57">
        <f t="shared" si="173"/>
        <v>2.0935709999999998</v>
      </c>
      <c r="Q68" s="57">
        <f t="shared" si="174"/>
        <v>13.822725</v>
      </c>
      <c r="R68" s="57">
        <f t="shared" si="183"/>
        <v>40.17</v>
      </c>
      <c r="S68" s="57">
        <f t="shared" si="184"/>
        <v>3.6139999999999999</v>
      </c>
      <c r="T68" s="14">
        <f t="shared" si="185"/>
        <v>2.0251039999999998</v>
      </c>
      <c r="U68" s="57">
        <f t="shared" si="186"/>
        <v>0</v>
      </c>
      <c r="V68" s="57">
        <f t="shared" si="187"/>
        <v>68</v>
      </c>
      <c r="W68" s="16">
        <f t="shared" si="188"/>
        <v>129.72540000000001</v>
      </c>
      <c r="X68" s="16">
        <f t="shared" si="189"/>
        <v>130.21010000000001</v>
      </c>
      <c r="Y68" s="16">
        <f t="shared" si="190"/>
        <v>-0.48470000000000368</v>
      </c>
      <c r="Z68" s="16"/>
      <c r="AA68">
        <v>321</v>
      </c>
      <c r="AB68" s="16">
        <f t="shared" si="203"/>
        <v>2.0935709999999998</v>
      </c>
      <c r="AC68" s="16">
        <f t="shared" si="204"/>
        <v>13.822725</v>
      </c>
      <c r="AD68" s="16">
        <f t="shared" si="205"/>
        <v>40.17</v>
      </c>
      <c r="AE68" s="16">
        <f t="shared" si="206"/>
        <v>3.6139999999999999</v>
      </c>
      <c r="AF68" s="16">
        <f t="shared" si="207"/>
        <v>2.0251039999999998</v>
      </c>
      <c r="AG68" s="16">
        <f t="shared" si="208"/>
        <v>0</v>
      </c>
      <c r="AH68" s="16">
        <f t="shared" si="209"/>
        <v>68</v>
      </c>
      <c r="AI68" s="16">
        <f t="shared" si="192"/>
        <v>129.72540000000001</v>
      </c>
      <c r="AJ68" s="16">
        <f t="shared" si="193"/>
        <v>61.725400000000008</v>
      </c>
      <c r="AK68" s="16"/>
      <c r="AL68" s="16"/>
      <c r="AM68" s="64" t="s">
        <v>155</v>
      </c>
      <c r="AN68" s="68">
        <f>MECS_Total_Fuel!AO142</f>
        <v>0.20100000000000001</v>
      </c>
      <c r="AP68" s="2"/>
      <c r="AQ68" s="4">
        <f>MECS_EnergyPrices!E106</f>
        <v>2.68</v>
      </c>
      <c r="AR68" s="4">
        <f>MECS_EnergyPrices!E75</f>
        <v>6.4210000000000003</v>
      </c>
      <c r="AS68" s="5">
        <f>MECS_EnergyPrices!E17</f>
        <v>3.1339999999999999</v>
      </c>
      <c r="AT68">
        <f>MECS_EnergyPrices!E46</f>
        <v>6.399</v>
      </c>
      <c r="AU68" s="48">
        <f>MECS_EnergyPrices!E135</f>
        <v>2.5</v>
      </c>
      <c r="AV68" s="47"/>
      <c r="AW68" s="41"/>
      <c r="AX68" t="str">
        <f t="shared" si="194"/>
        <v>321</v>
      </c>
      <c r="AY68" s="16">
        <f t="shared" si="195"/>
        <v>61.725400000000008</v>
      </c>
      <c r="AZ68">
        <f>MECS_Total_Fuel!S63</f>
        <v>314.83245355703338</v>
      </c>
      <c r="BA68">
        <f>AZ68/AY68</f>
        <v>5.1005332254960409</v>
      </c>
      <c r="BD68" s="3">
        <f t="shared" si="214"/>
        <v>314.83245355703338</v>
      </c>
      <c r="BE68" s="3"/>
      <c r="BF68" t="str">
        <f t="shared" si="176"/>
        <v>321</v>
      </c>
      <c r="BG68" s="9" t="str">
        <f t="shared" si="177"/>
        <v>Wood Products</v>
      </c>
      <c r="BH68" s="4">
        <f>'[6]Table 7.6'!BG82</f>
        <v>0</v>
      </c>
      <c r="BI68" s="4">
        <f>'[6]Table 7.6'!BH82</f>
        <v>0</v>
      </c>
      <c r="BJ68">
        <f t="shared" si="197"/>
        <v>0</v>
      </c>
      <c r="BK68" s="4">
        <f t="shared" si="198"/>
        <v>129.72540000000001</v>
      </c>
      <c r="BL68" s="14">
        <f t="shared" si="199"/>
        <v>248.44801350500001</v>
      </c>
      <c r="BM68" s="4">
        <f t="shared" si="215"/>
        <v>1.9151840233678215</v>
      </c>
      <c r="BN68" s="3">
        <f>'[13]3DNAICS'!AX408</f>
        <v>1177</v>
      </c>
      <c r="BP68" s="17">
        <f t="shared" si="216"/>
        <v>3.391749587689994E-2</v>
      </c>
      <c r="BQ68" s="17">
        <f t="shared" si="217"/>
        <v>0.22393901052079043</v>
      </c>
      <c r="BR68" s="17">
        <f t="shared" si="218"/>
        <v>0.65078557611615306</v>
      </c>
      <c r="BS68" s="17">
        <f t="shared" si="219"/>
        <v>5.8549640828572995E-2</v>
      </c>
      <c r="BT68" s="17">
        <f t="shared" si="220"/>
        <v>3.2808276657583416E-2</v>
      </c>
      <c r="BU68" s="17">
        <v>0</v>
      </c>
      <c r="BV68" s="17">
        <v>0</v>
      </c>
      <c r="BW68">
        <f t="shared" si="202"/>
        <v>0.99999999999999989</v>
      </c>
    </row>
    <row r="69" spans="2:75" ht="15" x14ac:dyDescent="0.25">
      <c r="B69" s="6" t="s">
        <v>24</v>
      </c>
      <c r="C69" s="7" t="s">
        <v>25</v>
      </c>
      <c r="D69" s="14">
        <v>1540</v>
      </c>
      <c r="E69" s="14">
        <v>65052</v>
      </c>
      <c r="F69" s="57">
        <v>24883</v>
      </c>
      <c r="G69" s="57">
        <v>1566</v>
      </c>
      <c r="H69" s="57">
        <v>532</v>
      </c>
      <c r="I69" s="56">
        <v>0</v>
      </c>
      <c r="J69" s="14">
        <v>13063</v>
      </c>
      <c r="K69" s="56">
        <v>0</v>
      </c>
      <c r="L69" s="57">
        <v>307</v>
      </c>
      <c r="M69" s="16"/>
      <c r="N69" s="16">
        <f t="shared" si="182"/>
        <v>1318.0425760000001</v>
      </c>
      <c r="O69" s="16"/>
      <c r="P69" s="57">
        <f t="shared" si="173"/>
        <v>156.43942099999998</v>
      </c>
      <c r="Q69" s="57">
        <f t="shared" si="174"/>
        <v>9.12195</v>
      </c>
      <c r="R69" s="57">
        <f t="shared" si="183"/>
        <v>547.96</v>
      </c>
      <c r="S69" s="56">
        <v>5</v>
      </c>
      <c r="T69" s="14">
        <f t="shared" si="185"/>
        <v>287.542756</v>
      </c>
      <c r="U69" s="56">
        <v>3</v>
      </c>
      <c r="V69" s="57">
        <f t="shared" ref="V69:V83" si="221">L69*V$2</f>
        <v>307</v>
      </c>
      <c r="W69" s="16">
        <f t="shared" si="188"/>
        <v>1316.0641270000001</v>
      </c>
      <c r="X69" s="16">
        <f t="shared" si="189"/>
        <v>1318.0425760000001</v>
      </c>
      <c r="Y69" s="16">
        <f t="shared" si="190"/>
        <v>-1.978448999999955</v>
      </c>
      <c r="Z69" s="16"/>
      <c r="AA69">
        <v>322</v>
      </c>
      <c r="AB69" s="16">
        <f t="shared" si="203"/>
        <v>156.43942099999998</v>
      </c>
      <c r="AC69" s="16">
        <f t="shared" si="204"/>
        <v>9.12195</v>
      </c>
      <c r="AD69" s="16">
        <f t="shared" si="205"/>
        <v>547.96</v>
      </c>
      <c r="AE69" s="16">
        <f t="shared" si="206"/>
        <v>5</v>
      </c>
      <c r="AF69" s="16">
        <f t="shared" si="207"/>
        <v>287.542756</v>
      </c>
      <c r="AG69" s="16">
        <f t="shared" si="208"/>
        <v>3</v>
      </c>
      <c r="AH69" s="16">
        <f t="shared" si="209"/>
        <v>307</v>
      </c>
      <c r="AI69" s="16">
        <f t="shared" si="192"/>
        <v>1316.0641270000001</v>
      </c>
      <c r="AJ69" s="16">
        <f t="shared" si="193"/>
        <v>1006.0641270000001</v>
      </c>
      <c r="AK69" s="16"/>
      <c r="AL69" s="16"/>
      <c r="AM69" s="64" t="s">
        <v>156</v>
      </c>
      <c r="AN69" s="68">
        <f>MECS_Total_Fuel!AO143</f>
        <v>0.13700000000000001</v>
      </c>
      <c r="AP69" s="2"/>
      <c r="AQ69" s="4">
        <f>MECS_EnergyPrices!E107</f>
        <v>2.5219999999999998</v>
      </c>
      <c r="AR69" s="4">
        <f>MECS_EnergyPrices!E76</f>
        <v>4.5659999999999998</v>
      </c>
      <c r="AS69" s="5">
        <f>MECS_EnergyPrices!E18</f>
        <v>2.2919999999999998</v>
      </c>
      <c r="AT69">
        <f>MECS_EnergyPrices!E47</f>
        <v>7.0640000000000001</v>
      </c>
      <c r="AU69" s="48">
        <f>MECS_EnergyPrices!E136</f>
        <v>1.87</v>
      </c>
      <c r="AV69" s="47"/>
      <c r="AW69" s="41"/>
      <c r="AX69" t="str">
        <f t="shared" si="194"/>
        <v>322</v>
      </c>
      <c r="AY69" s="16">
        <f t="shared" si="195"/>
        <v>1006.0641270000001</v>
      </c>
      <c r="AZ69">
        <f>MECS_Total_Fuel!S64</f>
        <v>2267.2367478194155</v>
      </c>
      <c r="BA69">
        <f t="shared" ref="BA69:BA82" si="222">AZ69/AY69</f>
        <v>2.2535708082347869</v>
      </c>
      <c r="BD69" s="3">
        <f t="shared" si="214"/>
        <v>2267.2367478194155</v>
      </c>
      <c r="BE69" s="3"/>
      <c r="BF69" t="str">
        <f t="shared" si="176"/>
        <v>322</v>
      </c>
      <c r="BG69" s="9" t="str">
        <f t="shared" si="177"/>
        <v>Paper</v>
      </c>
      <c r="BH69" s="4">
        <f>'[6]Table 7.6'!BG83</f>
        <v>0</v>
      </c>
      <c r="BI69" s="4">
        <f>'[6]Table 7.6'!BH83</f>
        <v>0</v>
      </c>
      <c r="BJ69">
        <f t="shared" si="197"/>
        <v>0</v>
      </c>
      <c r="BK69" s="4">
        <f t="shared" si="198"/>
        <v>1316.0641270000001</v>
      </c>
      <c r="BL69" s="14">
        <f t="shared" si="199"/>
        <v>2265.1403171820002</v>
      </c>
      <c r="BM69" s="4">
        <f t="shared" si="215"/>
        <v>1.7211473747449086</v>
      </c>
      <c r="BN69" s="3">
        <f>'[13]3DNAICS'!AX409</f>
        <v>6345</v>
      </c>
      <c r="BP69" s="17">
        <f t="shared" si="216"/>
        <v>0.15549647065390293</v>
      </c>
      <c r="BQ69" s="17">
        <f t="shared" si="217"/>
        <v>9.0669667620501479E-3</v>
      </c>
      <c r="BR69" s="17">
        <f t="shared" si="218"/>
        <v>0.54465712999227134</v>
      </c>
      <c r="BS69" s="17">
        <f t="shared" si="219"/>
        <v>4.9698621249021037E-3</v>
      </c>
      <c r="BT69" s="17">
        <f t="shared" si="220"/>
        <v>0.28580957046687339</v>
      </c>
      <c r="BU69" s="17">
        <v>0</v>
      </c>
      <c r="BV69" s="17">
        <v>0</v>
      </c>
      <c r="BW69">
        <f t="shared" si="202"/>
        <v>0.99999999999999989</v>
      </c>
    </row>
    <row r="70" spans="2:75" ht="15" x14ac:dyDescent="0.25">
      <c r="B70" s="6" t="s">
        <v>26</v>
      </c>
      <c r="C70" s="7" t="s">
        <v>27</v>
      </c>
      <c r="D70" s="14">
        <v>108</v>
      </c>
      <c r="E70" s="14">
        <v>15629</v>
      </c>
      <c r="F70" s="57">
        <v>50</v>
      </c>
      <c r="G70" s="57">
        <v>311</v>
      </c>
      <c r="H70" s="57">
        <v>47</v>
      </c>
      <c r="I70" s="57">
        <v>179</v>
      </c>
      <c r="J70" s="14">
        <v>0</v>
      </c>
      <c r="K70" s="57">
        <v>0</v>
      </c>
      <c r="L70" s="57">
        <v>4</v>
      </c>
      <c r="M70" s="16"/>
      <c r="N70" s="16">
        <f t="shared" si="182"/>
        <v>54.673851999999997</v>
      </c>
      <c r="O70" s="16"/>
      <c r="P70" s="57">
        <f t="shared" si="173"/>
        <v>0.31434999999999996</v>
      </c>
      <c r="Q70" s="57">
        <f t="shared" si="174"/>
        <v>1.8115749999999999</v>
      </c>
      <c r="R70" s="57">
        <f t="shared" si="183"/>
        <v>48.410000000000004</v>
      </c>
      <c r="S70" s="57">
        <f t="shared" si="184"/>
        <v>0.64690599999999998</v>
      </c>
      <c r="T70" s="14">
        <f t="shared" ref="T70:T79" si="223">J70*T$2*0.000001</f>
        <v>0</v>
      </c>
      <c r="U70" s="57">
        <f t="shared" si="186"/>
        <v>0</v>
      </c>
      <c r="V70" s="57">
        <f t="shared" si="221"/>
        <v>4</v>
      </c>
      <c r="W70" s="16">
        <f t="shared" si="188"/>
        <v>55.182831000000007</v>
      </c>
      <c r="X70" s="16">
        <f t="shared" si="189"/>
        <v>54.673851999999997</v>
      </c>
      <c r="Y70" s="16">
        <f t="shared" si="190"/>
        <v>0.50897900000001073</v>
      </c>
      <c r="Z70" s="16"/>
      <c r="AA70">
        <v>323</v>
      </c>
      <c r="AB70" s="16">
        <f t="shared" si="203"/>
        <v>0.31434999999999996</v>
      </c>
      <c r="AC70" s="16">
        <f t="shared" si="204"/>
        <v>1.8115749999999999</v>
      </c>
      <c r="AD70" s="16">
        <f t="shared" si="205"/>
        <v>48.410000000000004</v>
      </c>
      <c r="AE70" s="16">
        <f t="shared" si="206"/>
        <v>0.64690599999999998</v>
      </c>
      <c r="AF70" s="16">
        <f t="shared" si="207"/>
        <v>0</v>
      </c>
      <c r="AG70" s="16">
        <f t="shared" si="208"/>
        <v>0</v>
      </c>
      <c r="AH70" s="16">
        <f t="shared" si="209"/>
        <v>4</v>
      </c>
      <c r="AI70" s="16">
        <f t="shared" si="192"/>
        <v>55.182831000000007</v>
      </c>
      <c r="AJ70" s="16">
        <f t="shared" si="193"/>
        <v>51.182831000000007</v>
      </c>
      <c r="AK70" s="16"/>
      <c r="AL70" s="16"/>
      <c r="AM70" s="64" t="s">
        <v>157</v>
      </c>
      <c r="AN70" s="68">
        <f>MECS_Total_Fuel!AO144</f>
        <v>0.15</v>
      </c>
      <c r="AP70" s="2"/>
      <c r="AQ70" s="4">
        <f>MECS_EnergyPrices!E108</f>
        <v>3.7170000000000001</v>
      </c>
      <c r="AR70" s="4">
        <f>MECS_EnergyPrices!E77</f>
        <v>6.0019999999999998</v>
      </c>
      <c r="AS70" s="5">
        <f>MECS_EnergyPrices!E19</f>
        <v>3.6</v>
      </c>
      <c r="AT70">
        <f>MECS_EnergyPrices!E48</f>
        <v>9.5489999999999995</v>
      </c>
      <c r="AU70" s="48">
        <f>MECS_EnergyPrices!E137</f>
        <v>1.7160000000000002</v>
      </c>
      <c r="AV70" s="47"/>
      <c r="AW70" s="41"/>
      <c r="AX70" t="str">
        <f t="shared" si="194"/>
        <v>323</v>
      </c>
      <c r="AY70" s="16">
        <f t="shared" si="195"/>
        <v>51.182831000000007</v>
      </c>
      <c r="AZ70">
        <f>MECS_Total_Fuel!S65</f>
        <v>38.576483481067747</v>
      </c>
      <c r="BA70">
        <f t="shared" si="222"/>
        <v>0.75369968263513487</v>
      </c>
      <c r="BD70" s="3">
        <f t="shared" si="214"/>
        <v>38.576483481067747</v>
      </c>
      <c r="BE70" s="3"/>
      <c r="BF70" t="str">
        <f t="shared" si="176"/>
        <v>323</v>
      </c>
      <c r="BG70" s="9" t="str">
        <f t="shared" si="177"/>
        <v>Printing and Related Support</v>
      </c>
      <c r="BH70" s="4">
        <f>'[6]Table 7.6'!BG84</f>
        <v>0</v>
      </c>
      <c r="BI70" s="4">
        <f>'[6]Table 7.6'!BH84</f>
        <v>0</v>
      </c>
      <c r="BJ70">
        <f t="shared" si="197"/>
        <v>0</v>
      </c>
      <c r="BK70" s="4">
        <f t="shared" si="198"/>
        <v>55.182831000000007</v>
      </c>
      <c r="BL70" s="14">
        <f t="shared" si="199"/>
        <v>192.49481749400002</v>
      </c>
      <c r="BM70" s="4">
        <f t="shared" si="215"/>
        <v>3.4883099327397682</v>
      </c>
      <c r="BN70" s="3">
        <f>'[13]3DNAICS'!AX410</f>
        <v>342</v>
      </c>
      <c r="BP70" s="17">
        <f t="shared" si="216"/>
        <v>6.1417079489018483E-3</v>
      </c>
      <c r="BQ70" s="17">
        <f t="shared" si="217"/>
        <v>3.5394193025391651E-2</v>
      </c>
      <c r="BR70" s="17">
        <f t="shared" si="218"/>
        <v>0.9458249779110498</v>
      </c>
      <c r="BS70" s="17">
        <f t="shared" si="219"/>
        <v>1.2639121114656591E-2</v>
      </c>
      <c r="BT70" s="17">
        <f t="shared" si="220"/>
        <v>0</v>
      </c>
      <c r="BU70" s="17">
        <v>0</v>
      </c>
      <c r="BV70" s="17">
        <v>0</v>
      </c>
      <c r="BW70">
        <f t="shared" si="202"/>
        <v>0.99999999999999989</v>
      </c>
    </row>
    <row r="71" spans="2:75" ht="15" x14ac:dyDescent="0.25">
      <c r="B71" s="6" t="s">
        <v>28</v>
      </c>
      <c r="C71" s="7" t="s">
        <v>29</v>
      </c>
      <c r="D71" s="14">
        <v>1138</v>
      </c>
      <c r="E71" s="14">
        <v>33480</v>
      </c>
      <c r="F71" s="57">
        <v>3814</v>
      </c>
      <c r="G71" s="57">
        <v>2900</v>
      </c>
      <c r="H71" s="57">
        <v>806</v>
      </c>
      <c r="I71" s="57">
        <v>6874</v>
      </c>
      <c r="J71" s="56">
        <v>0</v>
      </c>
      <c r="K71" s="56">
        <v>0</v>
      </c>
      <c r="L71" s="57">
        <v>123</v>
      </c>
      <c r="M71" s="16"/>
      <c r="N71" s="16">
        <f t="shared" si="182"/>
        <v>1023.76624</v>
      </c>
      <c r="O71" s="16"/>
      <c r="P71" s="57">
        <f t="shared" si="173"/>
        <v>23.978617999999997</v>
      </c>
      <c r="Q71" s="57">
        <f t="shared" si="174"/>
        <v>16.892499999999998</v>
      </c>
      <c r="R71" s="57">
        <f t="shared" si="183"/>
        <v>830.18000000000006</v>
      </c>
      <c r="S71" s="57">
        <f t="shared" si="184"/>
        <v>24.842635999999999</v>
      </c>
      <c r="T71" s="56">
        <v>4</v>
      </c>
      <c r="U71" s="56">
        <v>0.1</v>
      </c>
      <c r="V71" s="57">
        <f t="shared" si="221"/>
        <v>123</v>
      </c>
      <c r="W71" s="16">
        <f t="shared" si="188"/>
        <v>1022.9937540000001</v>
      </c>
      <c r="X71" s="16">
        <f t="shared" si="189"/>
        <v>1023.76624</v>
      </c>
      <c r="Y71" s="16">
        <f t="shared" si="190"/>
        <v>-0.77248599999995804</v>
      </c>
      <c r="Z71" s="16"/>
      <c r="AA71">
        <v>324</v>
      </c>
      <c r="AB71" s="16">
        <f t="shared" si="203"/>
        <v>23.978617999999997</v>
      </c>
      <c r="AC71" s="16">
        <f t="shared" si="204"/>
        <v>16.892499999999998</v>
      </c>
      <c r="AD71" s="16">
        <f t="shared" si="205"/>
        <v>830.18000000000006</v>
      </c>
      <c r="AE71" s="16">
        <f t="shared" si="206"/>
        <v>24.842635999999999</v>
      </c>
      <c r="AF71" s="16">
        <f t="shared" si="207"/>
        <v>4</v>
      </c>
      <c r="AG71" s="16">
        <f t="shared" si="208"/>
        <v>0.1</v>
      </c>
      <c r="AH71" s="16">
        <f t="shared" si="209"/>
        <v>123</v>
      </c>
      <c r="AI71" s="16">
        <f t="shared" si="192"/>
        <v>1022.9937540000001</v>
      </c>
      <c r="AJ71" s="16">
        <f t="shared" si="193"/>
        <v>899.89375400000006</v>
      </c>
      <c r="AK71" s="16"/>
      <c r="AL71" s="16"/>
      <c r="AM71" s="64" t="s">
        <v>158</v>
      </c>
      <c r="AN71" s="68">
        <f>MECS_Total_Fuel!AO145</f>
        <v>0.35199999999999998</v>
      </c>
      <c r="AP71" s="2"/>
      <c r="AQ71" s="4">
        <f>MECS_EnergyPrices!E109</f>
        <v>3</v>
      </c>
      <c r="AR71" s="4">
        <f>MECS_EnergyPrices!E78</f>
        <v>5.1639999999999997</v>
      </c>
      <c r="AS71" s="5">
        <f>MECS_EnergyPrices!E20</f>
        <v>1.9670000000000001</v>
      </c>
      <c r="AT71">
        <f>MECS_EnergyPrices!E49</f>
        <v>4.6029999999999998</v>
      </c>
      <c r="AU71" s="48">
        <f>MECS_EnergyPrices!E138</f>
        <v>2.0099999999999998</v>
      </c>
      <c r="AV71" s="47"/>
      <c r="AW71" s="41"/>
      <c r="AX71" t="str">
        <f t="shared" si="194"/>
        <v>324</v>
      </c>
      <c r="AY71" s="16">
        <f t="shared" si="195"/>
        <v>899.89375400000006</v>
      </c>
      <c r="AZ71">
        <f>MECS_Total_Fuel!S66</f>
        <v>2884.3712617836486</v>
      </c>
      <c r="BA71">
        <f t="shared" si="222"/>
        <v>3.2052353391305441</v>
      </c>
      <c r="BD71" s="3">
        <f t="shared" si="214"/>
        <v>2884.3712617836486</v>
      </c>
      <c r="BE71" s="3"/>
      <c r="BF71" t="str">
        <f t="shared" si="176"/>
        <v>324</v>
      </c>
      <c r="BG71" s="9" t="str">
        <f t="shared" si="177"/>
        <v>Petroleum and Coal Products</v>
      </c>
      <c r="BH71" s="4">
        <f>'[6]Table 7.6'!BG85</f>
        <v>0</v>
      </c>
      <c r="BI71" s="4">
        <f>'[6]Table 7.6'!BH85</f>
        <v>0</v>
      </c>
      <c r="BJ71">
        <f t="shared" si="197"/>
        <v>0</v>
      </c>
      <c r="BK71" s="4">
        <f t="shared" si="198"/>
        <v>1022.9937540000001</v>
      </c>
      <c r="BL71" s="14">
        <f t="shared" si="199"/>
        <v>1914.5234375080004</v>
      </c>
      <c r="BM71" s="4">
        <f t="shared" si="215"/>
        <v>1.8714908375755344</v>
      </c>
      <c r="BN71" s="3">
        <f>'[13]3DNAICS'!AX411</f>
        <v>8466</v>
      </c>
      <c r="BP71" s="17">
        <f t="shared" si="216"/>
        <v>2.6646054485227593E-2</v>
      </c>
      <c r="BQ71" s="17">
        <f t="shared" si="217"/>
        <v>1.8771660459819123E-2</v>
      </c>
      <c r="BR71" s="17">
        <f t="shared" si="218"/>
        <v>0.92253112804692272</v>
      </c>
      <c r="BS71" s="17">
        <f t="shared" si="219"/>
        <v>2.7606187830035763E-2</v>
      </c>
      <c r="BT71" s="17">
        <f t="shared" si="220"/>
        <v>4.4449691779947613E-3</v>
      </c>
      <c r="BU71" s="17">
        <v>0</v>
      </c>
      <c r="BV71" s="17">
        <v>0</v>
      </c>
      <c r="BW71">
        <f t="shared" si="202"/>
        <v>1</v>
      </c>
    </row>
    <row r="72" spans="2:75" ht="15" x14ac:dyDescent="0.25">
      <c r="B72" s="6" t="s">
        <v>30</v>
      </c>
      <c r="C72" s="7" t="s">
        <v>31</v>
      </c>
      <c r="D72" s="14">
        <v>2674</v>
      </c>
      <c r="E72" s="14">
        <v>139059</v>
      </c>
      <c r="F72" s="57">
        <v>7427</v>
      </c>
      <c r="G72" s="57">
        <v>1999</v>
      </c>
      <c r="H72" s="57">
        <v>1616</v>
      </c>
      <c r="I72" s="57">
        <v>1119</v>
      </c>
      <c r="J72" s="14">
        <v>11153</v>
      </c>
      <c r="K72" s="57">
        <v>132</v>
      </c>
      <c r="L72" s="57">
        <v>221</v>
      </c>
      <c r="M72" s="16"/>
      <c r="N72" s="16">
        <f t="shared" si="182"/>
        <v>2199.5306919999998</v>
      </c>
      <c r="O72" s="16"/>
      <c r="P72" s="57">
        <f t="shared" si="173"/>
        <v>46.693548999999997</v>
      </c>
      <c r="Q72" s="57">
        <f t="shared" si="174"/>
        <v>11.644174999999999</v>
      </c>
      <c r="R72" s="57">
        <f t="shared" si="183"/>
        <v>1664.48</v>
      </c>
      <c r="S72" s="57">
        <f t="shared" si="184"/>
        <v>4.0440659999999999</v>
      </c>
      <c r="T72" s="14">
        <f t="shared" si="223"/>
        <v>245.49983599999999</v>
      </c>
      <c r="U72" s="57">
        <f t="shared" si="186"/>
        <v>3.2736000000000001</v>
      </c>
      <c r="V72" s="57">
        <f t="shared" si="221"/>
        <v>221</v>
      </c>
      <c r="W72" s="16">
        <f t="shared" si="188"/>
        <v>2196.6352259999999</v>
      </c>
      <c r="X72" s="16">
        <f t="shared" si="189"/>
        <v>2199.5306919999998</v>
      </c>
      <c r="Y72" s="16">
        <f t="shared" si="190"/>
        <v>-2.8954659999999421</v>
      </c>
      <c r="Z72" s="16"/>
      <c r="AA72">
        <v>325</v>
      </c>
      <c r="AB72" s="16">
        <f t="shared" si="203"/>
        <v>46.693548999999997</v>
      </c>
      <c r="AC72" s="16">
        <f t="shared" si="204"/>
        <v>11.644174999999999</v>
      </c>
      <c r="AD72" s="16">
        <f t="shared" si="205"/>
        <v>1664.48</v>
      </c>
      <c r="AE72" s="16">
        <f t="shared" si="206"/>
        <v>4.0440659999999999</v>
      </c>
      <c r="AF72" s="16">
        <f t="shared" si="207"/>
        <v>245.49983599999999</v>
      </c>
      <c r="AG72" s="16">
        <f t="shared" si="208"/>
        <v>3.2736000000000001</v>
      </c>
      <c r="AH72" s="16">
        <f t="shared" si="209"/>
        <v>221</v>
      </c>
      <c r="AI72" s="16">
        <f t="shared" si="192"/>
        <v>2196.6352259999999</v>
      </c>
      <c r="AJ72" s="16">
        <f t="shared" si="193"/>
        <v>1972.3616259999999</v>
      </c>
      <c r="AK72" s="16"/>
      <c r="AL72" s="16"/>
      <c r="AM72" s="64" t="s">
        <v>159</v>
      </c>
      <c r="AN72" s="68">
        <f>MECS_Total_Fuel!AO146</f>
        <v>0.31399999999999995</v>
      </c>
      <c r="AP72" s="2"/>
      <c r="AQ72" s="4">
        <f>MECS_EnergyPrices!E110</f>
        <v>2.3580000000000001</v>
      </c>
      <c r="AR72" s="4">
        <f>MECS_EnergyPrices!E79</f>
        <v>5.2839999999999998</v>
      </c>
      <c r="AS72" s="5">
        <f>MECS_EnergyPrices!E21</f>
        <v>1.8109999999999999</v>
      </c>
      <c r="AT72">
        <f>MECS_EnergyPrices!E50</f>
        <v>4.8289999999999997</v>
      </c>
      <c r="AU72" s="48">
        <f>MECS_EnergyPrices!E139</f>
        <v>1.681</v>
      </c>
      <c r="AV72" s="47"/>
      <c r="AW72" s="41"/>
      <c r="AX72" t="str">
        <f t="shared" si="194"/>
        <v>325</v>
      </c>
      <c r="AY72" s="16">
        <f t="shared" si="195"/>
        <v>1972.3616259999999</v>
      </c>
      <c r="AZ72">
        <f>MECS_Total_Fuel!S67</f>
        <v>2577.2858974832011</v>
      </c>
      <c r="BA72">
        <f t="shared" si="222"/>
        <v>1.3067004871261885</v>
      </c>
      <c r="BD72" s="3">
        <f t="shared" si="214"/>
        <v>2577.2858974832011</v>
      </c>
      <c r="BE72" s="3"/>
      <c r="BF72" t="str">
        <f t="shared" si="176"/>
        <v>325</v>
      </c>
      <c r="BG72" s="9" t="str">
        <f t="shared" si="177"/>
        <v>Chemicals</v>
      </c>
      <c r="BH72" s="4">
        <f>'[6]Table 7.6'!BG86</f>
        <v>0</v>
      </c>
      <c r="BI72" s="4">
        <f>'[6]Table 7.6'!BH86</f>
        <v>0</v>
      </c>
      <c r="BJ72">
        <f t="shared" si="197"/>
        <v>0</v>
      </c>
      <c r="BK72" s="4">
        <f t="shared" si="198"/>
        <v>2196.6352259999999</v>
      </c>
      <c r="BL72" s="14">
        <f t="shared" si="199"/>
        <v>3618.2185082719998</v>
      </c>
      <c r="BM72" s="4">
        <f t="shared" si="215"/>
        <v>1.6471640195175492</v>
      </c>
      <c r="BN72" s="3">
        <f>'[13]3DNAICS'!AX412</f>
        <v>39616</v>
      </c>
      <c r="BP72" s="17">
        <f t="shared" si="216"/>
        <v>2.3673928951201365E-2</v>
      </c>
      <c r="BQ72" s="17">
        <f t="shared" si="217"/>
        <v>5.9036714396105373E-3</v>
      </c>
      <c r="BR72" s="17">
        <f t="shared" si="218"/>
        <v>0.84390204010184899</v>
      </c>
      <c r="BS72" s="17">
        <f t="shared" si="219"/>
        <v>2.050367410666709E-3</v>
      </c>
      <c r="BT72" s="17">
        <f t="shared" si="220"/>
        <v>0.12446999209667244</v>
      </c>
      <c r="BU72" s="17">
        <v>0</v>
      </c>
      <c r="BV72" s="17">
        <v>0</v>
      </c>
      <c r="BW72">
        <f t="shared" si="202"/>
        <v>1</v>
      </c>
    </row>
    <row r="73" spans="2:75" ht="15" x14ac:dyDescent="0.25">
      <c r="B73" s="6" t="s">
        <v>32</v>
      </c>
      <c r="C73" s="7" t="s">
        <v>33</v>
      </c>
      <c r="D73" s="14">
        <v>235</v>
      </c>
      <c r="E73" s="14">
        <v>33913</v>
      </c>
      <c r="F73" s="57">
        <v>1253</v>
      </c>
      <c r="G73" s="57">
        <v>508</v>
      </c>
      <c r="H73" s="57">
        <v>93</v>
      </c>
      <c r="I73" s="57">
        <v>786</v>
      </c>
      <c r="J73" s="14">
        <v>295</v>
      </c>
      <c r="K73" s="57">
        <v>0</v>
      </c>
      <c r="L73" s="57">
        <v>3</v>
      </c>
      <c r="M73" s="16"/>
      <c r="N73" s="16">
        <f t="shared" si="182"/>
        <v>119.288844</v>
      </c>
      <c r="O73" s="16"/>
      <c r="P73" s="57">
        <f t="shared" si="173"/>
        <v>7.8776109999999999</v>
      </c>
      <c r="Q73" s="57">
        <f t="shared" si="174"/>
        <v>2.9590999999999998</v>
      </c>
      <c r="R73" s="57">
        <f t="shared" si="183"/>
        <v>95.79</v>
      </c>
      <c r="S73" s="57">
        <f t="shared" si="184"/>
        <v>2.8406039999999999</v>
      </c>
      <c r="T73" s="14">
        <f t="shared" si="223"/>
        <v>6.4935399999999994</v>
      </c>
      <c r="U73" s="57">
        <f t="shared" si="186"/>
        <v>0</v>
      </c>
      <c r="V73" s="57">
        <f t="shared" si="221"/>
        <v>3</v>
      </c>
      <c r="W73" s="16">
        <f t="shared" si="188"/>
        <v>118.960855</v>
      </c>
      <c r="X73" s="16">
        <f t="shared" si="189"/>
        <v>119.288844</v>
      </c>
      <c r="Y73" s="16">
        <f t="shared" si="190"/>
        <v>-0.32798900000000231</v>
      </c>
      <c r="Z73" s="16"/>
      <c r="AA73">
        <v>326</v>
      </c>
      <c r="AB73" s="16">
        <f t="shared" si="203"/>
        <v>7.8776109999999999</v>
      </c>
      <c r="AC73" s="16">
        <f t="shared" si="204"/>
        <v>2.9590999999999998</v>
      </c>
      <c r="AD73" s="16">
        <f t="shared" si="205"/>
        <v>95.79</v>
      </c>
      <c r="AE73" s="16">
        <f t="shared" si="206"/>
        <v>2.8406039999999999</v>
      </c>
      <c r="AF73" s="16">
        <f t="shared" si="207"/>
        <v>6.4935399999999994</v>
      </c>
      <c r="AG73" s="16">
        <f t="shared" si="208"/>
        <v>0</v>
      </c>
      <c r="AH73" s="16">
        <f t="shared" si="209"/>
        <v>3</v>
      </c>
      <c r="AI73" s="16">
        <f t="shared" si="192"/>
        <v>118.960855</v>
      </c>
      <c r="AJ73" s="16">
        <f t="shared" si="193"/>
        <v>115.960855</v>
      </c>
      <c r="AK73" s="16"/>
      <c r="AL73" s="16"/>
      <c r="AM73" s="64" t="s">
        <v>160</v>
      </c>
      <c r="AN73" s="68">
        <f>MECS_Total_Fuel!AO147</f>
        <v>0.33399999999999996</v>
      </c>
      <c r="AP73" s="2"/>
      <c r="AQ73" s="4">
        <f>MECS_EnergyPrices!E111</f>
        <v>2.4940000000000002</v>
      </c>
      <c r="AR73" s="4">
        <f>MECS_EnergyPrices!E80</f>
        <v>5.3719999999999999</v>
      </c>
      <c r="AS73" s="5">
        <f>MECS_EnergyPrices!E22</f>
        <v>3.1349999999999998</v>
      </c>
      <c r="AT73">
        <f>MECS_EnergyPrices!E51</f>
        <v>7.9589999999999996</v>
      </c>
      <c r="AU73" s="48">
        <f>MECS_EnergyPrices!E140</f>
        <v>2.1539999999999999</v>
      </c>
      <c r="AV73" s="47"/>
      <c r="AW73" s="41"/>
      <c r="AX73" t="str">
        <f t="shared" si="194"/>
        <v>326</v>
      </c>
      <c r="AY73" s="16">
        <f t="shared" si="195"/>
        <v>115.960855</v>
      </c>
      <c r="AZ73">
        <f>MECS_Total_Fuel!S68</f>
        <v>125.61488437265322</v>
      </c>
      <c r="BA73">
        <f t="shared" si="222"/>
        <v>1.0832524852688714</v>
      </c>
      <c r="BD73" s="3">
        <f t="shared" si="214"/>
        <v>125.61488437265322</v>
      </c>
      <c r="BE73" s="3"/>
      <c r="BF73" t="str">
        <f t="shared" si="176"/>
        <v>326</v>
      </c>
      <c r="BG73" s="9" t="str">
        <f t="shared" si="177"/>
        <v>Plastics and Rubber Products</v>
      </c>
      <c r="BH73" s="4">
        <f>'[6]Table 7.6'!BG87</f>
        <v>0</v>
      </c>
      <c r="BI73" s="4">
        <f>'[6]Table 7.6'!BH87</f>
        <v>0</v>
      </c>
      <c r="BJ73">
        <f t="shared" si="197"/>
        <v>0</v>
      </c>
      <c r="BK73" s="4">
        <f t="shared" si="198"/>
        <v>118.960855</v>
      </c>
      <c r="BL73" s="14">
        <f t="shared" si="199"/>
        <v>372.44014942999996</v>
      </c>
      <c r="BM73" s="4">
        <f t="shared" si="215"/>
        <v>3.1307790233182167</v>
      </c>
      <c r="BN73" s="3">
        <f>'[13]3DNAICS'!AX413</f>
        <v>1402</v>
      </c>
      <c r="BP73" s="17">
        <f t="shared" si="216"/>
        <v>6.79333642374403E-2</v>
      </c>
      <c r="BQ73" s="17">
        <f t="shared" si="217"/>
        <v>2.5518094015433052E-2</v>
      </c>
      <c r="BR73" s="17">
        <f t="shared" si="218"/>
        <v>0.82605461989737838</v>
      </c>
      <c r="BS73" s="17">
        <f t="shared" si="219"/>
        <v>2.4496231939648946E-2</v>
      </c>
      <c r="BT73" s="17">
        <f t="shared" si="220"/>
        <v>5.5997689910099402E-2</v>
      </c>
      <c r="BU73" s="17">
        <v>0</v>
      </c>
      <c r="BV73" s="17">
        <v>0</v>
      </c>
      <c r="BW73">
        <f t="shared" si="202"/>
        <v>1</v>
      </c>
    </row>
    <row r="74" spans="2:75" ht="15" x14ac:dyDescent="0.25">
      <c r="B74" s="6" t="s">
        <v>34</v>
      </c>
      <c r="C74" s="7" t="s">
        <v>35</v>
      </c>
      <c r="D74" s="14">
        <v>877</v>
      </c>
      <c r="E74" s="14">
        <v>30885</v>
      </c>
      <c r="F74" s="57">
        <v>1345</v>
      </c>
      <c r="G74" s="57">
        <v>3312</v>
      </c>
      <c r="H74" s="57">
        <v>369</v>
      </c>
      <c r="I74" s="57">
        <v>577</v>
      </c>
      <c r="J74" s="14">
        <v>13127</v>
      </c>
      <c r="K74" s="57">
        <v>374</v>
      </c>
      <c r="L74" s="57">
        <v>60</v>
      </c>
      <c r="M74" s="16"/>
      <c r="N74" s="16">
        <f t="shared" si="182"/>
        <v>771.62037999999995</v>
      </c>
      <c r="O74" s="16"/>
      <c r="P74" s="57">
        <f t="shared" si="173"/>
        <v>8.4560149999999989</v>
      </c>
      <c r="Q74" s="57">
        <f t="shared" si="174"/>
        <v>19.292400000000001</v>
      </c>
      <c r="R74" s="57">
        <f t="shared" si="183"/>
        <v>380.07</v>
      </c>
      <c r="S74" s="57">
        <f t="shared" si="184"/>
        <v>2.0852779999999997</v>
      </c>
      <c r="T74" s="14">
        <f t="shared" si="223"/>
        <v>288.95152400000001</v>
      </c>
      <c r="U74" s="57">
        <f t="shared" si="186"/>
        <v>9.2751999999999999</v>
      </c>
      <c r="V74" s="57">
        <f t="shared" si="221"/>
        <v>60</v>
      </c>
      <c r="W74" s="16">
        <f t="shared" si="188"/>
        <v>768.13041700000008</v>
      </c>
      <c r="X74" s="16">
        <f t="shared" si="189"/>
        <v>771.62037999999995</v>
      </c>
      <c r="Y74" s="16">
        <f t="shared" si="190"/>
        <v>-3.4899629999998751</v>
      </c>
      <c r="Z74" s="16"/>
      <c r="AA74">
        <v>327</v>
      </c>
      <c r="AB74" s="16">
        <f t="shared" si="203"/>
        <v>8.4560149999999989</v>
      </c>
      <c r="AC74" s="16">
        <f t="shared" si="204"/>
        <v>19.292400000000001</v>
      </c>
      <c r="AD74" s="16">
        <f t="shared" si="205"/>
        <v>380.07</v>
      </c>
      <c r="AE74" s="16">
        <f t="shared" si="206"/>
        <v>2.0852779999999997</v>
      </c>
      <c r="AF74" s="16">
        <f t="shared" si="207"/>
        <v>288.95152400000001</v>
      </c>
      <c r="AG74" s="16">
        <f t="shared" si="208"/>
        <v>9.2751999999999999</v>
      </c>
      <c r="AH74" s="16">
        <f t="shared" si="209"/>
        <v>60</v>
      </c>
      <c r="AI74" s="16">
        <f t="shared" si="192"/>
        <v>768.13041700000008</v>
      </c>
      <c r="AJ74" s="16">
        <f t="shared" si="193"/>
        <v>698.85521700000004</v>
      </c>
      <c r="AK74" s="16"/>
      <c r="AL74" s="16"/>
      <c r="AM74" s="64" t="s">
        <v>161</v>
      </c>
      <c r="AN74" s="68">
        <f>MECS_Total_Fuel!AO148</f>
        <v>0</v>
      </c>
      <c r="AP74" s="2"/>
      <c r="AQ74" s="4">
        <f>MECS_EnergyPrices!E112</f>
        <v>3.141</v>
      </c>
      <c r="AR74" s="4">
        <f>MECS_EnergyPrices!E81</f>
        <v>6.01</v>
      </c>
      <c r="AS74" s="5">
        <f>MECS_EnergyPrices!E23</f>
        <v>2.5270000000000001</v>
      </c>
      <c r="AT74">
        <f>MECS_EnergyPrices!E52</f>
        <v>8.0649999999999995</v>
      </c>
      <c r="AU74" s="48">
        <f>MECS_EnergyPrices!E141</f>
        <v>1.583</v>
      </c>
      <c r="AV74" s="47"/>
      <c r="AW74" s="41"/>
      <c r="AX74" t="str">
        <f t="shared" si="194"/>
        <v>327</v>
      </c>
      <c r="AY74" s="16">
        <f t="shared" si="195"/>
        <v>698.85521700000004</v>
      </c>
      <c r="AZ74">
        <f>MECS_Total_Fuel!S69</f>
        <v>788.81428212035598</v>
      </c>
      <c r="BA74">
        <f t="shared" si="222"/>
        <v>1.1287234650783982</v>
      </c>
      <c r="BD74" s="3">
        <f t="shared" si="214"/>
        <v>788.81428212035587</v>
      </c>
      <c r="BE74" s="3"/>
      <c r="BF74" t="str">
        <f t="shared" si="176"/>
        <v>327</v>
      </c>
      <c r="BG74" s="9" t="str">
        <f t="shared" si="177"/>
        <v>Nonmetallic Mineral Products</v>
      </c>
      <c r="BH74" s="4">
        <f>'[6]Table 7.6'!BG88</f>
        <v>0</v>
      </c>
      <c r="BI74" s="4">
        <f>'[6]Table 7.6'!BH88</f>
        <v>0</v>
      </c>
      <c r="BJ74">
        <f t="shared" si="197"/>
        <v>0</v>
      </c>
      <c r="BK74" s="4">
        <f t="shared" si="198"/>
        <v>768.13041700000008</v>
      </c>
      <c r="BL74" s="14">
        <f t="shared" si="199"/>
        <v>1577.1725866769998</v>
      </c>
      <c r="BM74" s="4">
        <f t="shared" si="215"/>
        <v>2.0532614667660005</v>
      </c>
      <c r="BN74" s="3">
        <f>'[13]3DNAICS'!AX414</f>
        <v>5610</v>
      </c>
      <c r="BP74" s="17">
        <f t="shared" si="216"/>
        <v>1.2099809508898605E-2</v>
      </c>
      <c r="BQ74" s="17">
        <f t="shared" si="217"/>
        <v>2.7605717937997449E-2</v>
      </c>
      <c r="BR74" s="17">
        <f t="shared" si="218"/>
        <v>0.54384655183879094</v>
      </c>
      <c r="BS74" s="17">
        <f t="shared" si="219"/>
        <v>2.9838483698405296E-3</v>
      </c>
      <c r="BT74" s="17">
        <f t="shared" si="220"/>
        <v>0.41346407234447247</v>
      </c>
      <c r="BU74" s="17">
        <v>0</v>
      </c>
      <c r="BV74" s="17">
        <v>0</v>
      </c>
      <c r="BW74">
        <f t="shared" si="202"/>
        <v>1</v>
      </c>
    </row>
    <row r="75" spans="2:75" ht="15" x14ac:dyDescent="0.25">
      <c r="B75" s="6" t="s">
        <v>36</v>
      </c>
      <c r="C75" s="7" t="s">
        <v>37</v>
      </c>
      <c r="D75" s="14">
        <v>1563</v>
      </c>
      <c r="E75" s="14">
        <v>147078</v>
      </c>
      <c r="F75" s="57">
        <v>5285</v>
      </c>
      <c r="G75" s="57">
        <v>1806</v>
      </c>
      <c r="H75" s="57">
        <v>666</v>
      </c>
      <c r="I75" s="57">
        <v>888</v>
      </c>
      <c r="J75" s="14">
        <v>2054</v>
      </c>
      <c r="K75" s="57">
        <v>10557</v>
      </c>
      <c r="L75" s="57">
        <v>20</v>
      </c>
      <c r="M75" s="16"/>
      <c r="N75" s="16">
        <f t="shared" si="182"/>
        <v>1061.169864</v>
      </c>
      <c r="O75" s="16"/>
      <c r="P75" s="57">
        <f t="shared" si="173"/>
        <v>33.226794999999996</v>
      </c>
      <c r="Q75" s="57">
        <f t="shared" si="174"/>
        <v>10.51995</v>
      </c>
      <c r="R75" s="57">
        <f t="shared" si="183"/>
        <v>685.98</v>
      </c>
      <c r="S75" s="57">
        <f t="shared" si="184"/>
        <v>3.2092319999999996</v>
      </c>
      <c r="T75" s="14">
        <f t="shared" si="223"/>
        <v>45.212648000000002</v>
      </c>
      <c r="U75" s="57">
        <f t="shared" si="186"/>
        <v>261.81360000000001</v>
      </c>
      <c r="V75" s="57">
        <f t="shared" si="221"/>
        <v>20</v>
      </c>
      <c r="W75" s="16">
        <f t="shared" si="188"/>
        <v>1059.962225</v>
      </c>
      <c r="X75" s="16">
        <f t="shared" si="189"/>
        <v>1061.169864</v>
      </c>
      <c r="Y75" s="16">
        <f t="shared" si="190"/>
        <v>-1.2076389999999719</v>
      </c>
      <c r="Z75" s="16"/>
      <c r="AA75">
        <v>331</v>
      </c>
      <c r="AB75" s="16">
        <f t="shared" si="203"/>
        <v>33.226794999999996</v>
      </c>
      <c r="AC75" s="16">
        <f t="shared" si="204"/>
        <v>10.51995</v>
      </c>
      <c r="AD75" s="16">
        <f t="shared" si="205"/>
        <v>685.98</v>
      </c>
      <c r="AE75" s="16">
        <f t="shared" si="206"/>
        <v>3.2092319999999996</v>
      </c>
      <c r="AF75" s="16">
        <f t="shared" si="207"/>
        <v>45.212648000000002</v>
      </c>
      <c r="AG75" s="16">
        <f t="shared" si="208"/>
        <v>261.81360000000001</v>
      </c>
      <c r="AH75" s="16">
        <f t="shared" si="209"/>
        <v>20</v>
      </c>
      <c r="AI75" s="16">
        <f t="shared" si="192"/>
        <v>1059.962225</v>
      </c>
      <c r="AJ75" s="16">
        <f>AI75-AH75</f>
        <v>1039.962225</v>
      </c>
      <c r="AK75" s="16"/>
      <c r="AL75" s="16"/>
      <c r="AM75" s="64" t="s">
        <v>162</v>
      </c>
      <c r="AN75" s="68">
        <f>MECS_Total_Fuel!AO149</f>
        <v>7.0000000000000007E-2</v>
      </c>
      <c r="AP75" s="2"/>
      <c r="AQ75" s="4">
        <f>MECS_EnergyPrices!E113</f>
        <v>2.1720000000000002</v>
      </c>
      <c r="AR75" s="4">
        <f>MECS_EnergyPrices!E82</f>
        <v>5.835</v>
      </c>
      <c r="AS75" s="5">
        <f>MECS_EnergyPrices!E24</f>
        <v>2.532</v>
      </c>
      <c r="AT75">
        <f>MECS_EnergyPrices!E53</f>
        <v>5.23</v>
      </c>
      <c r="AU75" s="48">
        <f>MECS_EnergyPrices!E142</f>
        <v>1.8779999999999999</v>
      </c>
      <c r="AV75" s="48">
        <f>3*AU75</f>
        <v>5.6339999999999995</v>
      </c>
      <c r="AW75" s="41"/>
      <c r="AX75" t="str">
        <f t="shared" si="194"/>
        <v>331</v>
      </c>
      <c r="AY75" s="16">
        <f t="shared" si="195"/>
        <v>1039.962225</v>
      </c>
      <c r="AZ75">
        <f>MECS_Total_Fuel!S70</f>
        <v>1811.54797443144</v>
      </c>
      <c r="BA75">
        <f t="shared" si="222"/>
        <v>1.7419363231500453</v>
      </c>
      <c r="BD75" s="3">
        <f t="shared" si="214"/>
        <v>1811.54797443144</v>
      </c>
      <c r="BE75" s="3"/>
      <c r="BF75" t="str">
        <f t="shared" si="176"/>
        <v>331</v>
      </c>
      <c r="BG75" s="9" t="str">
        <f t="shared" si="177"/>
        <v>Primary Metals</v>
      </c>
      <c r="BH75" s="4">
        <f>'[6]Table 7.6'!BG89</f>
        <v>0</v>
      </c>
      <c r="BI75" s="4">
        <f>'[6]Table 7.6'!BH89</f>
        <v>0</v>
      </c>
      <c r="BJ75">
        <f t="shared" si="197"/>
        <v>0</v>
      </c>
      <c r="BK75" s="4">
        <f t="shared" si="198"/>
        <v>1059.962225</v>
      </c>
      <c r="BL75" s="14">
        <f>SUMPRODUCT(AB75:AG75,AQ75:AV75)</f>
        <v>3447.2053256939998</v>
      </c>
      <c r="BM75" s="4">
        <f t="shared" si="215"/>
        <v>3.2521963937856371</v>
      </c>
      <c r="BN75" s="3">
        <f>'[13]3DNAICS'!AX415</f>
        <v>9210</v>
      </c>
      <c r="BP75" s="17">
        <f t="shared" si="216"/>
        <v>3.1950001837807135E-2</v>
      </c>
      <c r="BQ75" s="17">
        <f t="shared" si="217"/>
        <v>1.0115703962228051E-2</v>
      </c>
      <c r="BR75" s="17">
        <f t="shared" si="218"/>
        <v>0.65962011264399534</v>
      </c>
      <c r="BS75" s="17">
        <f t="shared" si="219"/>
        <v>3.0859120868548854E-3</v>
      </c>
      <c r="BT75" s="17">
        <f t="shared" si="220"/>
        <v>4.3475279114104363E-2</v>
      </c>
      <c r="BU75" s="17">
        <f t="shared" si="220"/>
        <v>0.25175299035501025</v>
      </c>
      <c r="BV75" s="17">
        <v>0</v>
      </c>
      <c r="BW75">
        <f t="shared" si="202"/>
        <v>1</v>
      </c>
    </row>
    <row r="76" spans="2:75" ht="15" x14ac:dyDescent="0.25">
      <c r="B76" s="6" t="s">
        <v>38</v>
      </c>
      <c r="C76" s="7" t="s">
        <v>39</v>
      </c>
      <c r="D76" s="14">
        <v>305</v>
      </c>
      <c r="E76" s="14">
        <v>29830</v>
      </c>
      <c r="F76" s="57">
        <v>501</v>
      </c>
      <c r="G76" s="57">
        <v>994</v>
      </c>
      <c r="H76" s="57">
        <v>169</v>
      </c>
      <c r="I76" s="57">
        <v>1122</v>
      </c>
      <c r="J76" s="14">
        <v>245</v>
      </c>
      <c r="K76" s="56">
        <v>0</v>
      </c>
      <c r="L76" s="56">
        <v>0</v>
      </c>
      <c r="M76" s="16"/>
      <c r="N76" s="16">
        <f t="shared" si="182"/>
        <v>203.22003999999998</v>
      </c>
      <c r="O76" s="16"/>
      <c r="P76" s="57">
        <f t="shared" si="173"/>
        <v>3.1497869999999999</v>
      </c>
      <c r="Q76" s="57">
        <f t="shared" si="174"/>
        <v>5.7900499999999999</v>
      </c>
      <c r="R76" s="57">
        <f t="shared" si="183"/>
        <v>174.07</v>
      </c>
      <c r="S76" s="57">
        <f t="shared" si="184"/>
        <v>4.0549080000000002</v>
      </c>
      <c r="T76" s="14">
        <f t="shared" si="223"/>
        <v>5.3929399999999994</v>
      </c>
      <c r="U76" s="56">
        <v>1</v>
      </c>
      <c r="V76" s="56">
        <v>9</v>
      </c>
      <c r="W76" s="16">
        <f t="shared" si="188"/>
        <v>202.45768500000003</v>
      </c>
      <c r="X76" s="16">
        <f t="shared" si="189"/>
        <v>203.22003999999998</v>
      </c>
      <c r="Y76" s="16">
        <f t="shared" si="190"/>
        <v>-0.76235499999995682</v>
      </c>
      <c r="Z76" s="16"/>
      <c r="AA76">
        <v>332</v>
      </c>
      <c r="AB76" s="66">
        <f>P76+$AN68*P77-$AN75*P76</f>
        <v>3.5485085399999998</v>
      </c>
      <c r="AC76" s="66">
        <f t="shared" ref="AC76" si="224">Q76+$AN68*Q77-$AN75*Q76</f>
        <v>6.2253988499999995</v>
      </c>
      <c r="AD76" s="66">
        <f t="shared" ref="AD76" si="225">R76+$AN68*R77-$AN75*R76</f>
        <v>183.62324999999998</v>
      </c>
      <c r="AE76" s="66">
        <f t="shared" ref="AE76" si="226">S76+$AN68*S77-$AN75*S76</f>
        <v>4.2439599540000001</v>
      </c>
      <c r="AF76" s="66">
        <f t="shared" ref="AF76" si="227">T76+$AN68*T77-$AN75*T76</f>
        <v>7.1391519599999995</v>
      </c>
      <c r="AG76" s="66">
        <f t="shared" ref="AG76" si="228">U76+$AN68*U77-$AN75*U76</f>
        <v>1.0496352</v>
      </c>
      <c r="AH76" s="66">
        <f t="shared" ref="AH76" si="229">V76+$AN68*V77-$AN75*V76</f>
        <v>9.375</v>
      </c>
      <c r="AI76" s="16">
        <f t="shared" si="192"/>
        <v>215.20490450399998</v>
      </c>
      <c r="AJ76" s="16">
        <f t="shared" si="193"/>
        <v>204.78026930399997</v>
      </c>
      <c r="AK76" s="16"/>
      <c r="AL76" s="16"/>
      <c r="AM76" s="64" t="s">
        <v>163</v>
      </c>
      <c r="AN76" s="69">
        <f>MECS_Total_Fuel!AO150</f>
        <v>3.9999999999999994E-2</v>
      </c>
      <c r="AP76" s="2"/>
      <c r="AQ76" s="4">
        <f>MECS_EnergyPrices!E114</f>
        <v>3.1589999999999998</v>
      </c>
      <c r="AR76" s="4">
        <f>MECS_EnergyPrices!E83</f>
        <v>5.7060000000000004</v>
      </c>
      <c r="AS76" s="5">
        <f>MECS_EnergyPrices!E25</f>
        <v>3.3730000000000002</v>
      </c>
      <c r="AT76">
        <f>MECS_EnergyPrices!E54</f>
        <v>8.1920000000000002</v>
      </c>
      <c r="AU76" s="48">
        <f>MECS_EnergyPrices!E143</f>
        <v>1.9930000000000001</v>
      </c>
      <c r="AV76" s="47"/>
      <c r="AW76" s="41"/>
      <c r="AX76" t="str">
        <f t="shared" si="194"/>
        <v>332</v>
      </c>
      <c r="AY76" s="16">
        <f t="shared" si="195"/>
        <v>204.78026930399997</v>
      </c>
      <c r="AZ76">
        <f>MECS_Total_Fuel!S71</f>
        <v>217.28105279356296</v>
      </c>
      <c r="BA76">
        <f t="shared" si="222"/>
        <v>1.0610448630234262</v>
      </c>
      <c r="BD76" s="3">
        <f t="shared" si="214"/>
        <v>217.28105279356296</v>
      </c>
      <c r="BE76" s="3"/>
      <c r="BF76" t="str">
        <f t="shared" si="176"/>
        <v>332</v>
      </c>
      <c r="BG76" s="9" t="str">
        <f t="shared" si="177"/>
        <v>Fabricated Metal Products</v>
      </c>
      <c r="BH76" s="4">
        <f>'[6]Table 7.6'!BG90</f>
        <v>0</v>
      </c>
      <c r="BI76" s="4">
        <f>'[6]Table 7.6'!BH90</f>
        <v>0</v>
      </c>
      <c r="BJ76">
        <f t="shared" si="197"/>
        <v>0</v>
      </c>
      <c r="BK76" s="4">
        <f t="shared" si="198"/>
        <v>215.20490450399998</v>
      </c>
      <c r="BL76" s="14">
        <f t="shared" si="199"/>
        <v>715.08793636540793</v>
      </c>
      <c r="BM76" s="4">
        <f t="shared" si="215"/>
        <v>3.322823603920777</v>
      </c>
      <c r="BN76" s="3">
        <f>'[13]3DNAICS'!AX416</f>
        <v>2362</v>
      </c>
      <c r="BP76" s="17">
        <f t="shared" si="216"/>
        <v>1.7328371293096483E-2</v>
      </c>
      <c r="BQ76" s="17">
        <f t="shared" si="217"/>
        <v>3.0400384134461136E-2</v>
      </c>
      <c r="BR76" s="17">
        <f t="shared" si="218"/>
        <v>0.89668428811082368</v>
      </c>
      <c r="BS76" s="17">
        <f t="shared" si="219"/>
        <v>2.0724457333825289E-2</v>
      </c>
      <c r="BT76" s="17">
        <f t="shared" si="220"/>
        <v>3.4862499127793413E-2</v>
      </c>
      <c r="BU76" s="17">
        <v>0</v>
      </c>
      <c r="BV76" s="17">
        <v>0</v>
      </c>
      <c r="BW76">
        <f t="shared" si="202"/>
        <v>1</v>
      </c>
    </row>
    <row r="77" spans="2:75" ht="15" x14ac:dyDescent="0.25">
      <c r="B77" s="6" t="s">
        <v>40</v>
      </c>
      <c r="C77" s="7" t="s">
        <v>41</v>
      </c>
      <c r="D77" s="14">
        <v>236</v>
      </c>
      <c r="E77" s="14">
        <v>29658</v>
      </c>
      <c r="F77" s="57">
        <v>490</v>
      </c>
      <c r="G77" s="57">
        <v>718</v>
      </c>
      <c r="H77" s="57">
        <v>105</v>
      </c>
      <c r="I77" s="57">
        <v>651</v>
      </c>
      <c r="J77" s="14">
        <v>480</v>
      </c>
      <c r="K77" s="57">
        <v>24</v>
      </c>
      <c r="L77" s="57">
        <v>5</v>
      </c>
      <c r="M77" s="16"/>
      <c r="N77" s="16">
        <f t="shared" si="182"/>
        <v>134.806904</v>
      </c>
      <c r="O77" s="16"/>
      <c r="P77" s="57">
        <f t="shared" si="173"/>
        <v>3.0806299999999998</v>
      </c>
      <c r="Q77" s="57">
        <f t="shared" si="174"/>
        <v>4.1823499999999996</v>
      </c>
      <c r="R77" s="57">
        <f t="shared" si="183"/>
        <v>108.15</v>
      </c>
      <c r="S77" s="57">
        <f t="shared" si="184"/>
        <v>2.3527139999999997</v>
      </c>
      <c r="T77" s="14">
        <f t="shared" si="223"/>
        <v>10.565759999999999</v>
      </c>
      <c r="U77" s="57">
        <f t="shared" si="186"/>
        <v>0.59519999999999995</v>
      </c>
      <c r="V77" s="57">
        <f t="shared" si="221"/>
        <v>5</v>
      </c>
      <c r="W77" s="16">
        <f t="shared" si="188"/>
        <v>133.92665400000001</v>
      </c>
      <c r="X77" s="16">
        <f t="shared" si="189"/>
        <v>134.806904</v>
      </c>
      <c r="Y77" s="16">
        <f t="shared" si="190"/>
        <v>-0.88024999999998954</v>
      </c>
      <c r="Z77" s="16"/>
      <c r="AA77">
        <v>333</v>
      </c>
      <c r="AB77" s="66">
        <f>P77-$AN68*P77-$AN66*P77-$AN67*P77+$AN72*P78</f>
        <v>3.2823421079999999</v>
      </c>
      <c r="AC77" s="66">
        <f t="shared" ref="AC77" si="230">Q77-$AN68*Q77-$AN66*Q77-$AN67*Q77+$AN72*Q78</f>
        <v>3.3336566999999997</v>
      </c>
      <c r="AD77" s="66">
        <f t="shared" ref="AD77" si="231">R77-$AN68*R77-$AN66*R77-$AN67*R77+$AN72*R78</f>
        <v>86.169799999999995</v>
      </c>
      <c r="AE77" s="66">
        <f t="shared" ref="AE77" si="232">S77-$AN68*S77-$AN66*S77-$AN67*S77+$AN72*S78</f>
        <v>1.6986595079999998</v>
      </c>
      <c r="AF77" s="66">
        <f t="shared" ref="AF77" si="233">T77-$AN68*T77-$AN66*T77-$AN67*T77+$AN72*T78</f>
        <v>14.850478719999998</v>
      </c>
      <c r="AG77" s="66">
        <f t="shared" ref="AG77" si="234">U77-$AN68*U77-$AN66*U77-$AN67*U77+$AN72*U78</f>
        <v>0.42973439999999996</v>
      </c>
      <c r="AH77" s="66">
        <f t="shared" ref="AH77" si="235">V77-$AN68*V77-$AN66*V77-$AN67*V77+$AN72*V78</f>
        <v>3.9239999999999999</v>
      </c>
      <c r="AI77" s="16">
        <f t="shared" si="192"/>
        <v>113.68867143600001</v>
      </c>
      <c r="AJ77" s="16">
        <f t="shared" si="193"/>
        <v>109.334937036</v>
      </c>
      <c r="AK77" s="16"/>
      <c r="AL77" s="16"/>
      <c r="AM77" s="64" t="s">
        <v>164</v>
      </c>
      <c r="AN77" s="68">
        <f>MECS_Total_Fuel!AO151</f>
        <v>0.29500000000000004</v>
      </c>
      <c r="AP77" s="2"/>
      <c r="AQ77" s="4">
        <f>MECS_EnergyPrices!E115</f>
        <v>3.0790000000000002</v>
      </c>
      <c r="AR77" s="4">
        <f>MECS_EnergyPrices!E84</f>
        <v>5.7990000000000004</v>
      </c>
      <c r="AS77" s="5">
        <f>MECS_EnergyPrices!E26</f>
        <v>3.45</v>
      </c>
      <c r="AT77">
        <f>MECS_EnergyPrices!E55</f>
        <v>7.7130000000000001</v>
      </c>
      <c r="AU77" s="48">
        <f>MECS_EnergyPrices!E144</f>
        <v>1.544</v>
      </c>
      <c r="AV77" s="47"/>
      <c r="AW77" s="41"/>
      <c r="AX77" t="str">
        <f t="shared" si="194"/>
        <v>333</v>
      </c>
      <c r="AY77" s="16">
        <f t="shared" si="195"/>
        <v>109.334937036</v>
      </c>
      <c r="AZ77">
        <f>MECS_Total_Fuel!S72</f>
        <v>113.47965946591772</v>
      </c>
      <c r="BA77">
        <f t="shared" si="222"/>
        <v>1.037908490572899</v>
      </c>
      <c r="BD77" s="3">
        <f t="shared" si="214"/>
        <v>113.47965946591772</v>
      </c>
      <c r="BE77" s="3"/>
      <c r="BF77" t="str">
        <f t="shared" si="176"/>
        <v>333</v>
      </c>
      <c r="BG77" s="9" t="str">
        <f t="shared" si="177"/>
        <v>Machinery</v>
      </c>
      <c r="BH77" s="4">
        <f>'[6]Table 7.6'!BG91</f>
        <v>0</v>
      </c>
      <c r="BI77" s="4">
        <f>'[6]Table 7.6'!BH91</f>
        <v>0</v>
      </c>
      <c r="BJ77">
        <f t="shared" si="197"/>
        <v>0</v>
      </c>
      <c r="BK77" s="4">
        <f t="shared" si="198"/>
        <v>113.68867143600001</v>
      </c>
      <c r="BL77" s="14">
        <f t="shared" si="199"/>
        <v>362.75491648271606</v>
      </c>
      <c r="BM77" s="4">
        <f t="shared" si="215"/>
        <v>3.1907745239764331</v>
      </c>
      <c r="BN77" s="3">
        <f>'[13]3DNAICS'!AX417</f>
        <v>1157</v>
      </c>
      <c r="BP77" s="17">
        <f t="shared" si="216"/>
        <v>3.002098137139133E-2</v>
      </c>
      <c r="BQ77" s="17">
        <f t="shared" si="217"/>
        <v>3.0490315267683817E-2</v>
      </c>
      <c r="BR77" s="17">
        <f t="shared" si="218"/>
        <v>0.78812685437983498</v>
      </c>
      <c r="BS77" s="17">
        <f t="shared" si="219"/>
        <v>1.5536292003723322E-2</v>
      </c>
      <c r="BT77" s="17">
        <f t="shared" si="220"/>
        <v>0.13582555697736651</v>
      </c>
      <c r="BU77" s="17">
        <v>0</v>
      </c>
      <c r="BV77" s="17">
        <v>0</v>
      </c>
      <c r="BW77">
        <f t="shared" si="202"/>
        <v>1</v>
      </c>
    </row>
    <row r="78" spans="2:75" ht="15" x14ac:dyDescent="0.25">
      <c r="B78" s="6" t="s">
        <v>42</v>
      </c>
      <c r="C78" s="7" t="s">
        <v>139</v>
      </c>
      <c r="D78" s="14">
        <v>97</v>
      </c>
      <c r="E78" s="14">
        <v>12349</v>
      </c>
      <c r="F78" s="57">
        <v>536</v>
      </c>
      <c r="G78" s="56">
        <v>0</v>
      </c>
      <c r="H78" s="57">
        <v>25</v>
      </c>
      <c r="I78" s="56">
        <v>0</v>
      </c>
      <c r="J78" s="56">
        <v>0</v>
      </c>
      <c r="K78" s="57">
        <v>0</v>
      </c>
      <c r="L78" s="56">
        <v>1</v>
      </c>
      <c r="M78" s="16"/>
      <c r="N78" s="16">
        <f t="shared" si="182"/>
        <v>54.865212</v>
      </c>
      <c r="O78" s="16"/>
      <c r="P78" s="57">
        <f t="shared" si="173"/>
        <v>3.3698319999999997</v>
      </c>
      <c r="Q78" s="56">
        <v>1</v>
      </c>
      <c r="R78" s="57">
        <f t="shared" si="183"/>
        <v>25.75</v>
      </c>
      <c r="S78" s="56">
        <f t="shared" si="184"/>
        <v>0</v>
      </c>
      <c r="T78" s="56">
        <v>23</v>
      </c>
      <c r="U78" s="57">
        <f t="shared" si="186"/>
        <v>0</v>
      </c>
      <c r="V78" s="56">
        <f t="shared" si="221"/>
        <v>1</v>
      </c>
      <c r="W78" s="16">
        <f t="shared" si="188"/>
        <v>54.119832000000002</v>
      </c>
      <c r="X78" s="16">
        <f t="shared" si="189"/>
        <v>54.865212</v>
      </c>
      <c r="Y78" s="16">
        <f t="shared" si="190"/>
        <v>-0.74537999999999727</v>
      </c>
      <c r="Z78" s="16"/>
      <c r="AA78">
        <v>334</v>
      </c>
      <c r="AB78" s="66">
        <f>$AN66*P77+$AN79*P78+$AN77*P79</f>
        <v>2.4968317539999996</v>
      </c>
      <c r="AC78" s="66">
        <f t="shared" ref="AC78" si="236">$AN66*Q77+$AN79*Q78+$AN77*Q79</f>
        <v>1.30523795</v>
      </c>
      <c r="AD78" s="66">
        <f t="shared" ref="AD78" si="237">$AN66*R77+$AN79*R78+$AN77*R79</f>
        <v>38.321150000000003</v>
      </c>
      <c r="AE78" s="66">
        <f t="shared" ref="AE78" si="238">$AN66*S77+$AN79*S78+$AN77*S79</f>
        <v>0.55629217800000008</v>
      </c>
      <c r="AF78" s="66">
        <f t="shared" ref="AF78" si="239">$AN66*T77+$AN79*T78+$AN77*T79</f>
        <v>8.6982483199999994</v>
      </c>
      <c r="AG78" s="66">
        <f t="shared" ref="AG78" si="240">$AN66*U77+$AN79*U78+$AN77*U79</f>
        <v>4.8558399999999995E-2</v>
      </c>
      <c r="AH78" s="66">
        <f t="shared" ref="AH78" si="241">$AN66*V77+$AN79*V78+$AN77*V79</f>
        <v>2.7020000000000004</v>
      </c>
      <c r="AI78" s="16">
        <f t="shared" si="192"/>
        <v>54.128318601999993</v>
      </c>
      <c r="AJ78" s="16">
        <f t="shared" si="193"/>
        <v>51.377760201999997</v>
      </c>
      <c r="AK78" s="16"/>
      <c r="AL78" s="16"/>
      <c r="AM78" s="64" t="s">
        <v>165</v>
      </c>
      <c r="AN78" s="68">
        <f>MECS_Total_Fuel!AO152</f>
        <v>0</v>
      </c>
      <c r="AP78" s="2"/>
      <c r="AQ78" s="4">
        <f>MECS_EnergyPrices!E116</f>
        <v>3.3769999999999998</v>
      </c>
      <c r="AR78" s="4">
        <f>MECS_EnergyPrices!E85</f>
        <v>5.1280000000000001</v>
      </c>
      <c r="AS78" s="5">
        <f>MECS_EnergyPrices!E27</f>
        <v>3.3838999999999997</v>
      </c>
      <c r="AT78">
        <f>MECS_EnergyPrices!E56</f>
        <v>7.6521999999999997</v>
      </c>
      <c r="AU78" s="48">
        <f>MECS_EnergyPrices!E145</f>
        <v>2</v>
      </c>
      <c r="AV78" s="47"/>
      <c r="AW78" s="41"/>
      <c r="AX78" t="str">
        <f t="shared" si="194"/>
        <v>334</v>
      </c>
      <c r="AY78" s="16">
        <f t="shared" si="195"/>
        <v>51.377760201999997</v>
      </c>
      <c r="AZ78">
        <f>MECS_Total_Fuel!S73</f>
        <v>56.220714404637988</v>
      </c>
      <c r="BA78">
        <f t="shared" si="222"/>
        <v>1.0942616841138486</v>
      </c>
      <c r="BD78" s="3">
        <f t="shared" si="214"/>
        <v>56.220714404637981</v>
      </c>
      <c r="BE78" s="3"/>
      <c r="BF78" t="str">
        <f t="shared" si="176"/>
        <v>334</v>
      </c>
      <c r="BG78" s="9" t="str">
        <f t="shared" si="177"/>
        <v>Computer and Electronic Products/Instruments</v>
      </c>
      <c r="BH78" s="4">
        <f>'[6]Table 7.6'!BG92</f>
        <v>0</v>
      </c>
      <c r="BI78" s="4">
        <f>'[6]Table 7.6'!BH92</f>
        <v>0</v>
      </c>
      <c r="BJ78">
        <f t="shared" si="197"/>
        <v>0</v>
      </c>
      <c r="BK78" s="4">
        <f t="shared" si="198"/>
        <v>54.128318601999993</v>
      </c>
      <c r="BL78" s="14">
        <f t="shared" si="199"/>
        <v>166.45335617034959</v>
      </c>
      <c r="BM78" s="4">
        <f t="shared" si="215"/>
        <v>3.0751621419143675</v>
      </c>
      <c r="BN78" s="3">
        <f>'[13]3DNAICS'!AX418</f>
        <v>450</v>
      </c>
      <c r="BP78" s="17">
        <f t="shared" si="216"/>
        <v>4.8597520487138807E-2</v>
      </c>
      <c r="BQ78" s="17">
        <f t="shared" si="217"/>
        <v>2.5404726575628155E-2</v>
      </c>
      <c r="BR78" s="17">
        <f t="shared" si="218"/>
        <v>0.74587038923717552</v>
      </c>
      <c r="BS78" s="17">
        <f t="shared" si="219"/>
        <v>1.082748986746108E-2</v>
      </c>
      <c r="BT78" s="17">
        <f t="shared" si="220"/>
        <v>0.16929987383259654</v>
      </c>
      <c r="BU78" s="17">
        <v>0</v>
      </c>
      <c r="BV78" s="17">
        <v>0</v>
      </c>
      <c r="BW78">
        <f t="shared" si="202"/>
        <v>1</v>
      </c>
    </row>
    <row r="79" spans="2:75" ht="15" x14ac:dyDescent="0.25">
      <c r="B79" s="6" t="s">
        <v>44</v>
      </c>
      <c r="C79" s="7" t="s">
        <v>45</v>
      </c>
      <c r="D79" s="14">
        <v>196</v>
      </c>
      <c r="E79" s="14">
        <v>30046</v>
      </c>
      <c r="F79" s="57">
        <v>612</v>
      </c>
      <c r="G79" s="57">
        <v>416</v>
      </c>
      <c r="H79" s="57">
        <v>76</v>
      </c>
      <c r="I79" s="57">
        <v>396</v>
      </c>
      <c r="J79" s="56">
        <v>0</v>
      </c>
      <c r="K79" s="57">
        <v>2</v>
      </c>
      <c r="L79" s="56">
        <v>0</v>
      </c>
      <c r="M79" s="16"/>
      <c r="N79" s="16">
        <f t="shared" si="182"/>
        <v>93.483047999999997</v>
      </c>
      <c r="O79" s="16"/>
      <c r="P79" s="57">
        <f t="shared" si="173"/>
        <v>3.8476439999999998</v>
      </c>
      <c r="Q79" s="57">
        <f t="shared" si="174"/>
        <v>2.4232</v>
      </c>
      <c r="R79" s="57">
        <f t="shared" si="183"/>
        <v>78.28</v>
      </c>
      <c r="S79" s="57">
        <f t="shared" si="184"/>
        <v>1.431144</v>
      </c>
      <c r="T79" s="56">
        <f t="shared" si="223"/>
        <v>0</v>
      </c>
      <c r="U79" s="57">
        <f t="shared" si="186"/>
        <v>4.9599999999999998E-2</v>
      </c>
      <c r="V79" s="56">
        <v>7</v>
      </c>
      <c r="W79" s="16">
        <f t="shared" si="188"/>
        <v>93.031587999999999</v>
      </c>
      <c r="X79" s="16">
        <f t="shared" si="189"/>
        <v>93.483047999999997</v>
      </c>
      <c r="Y79" s="16">
        <f t="shared" si="190"/>
        <v>-0.45145999999999731</v>
      </c>
      <c r="Z79" s="16"/>
      <c r="AA79">
        <v>335</v>
      </c>
      <c r="AB79" s="66">
        <f>(1-$AN76-$AN77)*P79</f>
        <v>2.5586832599999996</v>
      </c>
      <c r="AC79" s="66">
        <f t="shared" ref="AC79" si="242">(1-$AN76-$AN77)*Q79</f>
        <v>1.6114279999999999</v>
      </c>
      <c r="AD79" s="66">
        <f t="shared" ref="AD79" si="243">(1-$AN76-$AN77)*R79</f>
        <v>52.056199999999997</v>
      </c>
      <c r="AE79" s="66">
        <f t="shared" ref="AE79" si="244">(1-$AN76-$AN77)*S79</f>
        <v>0.95171075999999988</v>
      </c>
      <c r="AF79" s="66">
        <f t="shared" ref="AF79" si="245">(1-$AN76-$AN77)*T79</f>
        <v>0</v>
      </c>
      <c r="AG79" s="66">
        <f t="shared" ref="AG79" si="246">(1-$AN76-$AN77)*U79</f>
        <v>3.2983999999999992E-2</v>
      </c>
      <c r="AH79" s="66">
        <f t="shared" ref="AH79" si="247">(1-$AN76-$AN77)*V79</f>
        <v>4.6549999999999994</v>
      </c>
      <c r="AI79" s="16">
        <f t="shared" si="192"/>
        <v>61.866006019999993</v>
      </c>
      <c r="AJ79" s="16">
        <f t="shared" si="193"/>
        <v>57.178022019999993</v>
      </c>
      <c r="AK79" s="16"/>
      <c r="AL79" s="16"/>
      <c r="AM79" s="64" t="s">
        <v>166</v>
      </c>
      <c r="AN79" s="68">
        <f>MECS_Total_Fuel!AO153</f>
        <v>0.35199999999999998</v>
      </c>
      <c r="AP79" s="2"/>
      <c r="AQ79" s="4">
        <f>MECS_EnergyPrices!E117</f>
        <v>3.47</v>
      </c>
      <c r="AR79" s="4">
        <f>MECS_EnergyPrices!E86</f>
        <v>5.2450000000000001</v>
      </c>
      <c r="AS79" s="5">
        <f>MECS_EnergyPrices!E28</f>
        <v>3.32</v>
      </c>
      <c r="AT79">
        <f>MECS_EnergyPrices!E57</f>
        <v>7.2789999999999999</v>
      </c>
      <c r="AU79" s="48">
        <f>MECS_EnergyPrices!E146</f>
        <v>2</v>
      </c>
      <c r="AV79" s="47"/>
      <c r="AW79" s="41"/>
      <c r="AX79" t="str">
        <f t="shared" si="194"/>
        <v>335</v>
      </c>
      <c r="AY79" s="16">
        <f t="shared" si="195"/>
        <v>57.178022019999993</v>
      </c>
      <c r="AZ79">
        <f>MECS_Total_Fuel!S74</f>
        <v>55.611292613491038</v>
      </c>
      <c r="BA79">
        <f t="shared" si="222"/>
        <v>0.97259909750006857</v>
      </c>
      <c r="BD79" s="3">
        <f t="shared" si="214"/>
        <v>55.611292613491038</v>
      </c>
      <c r="BE79" s="3"/>
      <c r="BF79" t="str">
        <f t="shared" si="176"/>
        <v>335</v>
      </c>
      <c r="BG79" s="9" t="str">
        <f t="shared" si="177"/>
        <v>Electrical Equip., Appliances, and Components</v>
      </c>
      <c r="BH79" s="4">
        <f>'[6]Table 7.6'!BG93</f>
        <v>0</v>
      </c>
      <c r="BI79" s="4">
        <f>'[6]Table 7.6'!BH93</f>
        <v>0</v>
      </c>
      <c r="BJ79">
        <f t="shared" si="197"/>
        <v>0</v>
      </c>
      <c r="BK79" s="4">
        <f t="shared" si="198"/>
        <v>61.866006019999993</v>
      </c>
      <c r="BL79" s="14">
        <f t="shared" si="199"/>
        <v>197.08465739423997</v>
      </c>
      <c r="BM79" s="4">
        <f t="shared" si="215"/>
        <v>3.1856696443362869</v>
      </c>
      <c r="BN79" s="3">
        <f>'[13]3DNAICS'!AX419</f>
        <v>517</v>
      </c>
      <c r="BP79" s="17">
        <f t="shared" si="216"/>
        <v>4.4749418913179816E-2</v>
      </c>
      <c r="BQ79" s="17">
        <f t="shared" si="217"/>
        <v>2.8182646812027656E-2</v>
      </c>
      <c r="BR79" s="17">
        <f t="shared" si="218"/>
        <v>0.9104232388764959</v>
      </c>
      <c r="BS79" s="17">
        <f t="shared" si="219"/>
        <v>1.6644695398296674E-2</v>
      </c>
      <c r="BT79" s="17">
        <f t="shared" si="220"/>
        <v>0</v>
      </c>
      <c r="BU79" s="17">
        <v>0</v>
      </c>
      <c r="BV79" s="17">
        <v>0</v>
      </c>
      <c r="BW79">
        <f t="shared" si="202"/>
        <v>1</v>
      </c>
    </row>
    <row r="80" spans="2:75" ht="15" x14ac:dyDescent="0.25">
      <c r="B80" s="6" t="s">
        <v>46</v>
      </c>
      <c r="C80" s="7" t="s">
        <v>47</v>
      </c>
      <c r="D80" s="14">
        <v>318</v>
      </c>
      <c r="E80" s="14">
        <v>35401</v>
      </c>
      <c r="F80" s="57">
        <v>1865</v>
      </c>
      <c r="G80" s="57">
        <v>1214</v>
      </c>
      <c r="H80" s="57">
        <v>127</v>
      </c>
      <c r="I80" s="57">
        <v>526</v>
      </c>
      <c r="J80" s="14">
        <v>1464</v>
      </c>
      <c r="K80" s="57">
        <v>40</v>
      </c>
      <c r="L80" s="57">
        <v>12</v>
      </c>
      <c r="M80" s="16"/>
      <c r="N80" s="16">
        <f t="shared" si="182"/>
        <v>197.21178800000001</v>
      </c>
      <c r="O80" s="16"/>
      <c r="P80" s="57">
        <f t="shared" ref="P80:P83" si="248">F80*P$2*0.000001</f>
        <v>11.725254999999999</v>
      </c>
      <c r="Q80" s="57">
        <f t="shared" si="174"/>
        <v>7.0715499999999993</v>
      </c>
      <c r="R80" s="57">
        <f t="shared" si="183"/>
        <v>130.81</v>
      </c>
      <c r="S80" s="57">
        <f t="shared" si="184"/>
        <v>1.9009639999999999</v>
      </c>
      <c r="T80" s="14">
        <f t="shared" ref="T80:T83" si="249">J80*T$2*0.000001</f>
        <v>32.225567999999996</v>
      </c>
      <c r="U80" s="57">
        <f t="shared" si="186"/>
        <v>0.99199999999999999</v>
      </c>
      <c r="V80" s="57">
        <f t="shared" si="221"/>
        <v>12</v>
      </c>
      <c r="W80" s="16">
        <f t="shared" si="188"/>
        <v>196.725337</v>
      </c>
      <c r="X80" s="16">
        <f t="shared" si="189"/>
        <v>197.21178800000001</v>
      </c>
      <c r="Y80" s="16">
        <f t="shared" si="190"/>
        <v>-0.48645100000001662</v>
      </c>
      <c r="Z80" s="16"/>
      <c r="AA80">
        <v>336</v>
      </c>
      <c r="AB80" s="66">
        <f>P80+$AN75*P76+$AN67*P77+$AN76*P79</f>
        <v>12.16125845</v>
      </c>
      <c r="AC80" s="66">
        <f t="shared" ref="AC80" si="250">Q80+$AN75*Q76+$AN67*Q77+$AN76*Q79</f>
        <v>7.6574284999999991</v>
      </c>
      <c r="AD80" s="66">
        <f t="shared" ref="AD80" si="251">R80+$AN75*R76+$AN67*R77+$AN76*R79</f>
        <v>148.28910000000002</v>
      </c>
      <c r="AE80" s="66">
        <f t="shared" ref="AE80" si="252">S80+$AN75*S76+$AN67*S77+$AN76*S79</f>
        <v>2.2891075999999995</v>
      </c>
      <c r="AF80" s="66">
        <f t="shared" ref="AF80" si="253">T80+$AN75*T76+$AN67*T77+$AN76*T79</f>
        <v>32.814388999999998</v>
      </c>
      <c r="AG80" s="66">
        <f t="shared" ref="AG80" si="254">U80+$AN75*U76+$AN67*U77+$AN76*U79</f>
        <v>1.075888</v>
      </c>
      <c r="AH80" s="66">
        <f t="shared" ref="AH80" si="255">V80+$AN75*V76+$AN67*V77+$AN76*V79</f>
        <v>13.01</v>
      </c>
      <c r="AI80" s="16">
        <f t="shared" si="192"/>
        <v>217.29717155</v>
      </c>
      <c r="AJ80" s="16">
        <f t="shared" si="193"/>
        <v>203.21128355000002</v>
      </c>
      <c r="AK80" s="16"/>
      <c r="AL80" s="16"/>
      <c r="AM80" s="16"/>
      <c r="AN80" s="16"/>
      <c r="AP80" s="2"/>
      <c r="AQ80" s="4">
        <f>MECS_EnergyPrices!E118</f>
        <v>3.0350000000000001</v>
      </c>
      <c r="AR80" s="4">
        <f>MECS_EnergyPrices!E87</f>
        <v>5.3780000000000001</v>
      </c>
      <c r="AS80" s="5">
        <f>MECS_EnergyPrices!E29</f>
        <v>3.0950000000000002</v>
      </c>
      <c r="AT80">
        <f>MECS_EnergyPrices!E58</f>
        <v>7.1109999999999998</v>
      </c>
      <c r="AU80" s="48">
        <f>MECS_EnergyPrices!E147</f>
        <v>2.06</v>
      </c>
      <c r="AV80" s="47"/>
      <c r="AW80" s="41"/>
      <c r="AX80" t="str">
        <f t="shared" si="194"/>
        <v>336</v>
      </c>
      <c r="AY80" s="16">
        <f t="shared" si="195"/>
        <v>203.21128355000002</v>
      </c>
      <c r="AZ80">
        <f>MECS_Total_Fuel!S75</f>
        <v>244.13057132985355</v>
      </c>
      <c r="BA80">
        <f t="shared" si="222"/>
        <v>1.2013632661780091</v>
      </c>
      <c r="BD80" s="3">
        <f t="shared" si="214"/>
        <v>244.13057132985355</v>
      </c>
      <c r="BE80" s="3"/>
      <c r="BF80" t="str">
        <f t="shared" si="176"/>
        <v>336</v>
      </c>
      <c r="BG80" s="9" t="str">
        <f t="shared" si="177"/>
        <v>Transportation Equipment</v>
      </c>
      <c r="BH80" s="4">
        <f>'[6]Table 7.6'!BG94</f>
        <v>0</v>
      </c>
      <c r="BI80" s="4">
        <f>'[6]Table 7.6'!BH94</f>
        <v>0</v>
      </c>
      <c r="BJ80">
        <f t="shared" si="197"/>
        <v>0</v>
      </c>
      <c r="BK80" s="4">
        <f t="shared" si="198"/>
        <v>217.29717155</v>
      </c>
      <c r="BL80" s="14">
        <f t="shared" si="199"/>
        <v>620.92131985235005</v>
      </c>
      <c r="BM80" s="4">
        <f t="shared" si="215"/>
        <v>2.8574753892251024</v>
      </c>
      <c r="BN80" s="3">
        <f>'[13]3DNAICS'!AX420</f>
        <v>2040</v>
      </c>
      <c r="BP80" s="17">
        <f t="shared" si="216"/>
        <v>5.9845389672998787E-2</v>
      </c>
      <c r="BQ80" s="17">
        <f t="shared" si="217"/>
        <v>3.7682102913915667E-2</v>
      </c>
      <c r="BR80" s="17">
        <f t="shared" si="218"/>
        <v>0.72972867160456456</v>
      </c>
      <c r="BS80" s="17">
        <f t="shared" si="219"/>
        <v>1.1264667788178041E-2</v>
      </c>
      <c r="BT80" s="17">
        <f t="shared" si="220"/>
        <v>0.1614791680203429</v>
      </c>
      <c r="BU80" s="17">
        <v>0</v>
      </c>
      <c r="BV80" s="17">
        <v>0</v>
      </c>
      <c r="BW80">
        <f t="shared" si="202"/>
        <v>1</v>
      </c>
    </row>
    <row r="81" spans="2:75" ht="15" x14ac:dyDescent="0.25">
      <c r="B81" s="6" t="s">
        <v>48</v>
      </c>
      <c r="C81" s="7" t="s">
        <v>49</v>
      </c>
      <c r="D81" s="14">
        <v>46</v>
      </c>
      <c r="E81" s="14">
        <v>4916</v>
      </c>
      <c r="F81" s="57">
        <v>184</v>
      </c>
      <c r="G81" s="57">
        <v>163</v>
      </c>
      <c r="H81" s="57">
        <v>18</v>
      </c>
      <c r="I81" s="57">
        <v>255</v>
      </c>
      <c r="J81" s="14">
        <v>157</v>
      </c>
      <c r="K81" s="57">
        <v>0</v>
      </c>
      <c r="L81" s="57">
        <v>4</v>
      </c>
      <c r="M81" s="16"/>
      <c r="N81" s="16">
        <f t="shared" si="182"/>
        <v>29.226607999999999</v>
      </c>
      <c r="O81" s="16"/>
      <c r="P81" s="57">
        <f t="shared" si="248"/>
        <v>1.1568080000000001</v>
      </c>
      <c r="Q81" s="57">
        <f t="shared" ref="Q81:Q83" si="256">G81*Q$2*0.000001</f>
        <v>0.94947499999999996</v>
      </c>
      <c r="R81" s="57">
        <f t="shared" si="183"/>
        <v>18.54</v>
      </c>
      <c r="S81" s="57">
        <f t="shared" si="184"/>
        <v>0.92157</v>
      </c>
      <c r="T81" s="14">
        <f t="shared" si="249"/>
        <v>3.4558839999999997</v>
      </c>
      <c r="U81" s="57">
        <f t="shared" si="186"/>
        <v>0</v>
      </c>
      <c r="V81" s="57">
        <f t="shared" si="221"/>
        <v>4</v>
      </c>
      <c r="W81" s="16">
        <f t="shared" si="188"/>
        <v>29.023737000000001</v>
      </c>
      <c r="X81" s="16">
        <f t="shared" si="189"/>
        <v>29.226607999999999</v>
      </c>
      <c r="Y81" s="16">
        <f t="shared" si="190"/>
        <v>-0.20287099999999825</v>
      </c>
      <c r="Z81" s="16"/>
      <c r="AA81">
        <v>337</v>
      </c>
      <c r="AB81" s="66">
        <f>P81</f>
        <v>1.1568080000000001</v>
      </c>
      <c r="AC81" s="66">
        <f t="shared" ref="AC81" si="257">Q81</f>
        <v>0.94947499999999996</v>
      </c>
      <c r="AD81" s="66">
        <f t="shared" ref="AD81" si="258">R81</f>
        <v>18.54</v>
      </c>
      <c r="AE81" s="66">
        <f t="shared" ref="AE81" si="259">S81</f>
        <v>0.92157</v>
      </c>
      <c r="AF81" s="66">
        <f t="shared" ref="AF81" si="260">T81</f>
        <v>3.4558839999999997</v>
      </c>
      <c r="AG81" s="66">
        <f t="shared" ref="AG81" si="261">U81</f>
        <v>0</v>
      </c>
      <c r="AH81" s="66">
        <f t="shared" ref="AH81" si="262">V81</f>
        <v>4</v>
      </c>
      <c r="AI81" s="16">
        <f t="shared" si="192"/>
        <v>29.023737000000001</v>
      </c>
      <c r="AJ81" s="16">
        <f t="shared" si="193"/>
        <v>25.023737000000001</v>
      </c>
      <c r="AK81" s="16"/>
      <c r="AL81" s="16"/>
      <c r="AM81" s="16"/>
      <c r="AN81" s="16"/>
      <c r="AP81" s="2"/>
      <c r="AQ81" s="4">
        <f>MECS_EnergyPrices!E119</f>
        <v>3.3119999999999998</v>
      </c>
      <c r="AR81" s="4">
        <f>MECS_EnergyPrices!E88</f>
        <v>5.8209999999999997</v>
      </c>
      <c r="AS81" s="5">
        <f>MECS_EnergyPrices!E30</f>
        <v>3.6509999999999998</v>
      </c>
      <c r="AT81">
        <f>MECS_EnergyPrices!E59</f>
        <v>8.548</v>
      </c>
      <c r="AU81" s="48">
        <f>MECS_EnergyPrices!E148</f>
        <v>1.9830000000000001</v>
      </c>
      <c r="AV81" s="47"/>
      <c r="AW81" s="41"/>
      <c r="AX81" t="str">
        <f t="shared" si="194"/>
        <v>337</v>
      </c>
      <c r="AY81" s="16">
        <f t="shared" si="195"/>
        <v>25.023737000000001</v>
      </c>
      <c r="AZ81">
        <f>MECS_Total_Fuel!S76</f>
        <v>55.8843501953478</v>
      </c>
      <c r="BA81">
        <f t="shared" si="222"/>
        <v>2.2332535782064764</v>
      </c>
      <c r="BD81" s="3">
        <f t="shared" si="214"/>
        <v>55.8843501953478</v>
      </c>
      <c r="BE81" s="3"/>
      <c r="BF81" t="str">
        <f t="shared" si="176"/>
        <v>337</v>
      </c>
      <c r="BG81" s="9" t="str">
        <f t="shared" si="177"/>
        <v>Furniture and Related Products</v>
      </c>
      <c r="BH81" s="4">
        <f>'[6]Table 7.6'!BG95</f>
        <v>0</v>
      </c>
      <c r="BI81" s="4">
        <f>'[6]Table 7.6'!BH95</f>
        <v>0</v>
      </c>
      <c r="BJ81">
        <f t="shared" si="197"/>
        <v>0</v>
      </c>
      <c r="BK81" s="4">
        <f t="shared" si="198"/>
        <v>29.023737000000001</v>
      </c>
      <c r="BL81" s="14">
        <f t="shared" si="199"/>
        <v>91.778380403</v>
      </c>
      <c r="BM81" s="4">
        <f t="shared" si="215"/>
        <v>3.1621834363714085</v>
      </c>
      <c r="BN81" s="3">
        <f>'[13]3DNAICS'!AX421</f>
        <v>223</v>
      </c>
      <c r="BP81" s="17">
        <f t="shared" si="216"/>
        <v>4.6228427033100615E-2</v>
      </c>
      <c r="BQ81" s="17">
        <f t="shared" si="217"/>
        <v>3.7942973905136547E-2</v>
      </c>
      <c r="BR81" s="17">
        <f t="shared" si="218"/>
        <v>0.74089653355931606</v>
      </c>
      <c r="BS81" s="17">
        <f t="shared" si="219"/>
        <v>3.6827832709399079E-2</v>
      </c>
      <c r="BT81" s="17">
        <f t="shared" si="220"/>
        <v>0.13810423279304765</v>
      </c>
      <c r="BU81" s="17">
        <v>0</v>
      </c>
      <c r="BV81" s="17">
        <v>0</v>
      </c>
      <c r="BW81">
        <f t="shared" si="202"/>
        <v>0.99999999999999989</v>
      </c>
    </row>
    <row r="82" spans="2:75" ht="15" x14ac:dyDescent="0.25">
      <c r="B82" s="6" t="s">
        <v>50</v>
      </c>
      <c r="C82" s="7" t="s">
        <v>51</v>
      </c>
      <c r="D82" s="14">
        <v>31</v>
      </c>
      <c r="E82" s="14">
        <v>3661</v>
      </c>
      <c r="F82" s="57">
        <v>115</v>
      </c>
      <c r="G82" s="56">
        <v>0</v>
      </c>
      <c r="H82" s="57">
        <v>14</v>
      </c>
      <c r="I82" s="56">
        <v>0</v>
      </c>
      <c r="J82" s="14">
        <v>32</v>
      </c>
      <c r="K82" s="14">
        <v>0</v>
      </c>
      <c r="L82" s="56">
        <v>0</v>
      </c>
      <c r="M82" s="16"/>
      <c r="N82" s="16">
        <f t="shared" si="182"/>
        <v>18.508668</v>
      </c>
      <c r="O82" s="16"/>
      <c r="P82" s="57">
        <f t="shared" si="248"/>
        <v>0.72300500000000001</v>
      </c>
      <c r="Q82" s="56">
        <v>1</v>
      </c>
      <c r="R82" s="57">
        <f t="shared" si="183"/>
        <v>14.42</v>
      </c>
      <c r="S82" s="56">
        <v>1</v>
      </c>
      <c r="T82" s="14">
        <f t="shared" si="249"/>
        <v>0.70438400000000001</v>
      </c>
      <c r="U82" s="14">
        <f t="shared" ref="U82:U83" si="263">K82*U$2*0.000001</f>
        <v>0</v>
      </c>
      <c r="V82" s="56">
        <v>1</v>
      </c>
      <c r="W82" s="16">
        <f t="shared" si="188"/>
        <v>18.847389</v>
      </c>
      <c r="X82" s="16">
        <f t="shared" si="189"/>
        <v>18.508668</v>
      </c>
      <c r="Y82" s="16">
        <f t="shared" si="190"/>
        <v>0.33872099999999961</v>
      </c>
      <c r="Z82" s="16"/>
      <c r="AA82">
        <v>339</v>
      </c>
      <c r="AB82" s="66">
        <f>P82+$AN73*P78</f>
        <v>1.8485288879999997</v>
      </c>
      <c r="AC82" s="66">
        <f t="shared" ref="AC82" si="264">Q82+$AN73*Q78</f>
        <v>1.3340000000000001</v>
      </c>
      <c r="AD82" s="66">
        <f t="shared" ref="AD82" si="265">R82+$AN73*R78</f>
        <v>23.020499999999998</v>
      </c>
      <c r="AE82" s="66">
        <f t="shared" ref="AE82" si="266">S82+$AN73*S78</f>
        <v>1</v>
      </c>
      <c r="AF82" s="66">
        <f t="shared" ref="AF82" si="267">T82+$AN73*T78</f>
        <v>8.3863839999999996</v>
      </c>
      <c r="AG82" s="66">
        <f t="shared" ref="AG82" si="268">U82+$AN73*U78</f>
        <v>0</v>
      </c>
      <c r="AH82" s="66">
        <f t="shared" ref="AH82" si="269">V82+$AN73*V78</f>
        <v>1.3340000000000001</v>
      </c>
      <c r="AI82" s="16">
        <f t="shared" si="192"/>
        <v>36.923412888000001</v>
      </c>
      <c r="AJ82" s="16">
        <f t="shared" si="193"/>
        <v>35.589412887999998</v>
      </c>
      <c r="AK82" s="16"/>
      <c r="AL82" s="16"/>
      <c r="AM82" s="16"/>
      <c r="AN82" s="16"/>
      <c r="AP82" s="2"/>
      <c r="AQ82" s="4">
        <f>MECS_EnergyPrices!E120</f>
        <v>2.9529999999999998</v>
      </c>
      <c r="AR82" s="4">
        <f>MECS_EnergyPrices!E89</f>
        <v>6.1180000000000003</v>
      </c>
      <c r="AS82" s="5">
        <f>MECS_EnergyPrices!E31</f>
        <v>3.8780000000000001</v>
      </c>
      <c r="AT82">
        <f>MECS_EnergyPrices!E60</f>
        <v>10.032999999999999</v>
      </c>
      <c r="AU82" s="48">
        <f>MECS_EnergyPrices!E149</f>
        <v>2</v>
      </c>
      <c r="AV82" s="47"/>
      <c r="AW82" s="41"/>
      <c r="AX82" t="str">
        <f t="shared" si="194"/>
        <v>339</v>
      </c>
      <c r="AY82" s="16">
        <f t="shared" si="195"/>
        <v>35.589412887999998</v>
      </c>
      <c r="AZ82">
        <f>MECS_Total_Fuel!S77</f>
        <v>34.793804965135031</v>
      </c>
      <c r="BA82">
        <f t="shared" si="222"/>
        <v>0.9776448146147072</v>
      </c>
      <c r="BD82" s="3">
        <f t="shared" si="214"/>
        <v>34.793804965135031</v>
      </c>
      <c r="BE82" s="3"/>
      <c r="BF82" t="str">
        <f t="shared" si="176"/>
        <v>339</v>
      </c>
      <c r="BG82" s="9" t="str">
        <f t="shared" si="177"/>
        <v>Miscellaneous</v>
      </c>
      <c r="BH82" s="4">
        <f>'[6]Table 7.6'!BG96</f>
        <v>0</v>
      </c>
      <c r="BI82" s="4">
        <f>'[6]Table 7.6'!BH96</f>
        <v>0</v>
      </c>
      <c r="BJ82">
        <f t="shared" si="197"/>
        <v>0</v>
      </c>
      <c r="BK82" s="4">
        <f t="shared" si="198"/>
        <v>36.923412888000001</v>
      </c>
      <c r="BL82" s="14">
        <f t="shared" si="199"/>
        <v>129.69938480626399</v>
      </c>
      <c r="BM82" s="4">
        <f t="shared" si="215"/>
        <v>3.5126597099699821</v>
      </c>
      <c r="BN82" s="3">
        <f>'[13]3DNAICS'!AX422</f>
        <v>266</v>
      </c>
      <c r="BP82" s="17">
        <f t="shared" si="216"/>
        <v>5.1940415365022356E-2</v>
      </c>
      <c r="BQ82" s="17">
        <f t="shared" si="217"/>
        <v>3.7483057228229713E-2</v>
      </c>
      <c r="BR82" s="17">
        <f t="shared" si="218"/>
        <v>0.64683562138115591</v>
      </c>
      <c r="BS82" s="17">
        <f t="shared" si="219"/>
        <v>2.8098243799272647E-2</v>
      </c>
      <c r="BT82" s="17">
        <f t="shared" si="220"/>
        <v>0.23564266222631933</v>
      </c>
      <c r="BU82" s="17">
        <v>0</v>
      </c>
      <c r="BV82" s="17">
        <v>0</v>
      </c>
      <c r="BW82">
        <f t="shared" si="202"/>
        <v>1</v>
      </c>
    </row>
    <row r="83" spans="2:75" ht="15" x14ac:dyDescent="0.25">
      <c r="B83" s="6"/>
      <c r="C83" s="8" t="s">
        <v>0</v>
      </c>
      <c r="D83" s="16">
        <v>10837</v>
      </c>
      <c r="E83" s="16">
        <v>718480</v>
      </c>
      <c r="F83" s="58">
        <v>55643</v>
      </c>
      <c r="G83" s="58">
        <v>23102</v>
      </c>
      <c r="H83" s="58">
        <v>5332</v>
      </c>
      <c r="I83" s="58">
        <v>18171</v>
      </c>
      <c r="J83" s="16">
        <v>52653</v>
      </c>
      <c r="K83" s="16">
        <v>11382</v>
      </c>
      <c r="L83" s="16">
        <v>884</v>
      </c>
      <c r="M83" s="16"/>
      <c r="N83" s="16">
        <f t="shared" si="182"/>
        <v>8385.5462399999997</v>
      </c>
      <c r="O83" s="16" t="s">
        <v>0</v>
      </c>
      <c r="P83" s="16">
        <f t="shared" si="248"/>
        <v>349.827541</v>
      </c>
      <c r="Q83" s="16">
        <f t="shared" si="256"/>
        <v>134.56915000000001</v>
      </c>
      <c r="R83" s="57">
        <f t="shared" si="183"/>
        <v>5491.96</v>
      </c>
      <c r="S83" s="58">
        <f t="shared" si="184"/>
        <v>65.669994000000003</v>
      </c>
      <c r="T83" s="16">
        <f t="shared" si="249"/>
        <v>1158.997836</v>
      </c>
      <c r="U83" s="16">
        <f t="shared" si="263"/>
        <v>282.27359999999999</v>
      </c>
      <c r="V83" s="16">
        <f t="shared" si="221"/>
        <v>884</v>
      </c>
      <c r="W83" s="16">
        <f t="shared" si="188"/>
        <v>8367.2981209999998</v>
      </c>
      <c r="X83" s="16">
        <f t="shared" si="189"/>
        <v>8385.5462399999997</v>
      </c>
      <c r="Y83" s="16">
        <f t="shared" si="190"/>
        <v>-18.248118999999861</v>
      </c>
      <c r="Z83" s="16"/>
      <c r="AA83" s="16"/>
      <c r="AB83" s="61"/>
      <c r="AG83" s="16"/>
      <c r="AH83" s="16"/>
      <c r="AI83" s="16"/>
      <c r="AJ83" s="16"/>
      <c r="AK83" s="16"/>
      <c r="AL83" s="16"/>
      <c r="AM83" s="16"/>
      <c r="AN83" s="16"/>
      <c r="AP83" s="2"/>
      <c r="AQ83" s="4">
        <f>MECS_EnergyPrices!E121</f>
        <v>2.54</v>
      </c>
      <c r="AR83" s="4">
        <f>MECS_EnergyPrices!E90</f>
        <v>5.625</v>
      </c>
      <c r="AS83" s="5">
        <f>MECS_EnergyPrices!E32</f>
        <v>2.3039999999999998</v>
      </c>
      <c r="AT83">
        <f>MECS_EnergyPrices!E61</f>
        <v>4.9089999999999998</v>
      </c>
      <c r="AU83" s="48">
        <f>MECS_EnergyPrices!E150</f>
        <v>1.7749999999999999</v>
      </c>
      <c r="AV83" s="47"/>
      <c r="AW83" s="41"/>
      <c r="AX83">
        <f t="shared" si="194"/>
        <v>0</v>
      </c>
      <c r="BL83" s="14"/>
      <c r="BM83" s="4"/>
    </row>
    <row r="84" spans="2:75" ht="15" x14ac:dyDescent="0.25">
      <c r="B84" s="6"/>
      <c r="C84" s="8" t="s">
        <v>52</v>
      </c>
      <c r="D84" s="21">
        <f>SUM(D62:D82)</f>
        <v>10837</v>
      </c>
      <c r="E84" s="21">
        <f t="shared" ref="E84:L84" si="270">SUM(E62:E82)</f>
        <v>718480</v>
      </c>
      <c r="F84" s="21">
        <f t="shared" si="270"/>
        <v>55336</v>
      </c>
      <c r="G84" s="21">
        <f t="shared" si="270"/>
        <v>22712</v>
      </c>
      <c r="H84" s="21">
        <f t="shared" si="270"/>
        <v>5331</v>
      </c>
      <c r="I84" s="21">
        <f t="shared" si="270"/>
        <v>16656</v>
      </c>
      <c r="J84" s="21">
        <f t="shared" si="270"/>
        <v>51217</v>
      </c>
      <c r="K84" s="21">
        <f t="shared" si="270"/>
        <v>11129</v>
      </c>
      <c r="L84" s="21">
        <f t="shared" si="270"/>
        <v>842.5</v>
      </c>
      <c r="M84" s="16"/>
      <c r="N84" s="16">
        <f>'[14]Table 4.2'!AD147</f>
        <v>8732</v>
      </c>
      <c r="O84" s="16" t="s">
        <v>144</v>
      </c>
      <c r="P84" s="21">
        <f t="shared" ref="P84:Y84" si="271">SUM(P62:P82)</f>
        <v>348.89743199999992</v>
      </c>
      <c r="Q84" s="21">
        <f t="shared" si="271"/>
        <v>134.29739999999998</v>
      </c>
      <c r="R84" s="21">
        <f t="shared" si="271"/>
        <v>5490.9299999999994</v>
      </c>
      <c r="S84" s="21">
        <f t="shared" si="271"/>
        <v>66.194783999999999</v>
      </c>
      <c r="T84" s="21">
        <f t="shared" si="271"/>
        <v>1154.3886039999998</v>
      </c>
      <c r="U84" s="21">
        <f t="shared" si="271"/>
        <v>282.0992</v>
      </c>
      <c r="V84" s="21">
        <f t="shared" si="271"/>
        <v>892.5</v>
      </c>
      <c r="W84" s="21">
        <f t="shared" si="271"/>
        <v>8369.307420000001</v>
      </c>
      <c r="X84" s="21">
        <f t="shared" si="271"/>
        <v>8385.5462400000015</v>
      </c>
      <c r="Y84" s="21">
        <f t="shared" si="271"/>
        <v>-16.238819999999613</v>
      </c>
      <c r="Z84" s="21"/>
      <c r="AA84" s="21"/>
      <c r="AB84" s="21">
        <f>SUM(AB62:AB83)</f>
        <v>348.89743199999998</v>
      </c>
      <c r="AC84" s="21">
        <f>SUM(AC62:AC83)</f>
        <v>134.29740000000004</v>
      </c>
      <c r="AD84" s="21">
        <f>SUM(AD62:AD83)</f>
        <v>5490.9299999999985</v>
      </c>
      <c r="AE84" s="21">
        <f t="shared" ref="AE84" si="272">SUM(AE62:AE83)</f>
        <v>66.194783999999999</v>
      </c>
      <c r="AF84" s="21">
        <f t="shared" ref="AF84" si="273">SUM(AF62:AF83)</f>
        <v>1154.3886039999995</v>
      </c>
      <c r="AG84" s="21">
        <f t="shared" ref="AG84" si="274">SUM(AG62:AG83)</f>
        <v>282.0992</v>
      </c>
      <c r="AH84" s="21">
        <f t="shared" ref="AH84" si="275">SUM(AH62:AH83)</f>
        <v>892.49999999999989</v>
      </c>
      <c r="AI84" s="21">
        <f t="shared" ref="AI84" si="276">SUM(AI62:AI83)</f>
        <v>8369.307420000001</v>
      </c>
      <c r="AJ84" s="21"/>
      <c r="AK84" s="21"/>
      <c r="AL84" s="21"/>
      <c r="AM84" s="21"/>
      <c r="AN84" s="21"/>
      <c r="AV84" s="34"/>
      <c r="AW84" s="41"/>
      <c r="BL84" s="14">
        <f>SUM(BL62:BL83)</f>
        <v>18407.380050239128</v>
      </c>
      <c r="BM84" s="4"/>
    </row>
    <row r="85" spans="2:75" x14ac:dyDescent="0.2">
      <c r="BL85" s="14"/>
      <c r="BM85" s="4"/>
    </row>
    <row r="86" spans="2:75" ht="15" x14ac:dyDescent="0.25">
      <c r="C86" s="8" t="s">
        <v>142</v>
      </c>
      <c r="D86" s="14">
        <v>50</v>
      </c>
      <c r="E86" s="14">
        <v>2371</v>
      </c>
      <c r="F86" s="57">
        <v>419</v>
      </c>
      <c r="G86" s="57">
        <v>58</v>
      </c>
      <c r="H86" s="57">
        <v>22</v>
      </c>
      <c r="I86" s="57">
        <v>8</v>
      </c>
      <c r="J86" s="14">
        <v>706</v>
      </c>
      <c r="K86" s="14">
        <v>0</v>
      </c>
      <c r="L86" s="29">
        <v>0.5</v>
      </c>
      <c r="N86" s="16">
        <f t="shared" ref="N86" si="277">D86-0.003412*E86</f>
        <v>41.910148</v>
      </c>
      <c r="P86" s="57">
        <f t="shared" ref="P86" si="278">F86*P$2*0.000001</f>
        <v>2.6342529999999997</v>
      </c>
      <c r="Q86" s="57">
        <f t="shared" ref="Q86" si="279">G86*Q$2*0.000001</f>
        <v>0.33784999999999998</v>
      </c>
      <c r="R86" s="57">
        <f t="shared" ref="R86" si="280">H86*R$59*0.001</f>
        <v>22.66</v>
      </c>
      <c r="S86" s="57">
        <f t="shared" ref="S86" si="281">I86*S$59*0.000001</f>
        <v>2.8912E-2</v>
      </c>
      <c r="T86" s="14">
        <f t="shared" ref="T86" si="282">J86*T$2*0.000001</f>
        <v>15.540471999999999</v>
      </c>
      <c r="U86" s="57">
        <f t="shared" ref="U86" si="283">K86*U$2*0.000001</f>
        <v>0</v>
      </c>
      <c r="V86" s="57">
        <f t="shared" ref="V86" si="284">L86*V$2</f>
        <v>0.5</v>
      </c>
      <c r="W86" s="16">
        <f t="shared" ref="W86" si="285">SUM(P86:V86)</f>
        <v>41.701487</v>
      </c>
      <c r="X86" s="16">
        <f t="shared" ref="X86" si="286">N86</f>
        <v>41.910148</v>
      </c>
      <c r="Y86" s="16">
        <f t="shared" ref="Y86" si="287">W86-X86</f>
        <v>-0.20866099999999932</v>
      </c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BL86" s="14"/>
      <c r="BM86" s="4"/>
    </row>
    <row r="87" spans="2:75" ht="15" x14ac:dyDescent="0.25">
      <c r="C87" s="8" t="s">
        <v>150</v>
      </c>
      <c r="P87" s="17">
        <f>P86/P62</f>
        <v>9.7058142228399355E-2</v>
      </c>
      <c r="Q87" s="17">
        <f t="shared" ref="Q87:W87" si="288">Q86/Q62</f>
        <v>1.9554956169925825E-2</v>
      </c>
      <c r="R87" s="17">
        <f t="shared" si="288"/>
        <v>4.4265593561368208E-2</v>
      </c>
      <c r="S87" s="17">
        <f t="shared" si="288"/>
        <v>5.5983205038488458E-3</v>
      </c>
      <c r="T87" s="17">
        <f t="shared" si="288"/>
        <v>0.10212642846810359</v>
      </c>
      <c r="U87" s="17">
        <f t="shared" si="288"/>
        <v>0</v>
      </c>
      <c r="V87" s="17">
        <f t="shared" si="288"/>
        <v>1.5151515151515152E-2</v>
      </c>
      <c r="W87" s="17">
        <f t="shared" si="288"/>
        <v>5.570140663249544E-2</v>
      </c>
      <c r="AP87" t="s">
        <v>70</v>
      </c>
      <c r="AY87" s="33">
        <v>1991</v>
      </c>
      <c r="BL87" s="14"/>
      <c r="BM87" s="4"/>
    </row>
    <row r="88" spans="2:75" ht="51.75" x14ac:dyDescent="0.25">
      <c r="C88" t="s">
        <v>145</v>
      </c>
      <c r="F88" t="s">
        <v>53</v>
      </c>
      <c r="G88" t="s">
        <v>54</v>
      </c>
      <c r="I88" t="s">
        <v>55</v>
      </c>
      <c r="K88" t="s">
        <v>56</v>
      </c>
      <c r="P88" s="33" t="s">
        <v>148</v>
      </c>
      <c r="Q88" s="33"/>
      <c r="AY88" s="40" t="s">
        <v>129</v>
      </c>
      <c r="AZ88" s="40"/>
      <c r="BA88" s="40" t="s">
        <v>132</v>
      </c>
      <c r="BB88" s="40" t="s">
        <v>128</v>
      </c>
      <c r="BC88" s="40" t="s">
        <v>130</v>
      </c>
      <c r="BF88" s="20"/>
      <c r="BL88" s="14"/>
      <c r="BM88" s="4"/>
      <c r="BP88" s="11"/>
    </row>
    <row r="89" spans="2:75" x14ac:dyDescent="0.2">
      <c r="B89" s="33">
        <v>1994</v>
      </c>
      <c r="D89" t="s">
        <v>0</v>
      </c>
      <c r="E89" t="s">
        <v>57</v>
      </c>
      <c r="F89" t="s">
        <v>58</v>
      </c>
      <c r="G89" t="s">
        <v>54</v>
      </c>
      <c r="H89" t="s">
        <v>60</v>
      </c>
      <c r="I89" t="s">
        <v>68</v>
      </c>
      <c r="J89" t="s">
        <v>62</v>
      </c>
      <c r="K89" t="s">
        <v>63</v>
      </c>
      <c r="L89" t="s">
        <v>64</v>
      </c>
      <c r="M89" t="s">
        <v>65</v>
      </c>
      <c r="N89" t="s">
        <v>66</v>
      </c>
      <c r="P89" t="s">
        <v>58</v>
      </c>
      <c r="Q89" t="s">
        <v>54</v>
      </c>
      <c r="R89" t="s">
        <v>60</v>
      </c>
      <c r="S89" t="s">
        <v>68</v>
      </c>
      <c r="T89" t="s">
        <v>62</v>
      </c>
      <c r="U89" t="s">
        <v>63</v>
      </c>
      <c r="V89" t="s">
        <v>64</v>
      </c>
      <c r="W89" t="s">
        <v>137</v>
      </c>
      <c r="X89" t="s">
        <v>66</v>
      </c>
      <c r="Y89" t="s">
        <v>138</v>
      </c>
      <c r="AP89" s="34"/>
      <c r="AQ89" s="34"/>
      <c r="AR89" s="34"/>
      <c r="AS89" s="34"/>
      <c r="AT89" s="34"/>
      <c r="AU89" s="34"/>
      <c r="AV89" s="34"/>
      <c r="AW89" s="34"/>
      <c r="AX89" s="34" t="str">
        <f>AX5</f>
        <v>311</v>
      </c>
      <c r="AY89" s="51">
        <f>'[17]Table 7.6'!C99</f>
        <v>13570</v>
      </c>
      <c r="AZ89" s="51">
        <f>'[17]Table 7.6'!D99</f>
        <v>735520</v>
      </c>
      <c r="BA89" s="14">
        <f>AY89-(0.003412*AZ89)</f>
        <v>11060.40576</v>
      </c>
      <c r="BB89" s="3">
        <f>'[13]3DNAICS'!AX402</f>
        <v>5673</v>
      </c>
      <c r="BC89" s="52">
        <f>BB89/BA89</f>
        <v>0.51291065835183247</v>
      </c>
      <c r="BD89" s="34"/>
    </row>
    <row r="90" spans="2:75" ht="15" x14ac:dyDescent="0.25">
      <c r="B90" s="6" t="s">
        <v>10</v>
      </c>
      <c r="C90" s="7" t="s">
        <v>11</v>
      </c>
      <c r="D90" s="57">
        <v>1081</v>
      </c>
      <c r="E90" s="57">
        <v>59743</v>
      </c>
      <c r="F90" s="57">
        <v>4785</v>
      </c>
      <c r="G90" s="57">
        <v>3177</v>
      </c>
      <c r="H90" s="57">
        <v>609</v>
      </c>
      <c r="I90" s="57">
        <v>1707</v>
      </c>
      <c r="J90" s="57">
        <v>7500</v>
      </c>
      <c r="K90" s="57">
        <v>94</v>
      </c>
      <c r="L90" s="57">
        <v>28</v>
      </c>
      <c r="M90" s="14">
        <f>'[18]Table 4.2'!L128</f>
        <v>856</v>
      </c>
      <c r="N90" s="16">
        <f>D90-0.003412*E90</f>
        <v>877.15688399999999</v>
      </c>
      <c r="O90" s="14"/>
      <c r="P90" s="57">
        <f t="shared" ref="P90:P92" si="289">F90*P$2*0.000001</f>
        <v>30.083295</v>
      </c>
      <c r="Q90" s="57">
        <f t="shared" ref="Q90:Q92" si="290">G90*Q$2*0.000001</f>
        <v>18.506024999999998</v>
      </c>
      <c r="R90" s="57">
        <f>H90*R$59*0.001</f>
        <v>627.27</v>
      </c>
      <c r="S90" s="57">
        <f>I90*S$59*0.000001</f>
        <v>6.169098</v>
      </c>
      <c r="T90" s="57">
        <f>J90*T$2*0.000001</f>
        <v>165.09</v>
      </c>
      <c r="U90" s="57">
        <v>2</v>
      </c>
      <c r="V90" s="57">
        <v>33</v>
      </c>
      <c r="W90" s="16">
        <f>SUM(P90:V90)</f>
        <v>882.11841800000002</v>
      </c>
      <c r="X90" s="16">
        <f>N90</f>
        <v>877.15688399999999</v>
      </c>
      <c r="Y90" s="16">
        <f>W90-X90</f>
        <v>4.9615340000000288</v>
      </c>
      <c r="Z90" s="16"/>
      <c r="AP90" s="41"/>
      <c r="AQ90" s="41"/>
      <c r="AR90" s="41"/>
      <c r="AS90" s="41"/>
      <c r="AT90" s="41"/>
      <c r="AU90" s="41"/>
      <c r="AV90" s="41"/>
      <c r="AW90" s="41"/>
      <c r="AX90" s="34" t="str">
        <f t="shared" ref="AX90:AX109" si="291">AX6</f>
        <v>312</v>
      </c>
      <c r="AY90" s="51">
        <f>'[17]Table 7.6'!C100</f>
        <v>0</v>
      </c>
      <c r="AZ90" s="51">
        <f>'[17]Table 7.6'!D100</f>
        <v>0</v>
      </c>
      <c r="BA90" s="14">
        <f t="shared" ref="BA90:BA110" si="292">AY90-(0.003412*AZ90)</f>
        <v>0</v>
      </c>
      <c r="BB90" s="3">
        <f>'[13]3DNAICS'!AX403</f>
        <v>540</v>
      </c>
      <c r="BC90" s="52" t="e">
        <f t="shared" ref="BC90:BC109" si="293">BB90/BA90</f>
        <v>#DIV/0!</v>
      </c>
      <c r="BD90" s="71"/>
    </row>
    <row r="91" spans="2:75" ht="15" x14ac:dyDescent="0.25">
      <c r="B91" s="6" t="s">
        <v>12</v>
      </c>
      <c r="C91" s="7" t="s">
        <v>13</v>
      </c>
      <c r="D91" s="57">
        <v>21</v>
      </c>
      <c r="E91" s="57">
        <v>1259</v>
      </c>
      <c r="F91" s="57">
        <v>133</v>
      </c>
      <c r="G91" s="56">
        <v>0</v>
      </c>
      <c r="H91" s="56">
        <v>0</v>
      </c>
      <c r="I91" s="56">
        <v>0</v>
      </c>
      <c r="J91" s="56">
        <v>0</v>
      </c>
      <c r="K91" s="57">
        <v>0</v>
      </c>
      <c r="L91" s="56">
        <v>0</v>
      </c>
      <c r="M91" s="14">
        <f>'[18]Table 4.2'!L129</f>
        <v>56</v>
      </c>
      <c r="N91" s="16">
        <f t="shared" ref="N91:N111" si="294">D91-0.003412*E91</f>
        <v>16.704291999999999</v>
      </c>
      <c r="O91" s="14"/>
      <c r="P91" s="57">
        <f t="shared" si="289"/>
        <v>0.836171</v>
      </c>
      <c r="Q91" s="56">
        <f t="shared" si="290"/>
        <v>0</v>
      </c>
      <c r="R91" s="56">
        <f t="shared" ref="R91:R111" si="295">H91*R$59*0.001</f>
        <v>0</v>
      </c>
      <c r="S91" s="56">
        <f t="shared" ref="S91:S92" si="296">I91*S$59*0.000001</f>
        <v>0</v>
      </c>
      <c r="T91" s="56">
        <f t="shared" ref="T91:T92" si="297">J91*T$2*0.000001</f>
        <v>0</v>
      </c>
      <c r="U91" s="57">
        <f t="shared" ref="U91:U92" si="298">K91*U$2*0.000001</f>
        <v>0</v>
      </c>
      <c r="V91" s="56">
        <f t="shared" ref="V91:V92" si="299">L91*V$2</f>
        <v>0</v>
      </c>
      <c r="W91" s="16">
        <f t="shared" ref="W91:W92" si="300">SUM(P91:V91)</f>
        <v>0.836171</v>
      </c>
      <c r="X91" s="16">
        <f t="shared" ref="X91:X92" si="301">N91</f>
        <v>16.704291999999999</v>
      </c>
      <c r="Y91" s="16">
        <f t="shared" ref="Y91:Y92" si="302">W91-X91</f>
        <v>-15.868120999999999</v>
      </c>
      <c r="Z91" s="16"/>
      <c r="AP91" s="41"/>
      <c r="AQ91" s="41"/>
      <c r="AR91" s="41"/>
      <c r="AS91" s="41"/>
      <c r="AT91" s="41"/>
      <c r="AU91" s="41"/>
      <c r="AV91" s="41"/>
      <c r="AW91" s="41"/>
      <c r="AX91" s="34" t="str">
        <f t="shared" si="291"/>
        <v>313</v>
      </c>
      <c r="AY91" s="51">
        <f>'[17]Table 7.6'!C101</f>
        <v>0</v>
      </c>
      <c r="AZ91" s="51">
        <f>'[17]Table 7.6'!D101</f>
        <v>0</v>
      </c>
      <c r="BA91" s="14">
        <f t="shared" si="292"/>
        <v>0</v>
      </c>
      <c r="BB91" s="3">
        <f>'[13]3DNAICS'!AX404</f>
        <v>787</v>
      </c>
      <c r="BC91" s="52" t="e">
        <f t="shared" si="293"/>
        <v>#DIV/0!</v>
      </c>
      <c r="BD91" s="71"/>
    </row>
    <row r="92" spans="2:75" ht="15" x14ac:dyDescent="0.25">
      <c r="B92" s="6" t="s">
        <v>14</v>
      </c>
      <c r="C92" s="7" t="s">
        <v>15</v>
      </c>
      <c r="D92" s="57">
        <v>311</v>
      </c>
      <c r="E92" s="57">
        <v>32692</v>
      </c>
      <c r="F92" s="57">
        <v>2680</v>
      </c>
      <c r="G92" s="56">
        <v>0</v>
      </c>
      <c r="H92" s="57">
        <v>113</v>
      </c>
      <c r="I92" s="56">
        <v>0</v>
      </c>
      <c r="J92" s="57">
        <v>1821</v>
      </c>
      <c r="K92" s="57">
        <v>0</v>
      </c>
      <c r="L92" s="57">
        <v>14</v>
      </c>
      <c r="M92" s="14">
        <f>'[18]Table 4.2'!L130</f>
        <v>49</v>
      </c>
      <c r="N92" s="16">
        <f t="shared" si="294"/>
        <v>199.45489599999999</v>
      </c>
      <c r="O92" s="14"/>
      <c r="P92" s="57">
        <f t="shared" si="289"/>
        <v>16.849159999999998</v>
      </c>
      <c r="Q92" s="56">
        <f t="shared" si="290"/>
        <v>0</v>
      </c>
      <c r="R92" s="57">
        <f t="shared" si="295"/>
        <v>116.39</v>
      </c>
      <c r="S92" s="56">
        <f t="shared" si="296"/>
        <v>0</v>
      </c>
      <c r="T92" s="57">
        <f t="shared" si="297"/>
        <v>40.083852</v>
      </c>
      <c r="U92" s="57">
        <f t="shared" si="298"/>
        <v>0</v>
      </c>
      <c r="V92" s="57">
        <f t="shared" si="299"/>
        <v>14</v>
      </c>
      <c r="W92" s="16">
        <f t="shared" si="300"/>
        <v>187.32301200000001</v>
      </c>
      <c r="X92" s="16">
        <f t="shared" si="301"/>
        <v>199.45489599999999</v>
      </c>
      <c r="Y92" s="16">
        <f t="shared" si="302"/>
        <v>-12.131883999999985</v>
      </c>
      <c r="Z92" s="16"/>
      <c r="AP92" s="41"/>
      <c r="AQ92" s="41"/>
      <c r="AR92" s="41"/>
      <c r="AS92" s="41"/>
      <c r="AT92" s="41"/>
      <c r="AU92" s="41"/>
      <c r="AV92" s="41"/>
      <c r="AW92" s="41"/>
      <c r="AX92" s="34" t="str">
        <f t="shared" si="291"/>
        <v>314</v>
      </c>
      <c r="AY92" s="51">
        <f>'[17]Table 7.6'!C102</f>
        <v>0</v>
      </c>
      <c r="AZ92" s="51">
        <f>'[17]Table 7.6'!D102</f>
        <v>0</v>
      </c>
      <c r="BA92" s="14">
        <f t="shared" si="292"/>
        <v>0</v>
      </c>
      <c r="BB92" s="3">
        <f>'[13]3DNAICS'!AX405</f>
        <v>470</v>
      </c>
      <c r="BC92" s="52" t="e">
        <f t="shared" si="293"/>
        <v>#DIV/0!</v>
      </c>
      <c r="BD92" s="71"/>
    </row>
    <row r="93" spans="2:75" ht="15" x14ac:dyDescent="0.25">
      <c r="B93" s="6" t="s">
        <v>16</v>
      </c>
      <c r="C93" s="7" t="s">
        <v>17</v>
      </c>
      <c r="D93" s="57"/>
      <c r="E93" s="57"/>
      <c r="F93" s="57"/>
      <c r="G93" s="57"/>
      <c r="H93" s="57"/>
      <c r="I93" s="57"/>
      <c r="J93" s="57"/>
      <c r="K93" s="57"/>
      <c r="L93" s="57"/>
      <c r="M93" s="14">
        <f>'[18]Table 4.2'!L131</f>
        <v>11.6</v>
      </c>
      <c r="N93" s="16">
        <f t="shared" si="294"/>
        <v>0</v>
      </c>
      <c r="O93" s="14"/>
      <c r="P93" s="57"/>
      <c r="Q93" s="57"/>
      <c r="R93" s="57">
        <f t="shared" si="295"/>
        <v>0</v>
      </c>
      <c r="S93" s="57"/>
      <c r="T93" s="57"/>
      <c r="U93" s="57"/>
      <c r="V93" s="57"/>
      <c r="W93" s="16"/>
      <c r="X93" s="16"/>
      <c r="Y93" s="16"/>
      <c r="Z93" s="16"/>
      <c r="AP93" s="41"/>
      <c r="AQ93" s="41"/>
      <c r="AR93" s="41"/>
      <c r="AS93" s="41"/>
      <c r="AT93" s="41"/>
      <c r="AU93" s="41"/>
      <c r="AV93" s="41"/>
      <c r="AW93" s="41"/>
      <c r="AX93" s="34" t="str">
        <f t="shared" si="291"/>
        <v>315</v>
      </c>
      <c r="AY93" s="51">
        <f>'[17]Table 7.6'!C103</f>
        <v>0</v>
      </c>
      <c r="AZ93" s="51">
        <f>'[17]Table 7.6'!D103</f>
        <v>0</v>
      </c>
      <c r="BA93" s="14">
        <f t="shared" si="292"/>
        <v>0</v>
      </c>
      <c r="BB93" s="3">
        <f>'[13]3DNAICS'!AX406</f>
        <v>71</v>
      </c>
      <c r="BC93" s="52" t="e">
        <f t="shared" si="293"/>
        <v>#DIV/0!</v>
      </c>
      <c r="BD93" s="71"/>
    </row>
    <row r="94" spans="2:75" ht="15" x14ac:dyDescent="0.25">
      <c r="B94" s="6" t="s">
        <v>18</v>
      </c>
      <c r="C94" s="7" t="s">
        <v>19</v>
      </c>
      <c r="D94" s="57">
        <v>56</v>
      </c>
      <c r="E94" s="57">
        <v>7748</v>
      </c>
      <c r="F94" s="56">
        <v>0</v>
      </c>
      <c r="G94" s="57">
        <v>106</v>
      </c>
      <c r="H94" s="57">
        <v>24</v>
      </c>
      <c r="I94" s="56">
        <v>0</v>
      </c>
      <c r="J94" s="56">
        <v>0</v>
      </c>
      <c r="K94" s="57">
        <v>0</v>
      </c>
      <c r="L94" s="57">
        <v>1</v>
      </c>
      <c r="M94" s="14">
        <f>'[18]Table 4.2'!L132</f>
        <v>2.2010000000000001</v>
      </c>
      <c r="N94" s="16">
        <f t="shared" si="294"/>
        <v>29.563824</v>
      </c>
      <c r="O94" s="14"/>
      <c r="P94" s="56">
        <v>1</v>
      </c>
      <c r="Q94" s="57">
        <f t="shared" ref="Q94:Q105" si="303">G94*Q$2*0.000001</f>
        <v>0.61744999999999994</v>
      </c>
      <c r="R94" s="57">
        <f t="shared" si="295"/>
        <v>24.72</v>
      </c>
      <c r="S94" s="56">
        <f t="shared" ref="S94:S96" si="304">I94*S$59*0.000001</f>
        <v>0</v>
      </c>
      <c r="T94" s="56">
        <f t="shared" ref="T94:T98" si="305">J94*T$2*0.000001</f>
        <v>0</v>
      </c>
      <c r="U94" s="57">
        <f t="shared" ref="U94:U96" si="306">K94*U$2*0.000001</f>
        <v>0</v>
      </c>
      <c r="V94" s="57">
        <f t="shared" ref="V94:V103" si="307">L94*V$2</f>
        <v>1</v>
      </c>
      <c r="W94" s="16">
        <f t="shared" ref="W94:W111" si="308">SUM(P94:V94)</f>
        <v>27.337449999999997</v>
      </c>
      <c r="X94" s="16">
        <f t="shared" ref="X94:X111" si="309">N94</f>
        <v>29.563824</v>
      </c>
      <c r="Y94" s="16">
        <f t="shared" ref="Y94:Y111" si="310">W94-X94</f>
        <v>-2.2263740000000034</v>
      </c>
      <c r="Z94" s="16"/>
      <c r="AP94" s="41"/>
      <c r="AQ94" s="41"/>
      <c r="AR94" s="41"/>
      <c r="AS94" s="41"/>
      <c r="AT94" s="41"/>
      <c r="AU94" s="41"/>
      <c r="AV94" s="41"/>
      <c r="AW94" s="41"/>
      <c r="AX94" s="34" t="str">
        <f t="shared" si="291"/>
        <v>316</v>
      </c>
      <c r="AY94" s="51">
        <f>'[17]Table 7.6'!C104</f>
        <v>1108</v>
      </c>
      <c r="AZ94" s="51">
        <f>'[17]Table 7.6'!D104</f>
        <v>75652</v>
      </c>
      <c r="BA94" s="14">
        <f t="shared" si="292"/>
        <v>849.87537599999996</v>
      </c>
      <c r="BB94" s="3">
        <f>'[13]3DNAICS'!AX407</f>
        <v>17</v>
      </c>
      <c r="BC94" s="52">
        <f t="shared" si="293"/>
        <v>2.0002932759402597E-2</v>
      </c>
      <c r="BD94" s="71"/>
    </row>
    <row r="95" spans="2:75" ht="15" x14ac:dyDescent="0.25">
      <c r="B95" s="6" t="s">
        <v>20</v>
      </c>
      <c r="C95" s="7" t="s">
        <v>21</v>
      </c>
      <c r="D95" s="57">
        <v>10</v>
      </c>
      <c r="E95" s="57">
        <v>827</v>
      </c>
      <c r="F95" s="57">
        <v>250</v>
      </c>
      <c r="G95" s="56">
        <v>0</v>
      </c>
      <c r="H95" s="56">
        <v>0</v>
      </c>
      <c r="I95" s="56">
        <v>0</v>
      </c>
      <c r="J95" s="57">
        <v>0</v>
      </c>
      <c r="K95" s="57">
        <v>0</v>
      </c>
      <c r="L95" s="29">
        <v>0.5</v>
      </c>
      <c r="M95" s="14">
        <f>'[18]Table 4.2'!L133</f>
        <v>1.3009999999999999</v>
      </c>
      <c r="N95" s="16">
        <f t="shared" si="294"/>
        <v>7.1782760000000003</v>
      </c>
      <c r="O95" s="14"/>
      <c r="P95" s="57">
        <f t="shared" ref="P95:P111" si="311">F95*P$2*0.000001</f>
        <v>1.57175</v>
      </c>
      <c r="Q95" s="56">
        <f t="shared" si="303"/>
        <v>0</v>
      </c>
      <c r="R95" s="56">
        <f t="shared" si="295"/>
        <v>0</v>
      </c>
      <c r="S95" s="56">
        <f t="shared" si="304"/>
        <v>0</v>
      </c>
      <c r="T95" s="57">
        <f t="shared" si="305"/>
        <v>0</v>
      </c>
      <c r="U95" s="57">
        <f t="shared" si="306"/>
        <v>0</v>
      </c>
      <c r="V95" s="29">
        <f t="shared" si="307"/>
        <v>0.5</v>
      </c>
      <c r="W95" s="16">
        <f t="shared" si="308"/>
        <v>2.0717499999999998</v>
      </c>
      <c r="X95" s="16">
        <f t="shared" si="309"/>
        <v>7.1782760000000003</v>
      </c>
      <c r="Y95" s="16">
        <f t="shared" si="310"/>
        <v>-5.1065260000000006</v>
      </c>
      <c r="Z95" s="16"/>
      <c r="AP95" s="41"/>
      <c r="AQ95" s="41"/>
      <c r="AR95" s="41"/>
      <c r="AS95" s="41"/>
      <c r="AT95" s="41"/>
      <c r="AU95" s="41"/>
      <c r="AV95" s="41"/>
      <c r="AW95" s="41"/>
      <c r="AX95" s="34" t="str">
        <f t="shared" si="291"/>
        <v>321</v>
      </c>
      <c r="AY95" s="51">
        <f>'[17]Table 7.6'!C105</f>
        <v>85</v>
      </c>
      <c r="AZ95" s="51">
        <f>'[17]Table 7.6'!D105</f>
        <v>8337</v>
      </c>
      <c r="BA95" s="14">
        <f t="shared" si="292"/>
        <v>56.554155999999999</v>
      </c>
      <c r="BB95" s="3">
        <f>'[13]3DNAICS'!AX408</f>
        <v>1177</v>
      </c>
      <c r="BC95" s="52">
        <f t="shared" si="293"/>
        <v>20.811909915161674</v>
      </c>
      <c r="BD95" s="71"/>
    </row>
    <row r="96" spans="2:75" ht="15" x14ac:dyDescent="0.25">
      <c r="B96" s="6" t="s">
        <v>22</v>
      </c>
      <c r="C96" s="7" t="s">
        <v>23</v>
      </c>
      <c r="D96" s="57">
        <v>210</v>
      </c>
      <c r="E96" s="57">
        <v>20832</v>
      </c>
      <c r="F96" s="57">
        <v>0</v>
      </c>
      <c r="G96" s="57">
        <v>3793</v>
      </c>
      <c r="H96" s="57">
        <v>47</v>
      </c>
      <c r="I96" s="56">
        <v>0</v>
      </c>
      <c r="J96" s="56">
        <v>0</v>
      </c>
      <c r="K96" s="57">
        <v>0</v>
      </c>
      <c r="L96" s="57">
        <v>1</v>
      </c>
      <c r="M96" s="14">
        <f>'[18]Table 4.2'!L134</f>
        <v>210.5</v>
      </c>
      <c r="N96" s="16">
        <f t="shared" si="294"/>
        <v>138.92121600000002</v>
      </c>
      <c r="O96" s="14"/>
      <c r="P96" s="57">
        <f t="shared" si="311"/>
        <v>0</v>
      </c>
      <c r="Q96" s="57">
        <f t="shared" si="303"/>
        <v>22.094224999999998</v>
      </c>
      <c r="R96" s="57">
        <f t="shared" si="295"/>
        <v>48.410000000000004</v>
      </c>
      <c r="S96" s="56">
        <f t="shared" si="304"/>
        <v>0</v>
      </c>
      <c r="T96" s="56">
        <f t="shared" si="305"/>
        <v>0</v>
      </c>
      <c r="U96" s="57">
        <f t="shared" si="306"/>
        <v>0</v>
      </c>
      <c r="V96" s="57">
        <f t="shared" si="307"/>
        <v>1</v>
      </c>
      <c r="W96" s="16">
        <f t="shared" si="308"/>
        <v>71.504225000000005</v>
      </c>
      <c r="X96" s="16">
        <f t="shared" si="309"/>
        <v>138.92121600000002</v>
      </c>
      <c r="Y96" s="16">
        <f t="shared" si="310"/>
        <v>-67.41699100000001</v>
      </c>
      <c r="Z96" s="16"/>
      <c r="AP96" s="41"/>
      <c r="AQ96" s="41"/>
      <c r="AR96" s="41"/>
      <c r="AS96" s="41"/>
      <c r="AT96" s="41"/>
      <c r="AU96" s="41"/>
      <c r="AV96" s="41"/>
      <c r="AW96" s="41"/>
      <c r="AX96" s="34" t="str">
        <f t="shared" si="291"/>
        <v>322</v>
      </c>
      <c r="AY96" s="51">
        <f>'[17]Table 7.6'!C106</f>
        <v>95</v>
      </c>
      <c r="AZ96" s="51">
        <f>'[17]Table 7.6'!D106</f>
        <v>13349</v>
      </c>
      <c r="BA96" s="14">
        <f t="shared" si="292"/>
        <v>49.453212000000001</v>
      </c>
      <c r="BB96" s="3">
        <f>'[13]3DNAICS'!AX409</f>
        <v>6345</v>
      </c>
      <c r="BC96" s="52">
        <f t="shared" si="293"/>
        <v>128.30309181939487</v>
      </c>
      <c r="BD96" s="71"/>
    </row>
    <row r="97" spans="2:64" ht="15" x14ac:dyDescent="0.25">
      <c r="B97" s="6" t="s">
        <v>24</v>
      </c>
      <c r="C97" s="7" t="s">
        <v>25</v>
      </c>
      <c r="D97" s="57">
        <v>1621</v>
      </c>
      <c r="E97" s="57">
        <v>72248</v>
      </c>
      <c r="F97" s="57">
        <v>27444</v>
      </c>
      <c r="G97" s="57">
        <v>1558</v>
      </c>
      <c r="H97" s="57">
        <v>558</v>
      </c>
      <c r="I97" s="57">
        <v>1315</v>
      </c>
      <c r="J97" s="57">
        <v>13812</v>
      </c>
      <c r="K97" s="57">
        <v>0</v>
      </c>
      <c r="L97" s="57">
        <v>306</v>
      </c>
      <c r="M97" s="14">
        <f>'[18]Table 4.2'!L135</f>
        <v>954.05</v>
      </c>
      <c r="N97" s="16">
        <f t="shared" si="294"/>
        <v>1374.489824</v>
      </c>
      <c r="O97" s="14"/>
      <c r="P97" s="57">
        <f t="shared" si="311"/>
        <v>172.54042799999999</v>
      </c>
      <c r="Q97" s="57">
        <f t="shared" si="303"/>
        <v>9.0753500000000003</v>
      </c>
      <c r="R97" s="57">
        <f t="shared" si="295"/>
        <v>574.74</v>
      </c>
      <c r="S97" s="57">
        <v>5</v>
      </c>
      <c r="T97" s="57">
        <f t="shared" si="305"/>
        <v>304.02974399999999</v>
      </c>
      <c r="U97" s="57">
        <v>3</v>
      </c>
      <c r="V97" s="57">
        <f t="shared" si="307"/>
        <v>306</v>
      </c>
      <c r="W97" s="16">
        <f t="shared" si="308"/>
        <v>1374.385522</v>
      </c>
      <c r="X97" s="16">
        <f t="shared" si="309"/>
        <v>1374.489824</v>
      </c>
      <c r="Y97" s="16">
        <f t="shared" si="310"/>
        <v>-0.10430199999996148</v>
      </c>
      <c r="Z97" s="16"/>
      <c r="AP97" s="41"/>
      <c r="AQ97" s="41"/>
      <c r="AR97" s="41"/>
      <c r="AS97" s="41"/>
      <c r="AT97" s="41"/>
      <c r="AU97" s="41"/>
      <c r="AV97" s="41"/>
      <c r="AW97" s="41"/>
      <c r="AX97" s="34" t="str">
        <f t="shared" si="291"/>
        <v>323</v>
      </c>
      <c r="AY97" s="51">
        <f>'[17]Table 7.6'!C107</f>
        <v>20</v>
      </c>
      <c r="AZ97" s="51">
        <f>'[17]Table 7.6'!D107</f>
        <v>2454</v>
      </c>
      <c r="BA97" s="14">
        <f t="shared" si="292"/>
        <v>11.626951999999999</v>
      </c>
      <c r="BB97" s="3">
        <f>'[13]3DNAICS'!AX410</f>
        <v>342</v>
      </c>
      <c r="BC97" s="52">
        <f t="shared" si="293"/>
        <v>29.414415747136484</v>
      </c>
      <c r="BD97" s="71"/>
    </row>
    <row r="98" spans="2:64" ht="15" x14ac:dyDescent="0.25">
      <c r="B98" s="6" t="s">
        <v>26</v>
      </c>
      <c r="C98" s="7" t="s">
        <v>27</v>
      </c>
      <c r="D98" s="57">
        <v>111</v>
      </c>
      <c r="E98" s="57">
        <v>17410</v>
      </c>
      <c r="F98" s="56">
        <v>0</v>
      </c>
      <c r="G98" s="56">
        <v>0</v>
      </c>
      <c r="H98" s="57">
        <v>46</v>
      </c>
      <c r="I98" s="56">
        <v>0</v>
      </c>
      <c r="J98" s="57">
        <v>0</v>
      </c>
      <c r="K98" s="57">
        <v>0</v>
      </c>
      <c r="L98" s="57">
        <v>2</v>
      </c>
      <c r="M98" s="14">
        <f>'[18]Table 4.2'!L136</f>
        <v>35.449999999999996</v>
      </c>
      <c r="N98" s="16">
        <f t="shared" si="294"/>
        <v>51.597079999999998</v>
      </c>
      <c r="O98" s="14"/>
      <c r="P98" s="56">
        <f t="shared" si="311"/>
        <v>0</v>
      </c>
      <c r="Q98" s="56">
        <f t="shared" si="303"/>
        <v>0</v>
      </c>
      <c r="R98" s="57">
        <f t="shared" si="295"/>
        <v>47.38</v>
      </c>
      <c r="S98" s="56">
        <f t="shared" ref="S98:S109" si="312">I98*S$59*0.000001</f>
        <v>0</v>
      </c>
      <c r="T98" s="57">
        <f t="shared" si="305"/>
        <v>0</v>
      </c>
      <c r="U98" s="57">
        <f t="shared" ref="U98" si="313">K98*U$2*0.000001</f>
        <v>0</v>
      </c>
      <c r="V98" s="57">
        <f t="shared" si="307"/>
        <v>2</v>
      </c>
      <c r="W98" s="16">
        <f t="shared" si="308"/>
        <v>49.38</v>
      </c>
      <c r="X98" s="16">
        <f t="shared" si="309"/>
        <v>51.597079999999998</v>
      </c>
      <c r="Y98" s="16">
        <f t="shared" si="310"/>
        <v>-2.2170799999999957</v>
      </c>
      <c r="Z98" s="16"/>
      <c r="AP98" s="41"/>
      <c r="AQ98" s="41"/>
      <c r="AR98" s="41"/>
      <c r="AS98" s="41"/>
      <c r="AT98" s="41"/>
      <c r="AU98" s="41"/>
      <c r="AV98" s="41"/>
      <c r="AW98" s="41"/>
      <c r="AX98" s="34" t="str">
        <f t="shared" si="291"/>
        <v>324</v>
      </c>
      <c r="AY98" s="51">
        <f>'[17]Table 7.6'!C108</f>
        <v>6</v>
      </c>
      <c r="AZ98" s="51">
        <f>'[17]Table 7.6'!D108</f>
        <v>1069</v>
      </c>
      <c r="BA98" s="14">
        <f t="shared" si="292"/>
        <v>2.3525719999999999</v>
      </c>
      <c r="BB98" s="3">
        <f>'[13]3DNAICS'!AX411</f>
        <v>8466</v>
      </c>
      <c r="BC98" s="52">
        <f t="shared" si="293"/>
        <v>3598.6146226342917</v>
      </c>
      <c r="BD98" s="71"/>
    </row>
    <row r="99" spans="2:64" ht="15" x14ac:dyDescent="0.25">
      <c r="B99" s="6" t="s">
        <v>28</v>
      </c>
      <c r="C99" s="7" t="s">
        <v>29</v>
      </c>
      <c r="D99" s="57">
        <v>1156</v>
      </c>
      <c r="E99" s="57">
        <v>37379</v>
      </c>
      <c r="F99" s="57">
        <v>4558</v>
      </c>
      <c r="G99" s="57">
        <v>2883</v>
      </c>
      <c r="H99" s="57">
        <v>758</v>
      </c>
      <c r="I99" s="56">
        <v>0</v>
      </c>
      <c r="J99" s="56">
        <v>0</v>
      </c>
      <c r="K99" s="56">
        <v>0</v>
      </c>
      <c r="L99" s="57">
        <v>176</v>
      </c>
      <c r="M99" s="14">
        <f>'[18]Table 4.2'!L137</f>
        <v>1337</v>
      </c>
      <c r="N99" s="16">
        <f t="shared" si="294"/>
        <v>1028.4628520000001</v>
      </c>
      <c r="O99" s="14"/>
      <c r="P99" s="57">
        <f t="shared" si="311"/>
        <v>28.656146</v>
      </c>
      <c r="Q99" s="57">
        <f t="shared" si="303"/>
        <v>16.793475000000001</v>
      </c>
      <c r="R99" s="57">
        <f t="shared" si="295"/>
        <v>780.74</v>
      </c>
      <c r="S99" s="56">
        <f t="shared" si="312"/>
        <v>0</v>
      </c>
      <c r="T99" s="56">
        <v>4</v>
      </c>
      <c r="U99" s="56">
        <v>0.1</v>
      </c>
      <c r="V99" s="57">
        <f t="shared" si="307"/>
        <v>176</v>
      </c>
      <c r="W99" s="16">
        <f t="shared" si="308"/>
        <v>1006.289621</v>
      </c>
      <c r="X99" s="16">
        <f t="shared" si="309"/>
        <v>1028.4628520000001</v>
      </c>
      <c r="Y99" s="16">
        <f t="shared" si="310"/>
        <v>-22.173231000000101</v>
      </c>
      <c r="Z99" s="16"/>
      <c r="AP99" s="41"/>
      <c r="AQ99" s="41"/>
      <c r="AR99" s="41"/>
      <c r="AS99" s="41"/>
      <c r="AT99" s="41"/>
      <c r="AU99" s="41"/>
      <c r="AV99" s="41"/>
      <c r="AW99" s="41"/>
      <c r="AX99" s="34" t="str">
        <f t="shared" si="291"/>
        <v>325</v>
      </c>
      <c r="AY99" s="51">
        <f>'[17]Table 7.6'!C109</f>
        <v>2</v>
      </c>
      <c r="AZ99" s="51">
        <f>'[17]Table 7.6'!D109</f>
        <v>243</v>
      </c>
      <c r="BA99" s="14">
        <f t="shared" si="292"/>
        <v>1.170884</v>
      </c>
      <c r="BB99" s="3">
        <f>'[13]3DNAICS'!AX412</f>
        <v>39616</v>
      </c>
      <c r="BC99" s="52">
        <f t="shared" si="293"/>
        <v>33834.265392643509</v>
      </c>
      <c r="BD99" s="71"/>
    </row>
    <row r="100" spans="2:64" ht="15" x14ac:dyDescent="0.25">
      <c r="B100" s="6" t="s">
        <v>30</v>
      </c>
      <c r="C100" s="7" t="s">
        <v>31</v>
      </c>
      <c r="D100" s="57">
        <v>2997</v>
      </c>
      <c r="E100" s="57">
        <v>160225</v>
      </c>
      <c r="F100" s="57">
        <v>9567</v>
      </c>
      <c r="G100" s="56">
        <v>0</v>
      </c>
      <c r="H100" s="57">
        <v>1839</v>
      </c>
      <c r="I100" s="57">
        <v>1073</v>
      </c>
      <c r="J100" s="57">
        <v>11597</v>
      </c>
      <c r="K100" s="56">
        <v>0</v>
      </c>
      <c r="L100" s="57">
        <v>219</v>
      </c>
      <c r="M100" s="14">
        <f>'[18]Table 4.2'!L138</f>
        <v>2415</v>
      </c>
      <c r="N100" s="16">
        <f t="shared" si="294"/>
        <v>2450.3123000000001</v>
      </c>
      <c r="O100" s="14"/>
      <c r="P100" s="57">
        <f t="shared" si="311"/>
        <v>60.147728999999998</v>
      </c>
      <c r="Q100" s="56">
        <f t="shared" si="303"/>
        <v>0</v>
      </c>
      <c r="R100" s="57">
        <f t="shared" si="295"/>
        <v>1894.17</v>
      </c>
      <c r="S100" s="57">
        <f t="shared" si="312"/>
        <v>3.8778219999999997</v>
      </c>
      <c r="T100" s="57">
        <f t="shared" ref="T100:T105" si="314">J100*T$2*0.000001</f>
        <v>255.27316399999998</v>
      </c>
      <c r="U100" s="56">
        <f t="shared" ref="U100:U103" si="315">K100*U$2*0.000001</f>
        <v>0</v>
      </c>
      <c r="V100" s="57">
        <f t="shared" si="307"/>
        <v>219</v>
      </c>
      <c r="W100" s="16">
        <f t="shared" si="308"/>
        <v>2432.468715</v>
      </c>
      <c r="X100" s="16">
        <f t="shared" si="309"/>
        <v>2450.3123000000001</v>
      </c>
      <c r="Y100" s="16">
        <f t="shared" si="310"/>
        <v>-17.843585000000076</v>
      </c>
      <c r="Z100" s="16"/>
      <c r="AP100" s="41"/>
      <c r="AQ100" s="41"/>
      <c r="AR100" s="41"/>
      <c r="AS100" s="41"/>
      <c r="AT100" s="41"/>
      <c r="AU100" s="41"/>
      <c r="AV100" s="41"/>
      <c r="AW100" s="41"/>
      <c r="AX100" s="34" t="str">
        <f t="shared" si="291"/>
        <v>326</v>
      </c>
      <c r="AY100" s="51">
        <f>'[17]Table 7.6'!C110</f>
        <v>223</v>
      </c>
      <c r="AZ100" s="51">
        <f>'[17]Table 7.6'!D110</f>
        <v>16179</v>
      </c>
      <c r="BA100" s="14">
        <f t="shared" si="292"/>
        <v>167.79725200000001</v>
      </c>
      <c r="BB100" s="3">
        <f>'[13]3DNAICS'!AX413</f>
        <v>1402</v>
      </c>
      <c r="BC100" s="52">
        <f t="shared" si="293"/>
        <v>8.3553215758265207</v>
      </c>
      <c r="BD100" s="71"/>
    </row>
    <row r="101" spans="2:64" ht="15" x14ac:dyDescent="0.25">
      <c r="B101" s="6" t="s">
        <v>32</v>
      </c>
      <c r="C101" s="7" t="s">
        <v>33</v>
      </c>
      <c r="D101" s="57">
        <v>285</v>
      </c>
      <c r="E101" s="57">
        <v>43777</v>
      </c>
      <c r="F101" s="57">
        <v>1600</v>
      </c>
      <c r="G101" s="57">
        <v>540</v>
      </c>
      <c r="H101" s="57">
        <v>107</v>
      </c>
      <c r="I101" s="57">
        <v>824</v>
      </c>
      <c r="J101" s="57">
        <v>219</v>
      </c>
      <c r="K101" s="57">
        <v>0</v>
      </c>
      <c r="L101" s="57">
        <v>4</v>
      </c>
      <c r="M101" s="14">
        <f>'[18]Table 4.2'!L139</f>
        <v>114.8</v>
      </c>
      <c r="N101" s="16">
        <f t="shared" si="294"/>
        <v>135.63287599999998</v>
      </c>
      <c r="O101" s="14"/>
      <c r="P101" s="57">
        <f t="shared" si="311"/>
        <v>10.059199999999999</v>
      </c>
      <c r="Q101" s="57">
        <f t="shared" si="303"/>
        <v>3.1454999999999997</v>
      </c>
      <c r="R101" s="57">
        <f t="shared" si="295"/>
        <v>110.21000000000001</v>
      </c>
      <c r="S101" s="57">
        <f t="shared" si="312"/>
        <v>2.9779359999999997</v>
      </c>
      <c r="T101" s="57">
        <f t="shared" si="314"/>
        <v>4.8206280000000001</v>
      </c>
      <c r="U101" s="57">
        <f t="shared" si="315"/>
        <v>0</v>
      </c>
      <c r="V101" s="57">
        <f t="shared" si="307"/>
        <v>4</v>
      </c>
      <c r="W101" s="16">
        <f t="shared" si="308"/>
        <v>135.21326400000001</v>
      </c>
      <c r="X101" s="16">
        <f t="shared" si="309"/>
        <v>135.63287599999998</v>
      </c>
      <c r="Y101" s="16">
        <f t="shared" si="310"/>
        <v>-0.41961199999997234</v>
      </c>
      <c r="Z101" s="16"/>
      <c r="AP101" s="41"/>
      <c r="AQ101" s="41"/>
      <c r="AR101" s="41"/>
      <c r="AS101" s="41"/>
      <c r="AT101" s="41"/>
      <c r="AU101" s="41"/>
      <c r="AV101" s="41"/>
      <c r="AW101" s="41"/>
      <c r="AX101" s="34" t="str">
        <f t="shared" si="291"/>
        <v>327</v>
      </c>
      <c r="AY101" s="51">
        <f>'[17]Table 7.6'!C111</f>
        <v>1195</v>
      </c>
      <c r="AZ101" s="51">
        <f>'[17]Table 7.6'!D111</f>
        <v>66617</v>
      </c>
      <c r="BA101" s="14">
        <f t="shared" si="292"/>
        <v>967.70279600000003</v>
      </c>
      <c r="BB101" s="3">
        <f>'[13]3DNAICS'!AX414</f>
        <v>5610</v>
      </c>
      <c r="BC101" s="52">
        <f t="shared" si="293"/>
        <v>5.7972344641236315</v>
      </c>
      <c r="BD101" s="71"/>
    </row>
    <row r="102" spans="2:64" ht="15" x14ac:dyDescent="0.25">
      <c r="B102" s="6" t="s">
        <v>34</v>
      </c>
      <c r="C102" s="7" t="s">
        <v>35</v>
      </c>
      <c r="D102" s="57">
        <v>943</v>
      </c>
      <c r="E102" s="57">
        <v>36026</v>
      </c>
      <c r="F102" s="57">
        <v>1187</v>
      </c>
      <c r="G102" s="57">
        <v>3917</v>
      </c>
      <c r="H102" s="57">
        <v>419</v>
      </c>
      <c r="I102" s="57">
        <v>1057</v>
      </c>
      <c r="J102" s="57">
        <v>12422</v>
      </c>
      <c r="K102" s="57">
        <v>319</v>
      </c>
      <c r="L102" s="57">
        <v>73</v>
      </c>
      <c r="M102" s="14">
        <f>'[18]Table 4.2'!L140</f>
        <v>598</v>
      </c>
      <c r="N102" s="16">
        <f t="shared" si="294"/>
        <v>820.07928800000002</v>
      </c>
      <c r="O102" s="14"/>
      <c r="P102" s="57">
        <f t="shared" si="311"/>
        <v>7.462669</v>
      </c>
      <c r="Q102" s="57">
        <f t="shared" si="303"/>
        <v>22.816524999999999</v>
      </c>
      <c r="R102" s="57">
        <f t="shared" si="295"/>
        <v>431.57</v>
      </c>
      <c r="S102" s="57">
        <f t="shared" si="312"/>
        <v>3.819998</v>
      </c>
      <c r="T102" s="57">
        <f t="shared" si="314"/>
        <v>273.433064</v>
      </c>
      <c r="U102" s="57">
        <f t="shared" si="315"/>
        <v>7.9112</v>
      </c>
      <c r="V102" s="57">
        <f t="shared" si="307"/>
        <v>73</v>
      </c>
      <c r="W102" s="16">
        <f t="shared" si="308"/>
        <v>820.01345600000002</v>
      </c>
      <c r="X102" s="16">
        <f t="shared" si="309"/>
        <v>820.07928800000002</v>
      </c>
      <c r="Y102" s="16">
        <f t="shared" si="310"/>
        <v>-6.5832000000000335E-2</v>
      </c>
      <c r="Z102" s="16"/>
      <c r="AP102" s="41"/>
      <c r="AQ102" s="41"/>
      <c r="AR102" s="41"/>
      <c r="AS102" s="41"/>
      <c r="AT102" s="41"/>
      <c r="AU102" s="41"/>
      <c r="AV102" s="41"/>
      <c r="AW102" s="41"/>
      <c r="AX102" s="34" t="str">
        <f t="shared" si="291"/>
        <v>331</v>
      </c>
      <c r="AY102" s="51">
        <f>'[17]Table 7.6'!C112</f>
        <v>84</v>
      </c>
      <c r="AZ102" s="51">
        <f>'[17]Table 7.6'!D112</f>
        <v>13703</v>
      </c>
      <c r="BA102" s="14">
        <f t="shared" si="292"/>
        <v>37.245364000000002</v>
      </c>
      <c r="BB102" s="3">
        <f>'[13]3DNAICS'!AX415</f>
        <v>9210</v>
      </c>
      <c r="BC102" s="52">
        <f t="shared" si="293"/>
        <v>247.27909760796001</v>
      </c>
      <c r="BD102" s="71"/>
    </row>
    <row r="103" spans="2:64" ht="15" x14ac:dyDescent="0.25">
      <c r="B103" s="6" t="s">
        <v>36</v>
      </c>
      <c r="C103" s="7" t="s">
        <v>37</v>
      </c>
      <c r="D103" s="57">
        <v>1859</v>
      </c>
      <c r="E103" s="57">
        <v>149593</v>
      </c>
      <c r="F103" s="57">
        <v>6870</v>
      </c>
      <c r="G103" s="57">
        <v>2126</v>
      </c>
      <c r="H103" s="57">
        <v>777</v>
      </c>
      <c r="I103" s="57">
        <v>1472</v>
      </c>
      <c r="J103" s="57">
        <v>2327</v>
      </c>
      <c r="K103" s="57">
        <v>16660</v>
      </c>
      <c r="L103" s="57">
        <v>24</v>
      </c>
      <c r="M103" s="14">
        <f>'[18]Table 4.2'!L141</f>
        <v>917</v>
      </c>
      <c r="N103" s="16">
        <f t="shared" si="294"/>
        <v>1348.5886840000001</v>
      </c>
      <c r="O103" s="14"/>
      <c r="P103" s="57">
        <f t="shared" si="311"/>
        <v>43.191690000000001</v>
      </c>
      <c r="Q103" s="57">
        <f t="shared" si="303"/>
        <v>12.383949999999999</v>
      </c>
      <c r="R103" s="57">
        <f t="shared" si="295"/>
        <v>800.31000000000006</v>
      </c>
      <c r="S103" s="57">
        <f t="shared" si="312"/>
        <v>5.3198080000000001</v>
      </c>
      <c r="T103" s="57">
        <f t="shared" si="314"/>
        <v>51.221923999999994</v>
      </c>
      <c r="U103" s="57">
        <f t="shared" si="315"/>
        <v>413.16800000000001</v>
      </c>
      <c r="V103" s="57">
        <f t="shared" si="307"/>
        <v>24</v>
      </c>
      <c r="W103" s="16">
        <f t="shared" si="308"/>
        <v>1349.595372</v>
      </c>
      <c r="X103" s="16">
        <f t="shared" si="309"/>
        <v>1348.5886840000001</v>
      </c>
      <c r="Y103" s="16">
        <f t="shared" si="310"/>
        <v>1.0066879999999401</v>
      </c>
      <c r="Z103" s="16"/>
      <c r="AP103" s="41"/>
      <c r="AQ103" s="41"/>
      <c r="AR103" s="41"/>
      <c r="AS103" s="41"/>
      <c r="AT103" s="41"/>
      <c r="AU103" s="41"/>
      <c r="AV103" s="41"/>
      <c r="AW103" s="41"/>
      <c r="AX103" s="34" t="str">
        <f t="shared" si="291"/>
        <v>332</v>
      </c>
      <c r="AY103" s="51">
        <f>'[17]Table 7.6'!C113</f>
        <v>1766</v>
      </c>
      <c r="AZ103" s="51">
        <f>'[17]Table 7.6'!D113</f>
        <v>48788</v>
      </c>
      <c r="BA103" s="14">
        <f t="shared" si="292"/>
        <v>1599.5353439999999</v>
      </c>
      <c r="BB103" s="3">
        <f>'[13]3DNAICS'!AX416</f>
        <v>2362</v>
      </c>
      <c r="BC103" s="52">
        <f t="shared" si="293"/>
        <v>1.4766788423025932</v>
      </c>
      <c r="BD103" s="71"/>
    </row>
    <row r="104" spans="2:64" ht="15" x14ac:dyDescent="0.25">
      <c r="B104" s="6" t="s">
        <v>38</v>
      </c>
      <c r="C104" s="7" t="s">
        <v>39</v>
      </c>
      <c r="D104" s="57">
        <v>365</v>
      </c>
      <c r="E104" s="57">
        <v>33900</v>
      </c>
      <c r="F104" s="57">
        <v>478</v>
      </c>
      <c r="G104" s="57">
        <v>747</v>
      </c>
      <c r="H104" s="57">
        <v>213</v>
      </c>
      <c r="I104" s="57">
        <v>1334</v>
      </c>
      <c r="J104" s="59">
        <v>0</v>
      </c>
      <c r="K104" s="59">
        <v>0</v>
      </c>
      <c r="L104" s="59">
        <v>0</v>
      </c>
      <c r="M104" s="14">
        <f>'[18]Table 4.2'!L142</f>
        <v>172.2</v>
      </c>
      <c r="N104" s="16">
        <f t="shared" si="294"/>
        <v>249.33319999999998</v>
      </c>
      <c r="O104" s="14"/>
      <c r="P104" s="57">
        <f t="shared" si="311"/>
        <v>3.0051859999999997</v>
      </c>
      <c r="Q104" s="57">
        <f t="shared" si="303"/>
        <v>4.3512750000000002</v>
      </c>
      <c r="R104" s="57">
        <f t="shared" si="295"/>
        <v>219.39000000000001</v>
      </c>
      <c r="S104" s="57">
        <f t="shared" si="312"/>
        <v>4.8210759999999997</v>
      </c>
      <c r="T104" s="59">
        <f t="shared" si="314"/>
        <v>0</v>
      </c>
      <c r="U104" s="59">
        <v>1</v>
      </c>
      <c r="V104" s="59">
        <v>9</v>
      </c>
      <c r="W104" s="16">
        <f t="shared" si="308"/>
        <v>241.56753700000002</v>
      </c>
      <c r="X104" s="16">
        <f t="shared" si="309"/>
        <v>249.33319999999998</v>
      </c>
      <c r="Y104" s="16">
        <f t="shared" si="310"/>
        <v>-7.7656629999999609</v>
      </c>
      <c r="Z104" s="16"/>
      <c r="AP104" s="41"/>
      <c r="AQ104" s="41"/>
      <c r="AR104" s="41"/>
      <c r="AS104" s="41"/>
      <c r="AT104" s="41"/>
      <c r="AU104" s="41"/>
      <c r="AV104" s="41"/>
      <c r="AW104" s="41"/>
      <c r="AX104" s="34" t="str">
        <f t="shared" si="291"/>
        <v>333</v>
      </c>
      <c r="AY104" s="51">
        <f>'[17]Table 7.6'!C114</f>
        <v>5133</v>
      </c>
      <c r="AZ104" s="51">
        <f>'[17]Table 7.6'!D114</f>
        <v>141054</v>
      </c>
      <c r="BA104" s="14">
        <f t="shared" si="292"/>
        <v>4651.7237519999999</v>
      </c>
      <c r="BB104" s="3">
        <f>'[13]3DNAICS'!AX417</f>
        <v>1157</v>
      </c>
      <c r="BC104" s="52">
        <f t="shared" si="293"/>
        <v>0.24872500210326334</v>
      </c>
      <c r="BD104" s="71"/>
    </row>
    <row r="105" spans="2:64" ht="15" x14ac:dyDescent="0.25">
      <c r="B105" s="6" t="s">
        <v>40</v>
      </c>
      <c r="C105" s="7" t="s">
        <v>41</v>
      </c>
      <c r="D105" s="57">
        <v>244</v>
      </c>
      <c r="E105" s="57">
        <v>32044</v>
      </c>
      <c r="F105" s="56">
        <v>0</v>
      </c>
      <c r="G105" s="57">
        <v>672</v>
      </c>
      <c r="H105" s="57">
        <v>107</v>
      </c>
      <c r="I105" s="57">
        <v>885</v>
      </c>
      <c r="J105" s="56">
        <v>0</v>
      </c>
      <c r="K105" s="57">
        <v>24</v>
      </c>
      <c r="L105" s="57">
        <v>4</v>
      </c>
      <c r="M105" s="14">
        <f>'[18]Table 4.2'!L143</f>
        <v>77.099999999999994</v>
      </c>
      <c r="N105" s="16">
        <f t="shared" si="294"/>
        <v>134.66587199999998</v>
      </c>
      <c r="O105" s="14"/>
      <c r="P105" s="56">
        <f t="shared" si="311"/>
        <v>0</v>
      </c>
      <c r="Q105" s="57">
        <f t="shared" si="303"/>
        <v>3.9143999999999997</v>
      </c>
      <c r="R105" s="57">
        <f t="shared" si="295"/>
        <v>110.21000000000001</v>
      </c>
      <c r="S105" s="57">
        <f t="shared" si="312"/>
        <v>3.1983899999999998</v>
      </c>
      <c r="T105" s="56">
        <f t="shared" si="314"/>
        <v>0</v>
      </c>
      <c r="U105" s="57">
        <f t="shared" ref="U105:U111" si="316">K105*U$2*0.000001</f>
        <v>0.59519999999999995</v>
      </c>
      <c r="V105" s="57">
        <f t="shared" ref="V105:V106" si="317">L105*V$2</f>
        <v>4</v>
      </c>
      <c r="W105" s="16">
        <f t="shared" si="308"/>
        <v>121.91799000000002</v>
      </c>
      <c r="X105" s="16">
        <f t="shared" si="309"/>
        <v>134.66587199999998</v>
      </c>
      <c r="Y105" s="16">
        <f t="shared" si="310"/>
        <v>-12.747881999999962</v>
      </c>
      <c r="Z105" s="16"/>
      <c r="AP105" s="41"/>
      <c r="AQ105" s="41"/>
      <c r="AR105" s="41"/>
      <c r="AS105" s="41"/>
      <c r="AT105" s="41"/>
      <c r="AU105" s="41"/>
      <c r="AV105" s="41"/>
      <c r="AW105" s="41"/>
      <c r="AX105" s="34" t="str">
        <f t="shared" si="291"/>
        <v>334</v>
      </c>
      <c r="AY105" s="51">
        <f>'[17]Table 7.6'!C115</f>
        <v>272</v>
      </c>
      <c r="AZ105" s="51">
        <f>'[17]Table 7.6'!D115</f>
        <v>45764</v>
      </c>
      <c r="BA105" s="14">
        <f t="shared" si="292"/>
        <v>115.85323199999999</v>
      </c>
      <c r="BB105" s="3">
        <f>'[13]3DNAICS'!AX418</f>
        <v>450</v>
      </c>
      <c r="BC105" s="52">
        <f t="shared" si="293"/>
        <v>3.8842248268050046</v>
      </c>
      <c r="BD105" s="71"/>
    </row>
    <row r="106" spans="2:64" ht="15" x14ac:dyDescent="0.25">
      <c r="B106" s="6" t="s">
        <v>42</v>
      </c>
      <c r="C106" s="7" t="s">
        <v>43</v>
      </c>
      <c r="D106" s="57">
        <v>105</v>
      </c>
      <c r="E106" s="57">
        <v>13494</v>
      </c>
      <c r="F106" s="57">
        <v>589</v>
      </c>
      <c r="G106" s="57">
        <v>237</v>
      </c>
      <c r="H106" s="57">
        <v>28</v>
      </c>
      <c r="I106" s="56">
        <v>0</v>
      </c>
      <c r="J106" s="57">
        <v>1065</v>
      </c>
      <c r="K106" s="57">
        <v>0</v>
      </c>
      <c r="L106" s="56">
        <v>0</v>
      </c>
      <c r="M106" s="14">
        <f>'[18]Table 4.2'!L144</f>
        <v>42.500000000000007</v>
      </c>
      <c r="N106" s="16">
        <f t="shared" si="294"/>
        <v>58.958472</v>
      </c>
      <c r="O106" s="14"/>
      <c r="P106" s="57">
        <f t="shared" si="311"/>
        <v>3.7030429999999996</v>
      </c>
      <c r="Q106" s="57">
        <v>1</v>
      </c>
      <c r="R106" s="57">
        <f t="shared" si="295"/>
        <v>28.84</v>
      </c>
      <c r="S106" s="56">
        <f t="shared" si="312"/>
        <v>0</v>
      </c>
      <c r="T106" s="57">
        <v>23</v>
      </c>
      <c r="U106" s="57">
        <f t="shared" si="316"/>
        <v>0</v>
      </c>
      <c r="V106" s="56">
        <f t="shared" si="317"/>
        <v>0</v>
      </c>
      <c r="W106" s="16">
        <f t="shared" si="308"/>
        <v>56.543042999999997</v>
      </c>
      <c r="X106" s="16">
        <f t="shared" si="309"/>
        <v>58.958472</v>
      </c>
      <c r="Y106" s="16">
        <f t="shared" si="310"/>
        <v>-2.4154290000000032</v>
      </c>
      <c r="Z106" s="16"/>
      <c r="AP106" s="41"/>
      <c r="AQ106" s="41"/>
      <c r="AR106" s="41"/>
      <c r="AS106" s="41"/>
      <c r="AT106" s="41"/>
      <c r="AU106" s="41"/>
      <c r="AV106" s="41"/>
      <c r="AW106" s="41"/>
      <c r="AX106" s="34" t="str">
        <f t="shared" si="291"/>
        <v>335</v>
      </c>
      <c r="AY106" s="51">
        <f>'[17]Table 7.6'!C116</f>
        <v>714</v>
      </c>
      <c r="AZ106" s="51">
        <f>'[17]Table 7.6'!D116</f>
        <v>32508</v>
      </c>
      <c r="BA106" s="14">
        <f t="shared" si="292"/>
        <v>603.08270400000004</v>
      </c>
      <c r="BB106" s="3">
        <f>'[13]3DNAICS'!AX419</f>
        <v>517</v>
      </c>
      <c r="BC106" s="52">
        <f t="shared" si="293"/>
        <v>0.85726219069283738</v>
      </c>
      <c r="BD106" s="71"/>
    </row>
    <row r="107" spans="2:64" ht="15" x14ac:dyDescent="0.25">
      <c r="B107" s="6" t="s">
        <v>44</v>
      </c>
      <c r="C107" s="7" t="s">
        <v>45</v>
      </c>
      <c r="D107" s="57">
        <v>230</v>
      </c>
      <c r="E107" s="57">
        <v>33152</v>
      </c>
      <c r="F107" s="57">
        <v>415</v>
      </c>
      <c r="G107" s="57">
        <v>288</v>
      </c>
      <c r="H107" s="57">
        <v>84</v>
      </c>
      <c r="I107" s="57">
        <v>622</v>
      </c>
      <c r="J107" s="56">
        <v>0</v>
      </c>
      <c r="K107" s="56">
        <v>0</v>
      </c>
      <c r="L107" s="56">
        <v>0</v>
      </c>
      <c r="M107" s="14">
        <f>'[18]Table 4.2'!L145</f>
        <v>38.299999999999997</v>
      </c>
      <c r="N107" s="16">
        <f t="shared" si="294"/>
        <v>116.88537599999999</v>
      </c>
      <c r="O107" s="14"/>
      <c r="P107" s="57">
        <f t="shared" si="311"/>
        <v>2.609105</v>
      </c>
      <c r="Q107" s="57">
        <f t="shared" ref="Q107:Q109" si="318">G107*Q$2*0.000001</f>
        <v>1.6776</v>
      </c>
      <c r="R107" s="57">
        <f t="shared" si="295"/>
        <v>86.52</v>
      </c>
      <c r="S107" s="57">
        <f t="shared" si="312"/>
        <v>2.2479079999999998</v>
      </c>
      <c r="T107" s="56">
        <f t="shared" ref="T107:T111" si="319">J107*T$2*0.000001</f>
        <v>0</v>
      </c>
      <c r="U107" s="56">
        <f t="shared" si="316"/>
        <v>0</v>
      </c>
      <c r="V107" s="56">
        <v>7</v>
      </c>
      <c r="W107" s="16">
        <f t="shared" si="308"/>
        <v>100.05461299999999</v>
      </c>
      <c r="X107" s="16">
        <f t="shared" si="309"/>
        <v>116.88537599999999</v>
      </c>
      <c r="Y107" s="16">
        <f t="shared" si="310"/>
        <v>-16.830763000000005</v>
      </c>
      <c r="Z107" s="16"/>
      <c r="AP107" s="41"/>
      <c r="AQ107" s="41"/>
      <c r="AR107" s="41"/>
      <c r="AS107" s="41"/>
      <c r="AT107" s="41"/>
      <c r="AU107" s="41"/>
      <c r="AV107" s="41"/>
      <c r="AW107" s="41"/>
      <c r="AX107" s="34" t="str">
        <f t="shared" si="291"/>
        <v>336</v>
      </c>
      <c r="AY107" s="51">
        <f>'[17]Table 7.6'!C117</f>
        <v>1820</v>
      </c>
      <c r="AZ107" s="51">
        <f>'[17]Table 7.6'!D117</f>
        <v>120608</v>
      </c>
      <c r="BA107" s="14">
        <f t="shared" si="292"/>
        <v>1408.485504</v>
      </c>
      <c r="BB107" s="3">
        <f>'[13]3DNAICS'!AX420</f>
        <v>2040</v>
      </c>
      <c r="BC107" s="52">
        <f t="shared" si="293"/>
        <v>1.4483642140487376</v>
      </c>
      <c r="BD107" s="71"/>
    </row>
    <row r="108" spans="2:64" ht="15" x14ac:dyDescent="0.25">
      <c r="B108" s="6" t="s">
        <v>46</v>
      </c>
      <c r="C108" s="7" t="s">
        <v>47</v>
      </c>
      <c r="D108" s="57">
        <v>356</v>
      </c>
      <c r="E108" s="57">
        <v>38998</v>
      </c>
      <c r="F108" s="57">
        <v>1781</v>
      </c>
      <c r="G108" s="57">
        <v>1103</v>
      </c>
      <c r="H108" s="57">
        <v>150</v>
      </c>
      <c r="I108" s="56">
        <v>0</v>
      </c>
      <c r="J108" s="57">
        <v>1245</v>
      </c>
      <c r="K108" s="56">
        <v>0</v>
      </c>
      <c r="L108" s="57">
        <v>19</v>
      </c>
      <c r="M108" s="14">
        <f>'[18]Table 4.2'!L146</f>
        <v>143</v>
      </c>
      <c r="N108" s="16">
        <f t="shared" si="294"/>
        <v>222.93882399999998</v>
      </c>
      <c r="O108" s="14"/>
      <c r="P108" s="57">
        <f t="shared" si="311"/>
        <v>11.197146999999999</v>
      </c>
      <c r="Q108" s="57">
        <f t="shared" si="318"/>
        <v>6.4249749999999999</v>
      </c>
      <c r="R108" s="57">
        <f t="shared" si="295"/>
        <v>154.5</v>
      </c>
      <c r="S108" s="56">
        <f t="shared" si="312"/>
        <v>0</v>
      </c>
      <c r="T108" s="57">
        <f t="shared" si="319"/>
        <v>27.40494</v>
      </c>
      <c r="U108" s="60">
        <v>4</v>
      </c>
      <c r="V108" s="57">
        <f t="shared" ref="V108:V109" si="320">L108*V$2</f>
        <v>19</v>
      </c>
      <c r="W108" s="16">
        <f t="shared" si="308"/>
        <v>222.527062</v>
      </c>
      <c r="X108" s="16">
        <f t="shared" si="309"/>
        <v>222.93882399999998</v>
      </c>
      <c r="Y108" s="16">
        <f t="shared" si="310"/>
        <v>-0.41176199999998175</v>
      </c>
      <c r="Z108" s="16"/>
      <c r="AP108" s="41"/>
      <c r="AQ108" s="41"/>
      <c r="AR108" s="41"/>
      <c r="AS108" s="41"/>
      <c r="AT108" s="41"/>
      <c r="AU108" s="41"/>
      <c r="AV108" s="41"/>
      <c r="AW108" s="41"/>
      <c r="AX108" s="34" t="str">
        <f t="shared" si="291"/>
        <v>337</v>
      </c>
      <c r="AY108" s="51">
        <f>'[17]Table 7.6'!C118</f>
        <v>300</v>
      </c>
      <c r="AZ108" s="51">
        <f>'[17]Table 7.6'!D118</f>
        <v>37410</v>
      </c>
      <c r="BA108" s="14">
        <f t="shared" si="292"/>
        <v>172.35708</v>
      </c>
      <c r="BB108" s="3">
        <f>'[13]3DNAICS'!AX421</f>
        <v>223</v>
      </c>
      <c r="BC108" s="52">
        <f t="shared" si="293"/>
        <v>1.2938255858128951</v>
      </c>
      <c r="BD108" s="71"/>
    </row>
    <row r="109" spans="2:64" ht="15" x14ac:dyDescent="0.25">
      <c r="B109" s="6" t="s">
        <v>48</v>
      </c>
      <c r="C109" s="7" t="s">
        <v>49</v>
      </c>
      <c r="D109" s="57">
        <v>54</v>
      </c>
      <c r="E109" s="57">
        <v>6678</v>
      </c>
      <c r="F109" s="57">
        <v>60</v>
      </c>
      <c r="G109" s="57">
        <v>153</v>
      </c>
      <c r="H109" s="57">
        <v>23</v>
      </c>
      <c r="I109" s="57">
        <v>211</v>
      </c>
      <c r="J109" s="57">
        <v>115</v>
      </c>
      <c r="K109" s="57">
        <v>0</v>
      </c>
      <c r="L109" s="57">
        <v>3</v>
      </c>
      <c r="M109" s="14">
        <f>'[18]Table 4.2'!L147</f>
        <v>16.299999999999997</v>
      </c>
      <c r="N109" s="16">
        <f t="shared" si="294"/>
        <v>31.214663999999999</v>
      </c>
      <c r="O109" s="14"/>
      <c r="P109" s="57">
        <f t="shared" si="311"/>
        <v>0.37722</v>
      </c>
      <c r="Q109" s="57">
        <f t="shared" si="318"/>
        <v>0.89122499999999993</v>
      </c>
      <c r="R109" s="57">
        <f t="shared" si="295"/>
        <v>23.69</v>
      </c>
      <c r="S109" s="57">
        <f t="shared" si="312"/>
        <v>0.76255399999999995</v>
      </c>
      <c r="T109" s="57">
        <f t="shared" si="319"/>
        <v>2.53138</v>
      </c>
      <c r="U109" s="57">
        <f t="shared" si="316"/>
        <v>0</v>
      </c>
      <c r="V109" s="57">
        <f t="shared" si="320"/>
        <v>3</v>
      </c>
      <c r="W109" s="16">
        <f t="shared" si="308"/>
        <v>31.252379000000001</v>
      </c>
      <c r="X109" s="16">
        <f t="shared" si="309"/>
        <v>31.214663999999999</v>
      </c>
      <c r="Y109" s="16">
        <f t="shared" si="310"/>
        <v>3.7715000000002163E-2</v>
      </c>
      <c r="Z109" s="16"/>
      <c r="AP109" s="41"/>
      <c r="AQ109" s="41"/>
      <c r="AR109" s="41"/>
      <c r="AS109" s="41"/>
      <c r="AT109" s="41"/>
      <c r="AU109" s="41"/>
      <c r="AV109" s="41"/>
      <c r="AW109" s="41"/>
      <c r="AX109" s="34" t="str">
        <f t="shared" si="291"/>
        <v>339</v>
      </c>
      <c r="AY109" s="51">
        <f>'[17]Table 7.6'!C119</f>
        <v>148</v>
      </c>
      <c r="AZ109" s="51">
        <f>'[17]Table 7.6'!D119</f>
        <v>20385</v>
      </c>
      <c r="BA109" s="14">
        <f t="shared" si="292"/>
        <v>78.446380000000005</v>
      </c>
      <c r="BB109" s="3">
        <f>'[13]3DNAICS'!AX422</f>
        <v>266</v>
      </c>
      <c r="BC109" s="52">
        <f t="shared" si="293"/>
        <v>3.3908511775814256</v>
      </c>
      <c r="BD109" s="71"/>
    </row>
    <row r="110" spans="2:64" ht="15" x14ac:dyDescent="0.25">
      <c r="B110" s="6" t="s">
        <v>50</v>
      </c>
      <c r="C110" s="7" t="s">
        <v>51</v>
      </c>
      <c r="D110" s="57">
        <v>50</v>
      </c>
      <c r="E110" s="57">
        <v>5575</v>
      </c>
      <c r="F110" s="57">
        <v>142</v>
      </c>
      <c r="G110" s="57">
        <v>209</v>
      </c>
      <c r="H110" s="57">
        <v>19</v>
      </c>
      <c r="I110" s="56">
        <v>0</v>
      </c>
      <c r="J110" s="57">
        <v>37</v>
      </c>
      <c r="K110" s="57">
        <v>0</v>
      </c>
      <c r="L110" s="56">
        <v>0</v>
      </c>
      <c r="M110" s="14">
        <f>'[18]Table 4.2'!L148</f>
        <v>17.400000000000006</v>
      </c>
      <c r="N110" s="16">
        <f t="shared" si="294"/>
        <v>30.978099999999998</v>
      </c>
      <c r="O110" s="14"/>
      <c r="P110" s="57">
        <f t="shared" si="311"/>
        <v>0.89275399999999994</v>
      </c>
      <c r="Q110" s="57">
        <v>1</v>
      </c>
      <c r="R110" s="57">
        <f t="shared" si="295"/>
        <v>19.57</v>
      </c>
      <c r="S110" s="56">
        <v>1</v>
      </c>
      <c r="T110" s="57">
        <f t="shared" si="319"/>
        <v>0.81444399999999995</v>
      </c>
      <c r="U110" s="57">
        <f t="shared" si="316"/>
        <v>0</v>
      </c>
      <c r="V110" s="56">
        <v>1</v>
      </c>
      <c r="W110" s="16">
        <f t="shared" si="308"/>
        <v>24.277197999999999</v>
      </c>
      <c r="X110" s="16">
        <f t="shared" si="309"/>
        <v>30.978099999999998</v>
      </c>
      <c r="Y110" s="16">
        <f t="shared" si="310"/>
        <v>-6.7009019999999992</v>
      </c>
      <c r="Z110" s="16"/>
      <c r="AP110" s="41"/>
      <c r="AQ110" s="41"/>
      <c r="AR110" s="41"/>
      <c r="AS110" s="41"/>
      <c r="AT110" s="41"/>
      <c r="AU110" s="41"/>
      <c r="AV110" s="41"/>
      <c r="AW110" s="41"/>
      <c r="AX110" s="34"/>
      <c r="AY110" s="51">
        <f>'[17]Table 7.6'!C120</f>
        <v>145</v>
      </c>
      <c r="AZ110" s="51">
        <f>'[17]Table 7.6'!D120</f>
        <v>29491</v>
      </c>
      <c r="BA110" s="14">
        <f t="shared" si="292"/>
        <v>44.376707999999994</v>
      </c>
      <c r="BD110" s="71"/>
    </row>
    <row r="111" spans="2:64" ht="15" x14ac:dyDescent="0.25">
      <c r="B111" s="6"/>
      <c r="C111" s="8" t="s">
        <v>0</v>
      </c>
      <c r="D111" s="58">
        <v>12066</v>
      </c>
      <c r="E111" s="58">
        <v>803603</v>
      </c>
      <c r="F111" s="58">
        <v>63291</v>
      </c>
      <c r="G111" s="58">
        <v>25298</v>
      </c>
      <c r="H111" s="58">
        <v>5929</v>
      </c>
      <c r="I111" s="58">
        <v>18443</v>
      </c>
      <c r="J111" s="58">
        <v>54143</v>
      </c>
      <c r="K111" s="58">
        <v>17294</v>
      </c>
      <c r="L111" s="58">
        <v>978</v>
      </c>
      <c r="M111" s="14">
        <f>'[18]Table 4.2'!L149</f>
        <v>0</v>
      </c>
      <c r="N111" s="16">
        <f t="shared" si="294"/>
        <v>9324.1065639999997</v>
      </c>
      <c r="O111" s="14"/>
      <c r="P111" s="58">
        <f t="shared" si="311"/>
        <v>397.91051699999997</v>
      </c>
      <c r="Q111" s="58">
        <f t="shared" ref="Q111" si="321">G111*Q$2*0.000001</f>
        <v>147.36085</v>
      </c>
      <c r="R111" s="58">
        <f t="shared" si="295"/>
        <v>6106.87</v>
      </c>
      <c r="S111" s="58">
        <f t="shared" ref="S111" si="322">I111*S$59*0.000001</f>
        <v>66.653002000000001</v>
      </c>
      <c r="T111" s="58">
        <f t="shared" si="319"/>
        <v>1191.7957159999999</v>
      </c>
      <c r="U111" s="58">
        <f t="shared" si="316"/>
        <v>428.89119999999997</v>
      </c>
      <c r="V111" s="58">
        <f t="shared" ref="V111" si="323">L111*V$2</f>
        <v>978</v>
      </c>
      <c r="W111" s="16">
        <f t="shared" si="308"/>
        <v>9317.4812849999998</v>
      </c>
      <c r="X111" s="16">
        <f t="shared" si="309"/>
        <v>9324.1065639999997</v>
      </c>
      <c r="Y111" s="16">
        <f t="shared" si="310"/>
        <v>-6.625278999999864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P111" s="41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57"/>
      <c r="BB111" s="34"/>
      <c r="BC111" s="34"/>
      <c r="BD111" s="34"/>
    </row>
    <row r="112" spans="2:64" ht="15" x14ac:dyDescent="0.25">
      <c r="B112" s="6"/>
      <c r="C112" s="8" t="s">
        <v>52</v>
      </c>
      <c r="D112" s="53">
        <f>SUM(D90:D110)</f>
        <v>12065</v>
      </c>
      <c r="E112" s="53">
        <f t="shared" ref="E112:L112" si="324">SUM(E90:E110)</f>
        <v>803600</v>
      </c>
      <c r="F112" s="53">
        <f t="shared" si="324"/>
        <v>62539</v>
      </c>
      <c r="G112" s="53">
        <f t="shared" si="324"/>
        <v>21509</v>
      </c>
      <c r="H112" s="53">
        <f t="shared" si="324"/>
        <v>5921</v>
      </c>
      <c r="I112" s="53">
        <f t="shared" si="324"/>
        <v>10500</v>
      </c>
      <c r="J112" s="53">
        <f t="shared" si="324"/>
        <v>52160</v>
      </c>
      <c r="K112" s="53">
        <f t="shared" si="324"/>
        <v>17097</v>
      </c>
      <c r="L112" s="53">
        <f t="shared" si="324"/>
        <v>874.5</v>
      </c>
      <c r="M112" s="14"/>
      <c r="N112" s="16"/>
      <c r="O112" s="14"/>
      <c r="P112" s="53">
        <f t="shared" ref="P112:Y112" si="325">SUM(P90:P110)</f>
        <v>394.18269299999992</v>
      </c>
      <c r="Q112" s="53">
        <f t="shared" si="325"/>
        <v>124.691975</v>
      </c>
      <c r="R112" s="53">
        <f t="shared" si="325"/>
        <v>6098.63</v>
      </c>
      <c r="S112" s="53">
        <f t="shared" si="325"/>
        <v>39.194590000000005</v>
      </c>
      <c r="T112" s="53">
        <f t="shared" si="325"/>
        <v>1151.7031399999998</v>
      </c>
      <c r="U112" s="53">
        <f t="shared" si="325"/>
        <v>431.77439999999996</v>
      </c>
      <c r="V112" s="53">
        <f t="shared" si="325"/>
        <v>896.5</v>
      </c>
      <c r="W112" s="21">
        <f t="shared" si="325"/>
        <v>9136.6767979999986</v>
      </c>
      <c r="X112" s="21">
        <f t="shared" si="325"/>
        <v>9323.116799999998</v>
      </c>
      <c r="Y112" s="21">
        <f t="shared" si="325"/>
        <v>-186.44000200000005</v>
      </c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BL112">
        <f>SUM(BL90:BL111)</f>
        <v>0</v>
      </c>
    </row>
    <row r="113" spans="2:75" x14ac:dyDescent="0.2"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2:75" ht="15" x14ac:dyDescent="0.25">
      <c r="C114" s="8" t="s">
        <v>142</v>
      </c>
      <c r="D114" s="57">
        <v>51</v>
      </c>
      <c r="E114" s="57">
        <v>2311</v>
      </c>
      <c r="F114" s="56">
        <v>0</v>
      </c>
      <c r="G114" s="57">
        <v>21</v>
      </c>
      <c r="H114" s="57">
        <v>21</v>
      </c>
      <c r="I114" s="56">
        <v>0</v>
      </c>
      <c r="J114" s="57">
        <v>789</v>
      </c>
      <c r="K114" s="57">
        <v>0</v>
      </c>
      <c r="L114" s="57">
        <v>0.5</v>
      </c>
      <c r="S114">
        <v>3606</v>
      </c>
    </row>
    <row r="115" spans="2:75" x14ac:dyDescent="0.2">
      <c r="P115" s="33" t="s">
        <v>147</v>
      </c>
    </row>
    <row r="116" spans="2:75" ht="26.25" x14ac:dyDescent="0.25">
      <c r="AA116" s="33">
        <v>1994</v>
      </c>
      <c r="AP116" t="s">
        <v>173</v>
      </c>
      <c r="BH116" s="78">
        <v>1994</v>
      </c>
      <c r="BP116" s="11" t="s">
        <v>85</v>
      </c>
      <c r="BQ116">
        <v>1994</v>
      </c>
    </row>
    <row r="117" spans="2:75" ht="51" x14ac:dyDescent="0.2">
      <c r="B117" s="33" t="s">
        <v>146</v>
      </c>
      <c r="F117" s="35" t="s">
        <v>58</v>
      </c>
      <c r="G117" s="35" t="s">
        <v>54</v>
      </c>
      <c r="H117" s="35" t="s">
        <v>60</v>
      </c>
      <c r="I117" s="35" t="s">
        <v>68</v>
      </c>
      <c r="J117" s="35" t="s">
        <v>62</v>
      </c>
      <c r="K117" s="35" t="s">
        <v>63</v>
      </c>
      <c r="L117" s="35" t="s">
        <v>64</v>
      </c>
      <c r="M117" s="35" t="s">
        <v>137</v>
      </c>
      <c r="N117" s="35" t="s">
        <v>66</v>
      </c>
      <c r="P117" s="35" t="s">
        <v>58</v>
      </c>
      <c r="Q117" s="35" t="s">
        <v>54</v>
      </c>
      <c r="R117" s="35" t="s">
        <v>60</v>
      </c>
      <c r="S117" s="35" t="s">
        <v>68</v>
      </c>
      <c r="T117" s="35" t="s">
        <v>62</v>
      </c>
      <c r="U117" s="35" t="s">
        <v>63</v>
      </c>
      <c r="V117" s="35" t="s">
        <v>64</v>
      </c>
      <c r="W117" s="35" t="s">
        <v>137</v>
      </c>
      <c r="X117" s="35" t="s">
        <v>66</v>
      </c>
      <c r="Y117" s="35" t="s">
        <v>138</v>
      </c>
      <c r="Z117" s="61"/>
      <c r="AB117" s="40" t="str">
        <f t="shared" ref="AB117:AH117" si="326">P89</f>
        <v>Fuel Oil</v>
      </c>
      <c r="AC117" s="40" t="str">
        <f t="shared" si="326"/>
        <v>Distillate</v>
      </c>
      <c r="AD117" s="40" t="str">
        <f t="shared" si="326"/>
        <v>Natural Gas(d)</v>
      </c>
      <c r="AE117" s="40" t="str">
        <f t="shared" si="326"/>
        <v>LPG</v>
      </c>
      <c r="AF117" s="40" t="str">
        <f t="shared" si="326"/>
        <v>Coal</v>
      </c>
      <c r="AG117" s="40" t="str">
        <f t="shared" si="326"/>
        <v>and Breeze</v>
      </c>
      <c r="AH117" s="40" t="str">
        <f t="shared" si="326"/>
        <v>Other(f)</v>
      </c>
      <c r="AI117" s="40" t="str">
        <f t="shared" ref="AI117" si="327">W117</f>
        <v xml:space="preserve"> Calc. Total</v>
      </c>
      <c r="AJ117" s="40" t="s">
        <v>171</v>
      </c>
      <c r="AK117" s="40"/>
      <c r="AP117" t="s">
        <v>2</v>
      </c>
      <c r="AQ117" t="s">
        <v>58</v>
      </c>
      <c r="AR117" t="s">
        <v>54</v>
      </c>
      <c r="AS117" t="s">
        <v>60</v>
      </c>
      <c r="AT117" t="s">
        <v>68</v>
      </c>
      <c r="AU117" t="s">
        <v>62</v>
      </c>
      <c r="AV117" t="s">
        <v>140</v>
      </c>
      <c r="AW117" t="s">
        <v>64</v>
      </c>
      <c r="AY117" s="77" t="s">
        <v>171</v>
      </c>
      <c r="AZ117" s="77" t="s">
        <v>186</v>
      </c>
      <c r="BA117" s="77" t="s">
        <v>187</v>
      </c>
      <c r="BB117" s="35"/>
      <c r="BC117" s="77" t="s">
        <v>192</v>
      </c>
      <c r="BD117" s="77" t="s">
        <v>190</v>
      </c>
      <c r="BH117" s="11" t="s">
        <v>76</v>
      </c>
      <c r="BI117" s="11" t="s">
        <v>72</v>
      </c>
      <c r="BJ117" s="11" t="s">
        <v>73</v>
      </c>
      <c r="BK117" s="11" t="s">
        <v>74</v>
      </c>
      <c r="BL117" s="18" t="s">
        <v>195</v>
      </c>
      <c r="BM117" s="12" t="s">
        <v>77</v>
      </c>
      <c r="BN117" s="11" t="s">
        <v>93</v>
      </c>
      <c r="BP117" t="s">
        <v>53</v>
      </c>
      <c r="BQ117" t="s">
        <v>54</v>
      </c>
      <c r="BR117" t="s">
        <v>67</v>
      </c>
      <c r="BS117" t="s">
        <v>68</v>
      </c>
      <c r="BT117" t="s">
        <v>71</v>
      </c>
      <c r="BU117" t="s">
        <v>56</v>
      </c>
      <c r="BV117" t="s">
        <v>69</v>
      </c>
    </row>
    <row r="118" spans="2:75" ht="15" x14ac:dyDescent="0.25">
      <c r="B118" s="6" t="s">
        <v>10</v>
      </c>
      <c r="C118" s="7" t="s">
        <v>11</v>
      </c>
      <c r="D118" s="57">
        <v>1081</v>
      </c>
      <c r="E118" s="57">
        <v>59743</v>
      </c>
      <c r="F118" s="57">
        <v>4785</v>
      </c>
      <c r="G118" s="57">
        <v>3177</v>
      </c>
      <c r="H118" s="57">
        <v>609</v>
      </c>
      <c r="I118" s="57">
        <v>1707</v>
      </c>
      <c r="J118" s="57">
        <v>7500</v>
      </c>
      <c r="K118" s="57">
        <v>94</v>
      </c>
      <c r="L118" s="57">
        <v>28</v>
      </c>
      <c r="M118" s="14" t="e">
        <f>'[18]Table 4.2'!L156</f>
        <v>#REF!</v>
      </c>
      <c r="N118" s="16">
        <f>D118-0.003412*E118</f>
        <v>877.15688399999999</v>
      </c>
      <c r="P118" s="57">
        <f t="shared" ref="P118:P120" si="328">F118*P$2*0.000001</f>
        <v>30.083295</v>
      </c>
      <c r="Q118" s="57">
        <f t="shared" ref="Q118:Q120" si="329">G118*Q$2*0.000001</f>
        <v>18.506024999999998</v>
      </c>
      <c r="R118" s="57">
        <f>H118*R$59*0.001</f>
        <v>627.27</v>
      </c>
      <c r="S118" s="57">
        <f>I118*S$114*0.000001</f>
        <v>6.1554419999999999</v>
      </c>
      <c r="T118" s="57">
        <f>J118*T$2*0.000001</f>
        <v>165.09</v>
      </c>
      <c r="U118" s="57">
        <v>2</v>
      </c>
      <c r="V118" s="57">
        <v>28</v>
      </c>
      <c r="W118" s="57">
        <f>SUM(P118:V118)</f>
        <v>877.10476200000005</v>
      </c>
      <c r="X118" s="57">
        <f>N118</f>
        <v>877.15688399999999</v>
      </c>
      <c r="Y118" s="16">
        <f>W118-X118</f>
        <v>-5.2121999999940272E-2</v>
      </c>
      <c r="Z118" s="16"/>
      <c r="AA118">
        <v>311</v>
      </c>
      <c r="AB118" s="16">
        <f>P118-P87*P118</f>
        <v>27.163466275191105</v>
      </c>
      <c r="AC118" s="16">
        <f t="shared" ref="AC118:AH118" si="330">Q118-Q87*Q118</f>
        <v>18.144140492245445</v>
      </c>
      <c r="AD118" s="16">
        <f t="shared" si="330"/>
        <v>599.50352112676057</v>
      </c>
      <c r="AE118" s="16">
        <f t="shared" si="330"/>
        <v>6.1209818628411474</v>
      </c>
      <c r="AF118" s="16">
        <f t="shared" si="330"/>
        <v>148.22994792420079</v>
      </c>
      <c r="AG118" s="16">
        <f t="shared" si="330"/>
        <v>2</v>
      </c>
      <c r="AH118" s="16">
        <f t="shared" si="330"/>
        <v>27.575757575757574</v>
      </c>
      <c r="AI118" s="16">
        <f>SUM(AB118:AH118)</f>
        <v>828.73781525699678</v>
      </c>
      <c r="AJ118" s="16">
        <f>AI118-AG118-AH118</f>
        <v>799.16205768123916</v>
      </c>
      <c r="AK118" s="16"/>
      <c r="AL118" s="16"/>
      <c r="AM118" s="16"/>
      <c r="AN118" s="16"/>
      <c r="AP118" s="2"/>
      <c r="AQ118" s="4">
        <f>MECS_EnergyPrices!F100</f>
        <v>2.79</v>
      </c>
      <c r="AR118" s="4">
        <f>MECS_EnergyPrices!F69</f>
        <v>5.47</v>
      </c>
      <c r="AS118" s="5">
        <f>MECS_EnergyPrices!F11</f>
        <v>2.85</v>
      </c>
      <c r="AT118">
        <f>MECS_EnergyPrices!F40</f>
        <v>7.15</v>
      </c>
      <c r="AU118" s="48">
        <f>MECS_EnergyPrices!F129</f>
        <v>1.46</v>
      </c>
      <c r="AV118" s="47"/>
      <c r="AW118" s="41"/>
      <c r="AX118" s="34" t="str">
        <f>AX5</f>
        <v>311</v>
      </c>
      <c r="AY118" s="16">
        <f>AJ118</f>
        <v>799.16205768123916</v>
      </c>
      <c r="BA118">
        <f>BC118/(AY118+AY119)</f>
        <v>1.1678918018085849</v>
      </c>
      <c r="BB118">
        <f>MECS_Total_Fuel!I86</f>
        <v>985.09035199999994</v>
      </c>
      <c r="BC118">
        <f>MECS_Total_Fuel!S86</f>
        <v>1008.5825527109854</v>
      </c>
      <c r="BD118" s="3">
        <f>BA118*AY118</f>
        <v>933.33481548239865</v>
      </c>
      <c r="BF118" t="str">
        <f t="shared" ref="BF118:BF138" si="331">B90</f>
        <v>311</v>
      </c>
      <c r="BG118" s="9" t="str">
        <f t="shared" ref="BG118:BG138" si="332">C90</f>
        <v>Food</v>
      </c>
      <c r="BH118" s="4">
        <f>'[6]Table 7.6'!BG104</f>
        <v>0</v>
      </c>
      <c r="BI118" s="4">
        <f>'[6]Table 7.6'!BH104</f>
        <v>0</v>
      </c>
      <c r="BJ118">
        <f t="shared" ref="BJ118:BJ138" si="333">E90*AP90</f>
        <v>0</v>
      </c>
      <c r="BK118" s="4">
        <f>AI118</f>
        <v>828.73781525699678</v>
      </c>
      <c r="BL118" s="14">
        <f>SUMPRODUCT(AB118:AF118,AQ118:AU118)</f>
        <v>2143.8002989002807</v>
      </c>
      <c r="BM118" s="4">
        <f>BL118/BK118</f>
        <v>2.5868257239299197</v>
      </c>
      <c r="BN118" s="3">
        <f>'[13]3DNAICS'!AX172</f>
        <v>5548</v>
      </c>
      <c r="BP118" s="17">
        <f>AB118/$AJ118</f>
        <v>3.398993485001732E-2</v>
      </c>
      <c r="BQ118" s="17">
        <f t="shared" ref="BQ118:BQ120" si="334">AC118/$AJ118</f>
        <v>2.2703956372616699E-2</v>
      </c>
      <c r="BR118" s="17">
        <f t="shared" ref="BR118:BR120" si="335">AD118/$AJ118</f>
        <v>0.75016514531009415</v>
      </c>
      <c r="BS118" s="17">
        <f t="shared" ref="BS118:BS120" si="336">AE118/$AJ118</f>
        <v>7.6592498405155971E-3</v>
      </c>
      <c r="BT118" s="17">
        <f t="shared" ref="BT118:BT120" si="337">AF118/$AJ118</f>
        <v>0.18548171362675617</v>
      </c>
      <c r="BU118" s="17">
        <v>0</v>
      </c>
      <c r="BV118" s="17">
        <v>0</v>
      </c>
      <c r="BW118">
        <f>SUM(BP118:BV118)</f>
        <v>0.99999999999999989</v>
      </c>
    </row>
    <row r="119" spans="2:75" ht="15" x14ac:dyDescent="0.25">
      <c r="B119" s="6" t="s">
        <v>12</v>
      </c>
      <c r="C119" s="7" t="s">
        <v>13</v>
      </c>
      <c r="D119" s="57">
        <v>21</v>
      </c>
      <c r="E119" s="57">
        <v>1259</v>
      </c>
      <c r="F119" s="57">
        <v>133</v>
      </c>
      <c r="G119" s="56">
        <f>G63/$N63*$N119</f>
        <v>31.831062030612468</v>
      </c>
      <c r="H119" s="56">
        <f t="shared" ref="H119:L119" si="338">H63/$N63*$N119</f>
        <v>3.1831062030612469</v>
      </c>
      <c r="I119" s="56">
        <f t="shared" si="338"/>
        <v>18.302860667602168</v>
      </c>
      <c r="J119" s="56">
        <f t="shared" si="338"/>
        <v>550.67737312959559</v>
      </c>
      <c r="K119" s="57">
        <v>0</v>
      </c>
      <c r="L119" s="56">
        <f t="shared" si="338"/>
        <v>0.39788827538265586</v>
      </c>
      <c r="M119" s="14" t="e">
        <f>'[18]Table 4.2'!L157</f>
        <v>#REF!</v>
      </c>
      <c r="N119" s="16">
        <f t="shared" ref="N119:N139" si="339">D119-0.003412*E119</f>
        <v>16.704291999999999</v>
      </c>
      <c r="P119" s="57">
        <f t="shared" si="328"/>
        <v>0.836171</v>
      </c>
      <c r="Q119" s="56">
        <f t="shared" si="329"/>
        <v>0.1854159363283176</v>
      </c>
      <c r="R119" s="56">
        <f t="shared" ref="R119:R139" si="340">H119*R$59*0.001</f>
        <v>3.2785993891530842</v>
      </c>
      <c r="S119" s="56">
        <f t="shared" ref="S119:S140" si="341">I119*S$114*0.000001</f>
        <v>6.600011556737341E-2</v>
      </c>
      <c r="T119" s="56">
        <f t="shared" ref="T119:T120" si="342">J119*T$2*0.000001</f>
        <v>12.121510337328656</v>
      </c>
      <c r="U119" s="57">
        <f t="shared" ref="U119:U120" si="343">K119*U$2*0.000001</f>
        <v>0</v>
      </c>
      <c r="V119" s="56">
        <f t="shared" ref="V119:V120" si="344">L119*V$2</f>
        <v>0.39788827538265586</v>
      </c>
      <c r="W119" s="57">
        <f t="shared" ref="W119:W120" si="345">SUM(P119:V119)</f>
        <v>16.885585053760089</v>
      </c>
      <c r="X119" s="57">
        <f t="shared" ref="X119:X120" si="346">N119</f>
        <v>16.704291999999999</v>
      </c>
      <c r="Y119" s="16">
        <f t="shared" ref="Y119:Y120" si="347">W119-X119</f>
        <v>0.18129305376008986</v>
      </c>
      <c r="Z119" s="16"/>
      <c r="AA119">
        <v>312</v>
      </c>
      <c r="AB119" s="16">
        <f>P119+P87*P118</f>
        <v>3.7559997248088948</v>
      </c>
      <c r="AC119" s="16">
        <f t="shared" ref="AC119:AH119" si="348">Q119+Q87*Q118</f>
        <v>0.54730044408286904</v>
      </c>
      <c r="AD119" s="16">
        <f t="shared" si="348"/>
        <v>31.045078262392519</v>
      </c>
      <c r="AE119" s="16">
        <f t="shared" si="348"/>
        <v>0.10046025272622576</v>
      </c>
      <c r="AF119" s="16">
        <f t="shared" si="348"/>
        <v>28.981562413127875</v>
      </c>
      <c r="AG119" s="16">
        <f t="shared" si="348"/>
        <v>0</v>
      </c>
      <c r="AH119" s="16">
        <f t="shared" si="348"/>
        <v>0.82213069962508012</v>
      </c>
      <c r="AI119" s="16">
        <f t="shared" ref="AI119:AI138" si="349">SUM(AB119:AH119)</f>
        <v>65.252531796763463</v>
      </c>
      <c r="AJ119" s="16">
        <f t="shared" ref="AJ119:AJ138" si="350">AI119-AG119-AH119</f>
        <v>64.430401097138386</v>
      </c>
      <c r="AK119" s="16"/>
      <c r="AL119" s="16"/>
      <c r="AM119" s="16"/>
      <c r="AN119" s="16"/>
      <c r="AP119" s="2"/>
      <c r="AQ119" s="4">
        <f>MECS_EnergyPrices!F101</f>
        <v>2.8289999999999997</v>
      </c>
      <c r="AR119" s="4">
        <f>MECS_EnergyPrices!F70</f>
        <v>5.08</v>
      </c>
      <c r="AS119" s="5">
        <f>MECS_EnergyPrices!F12</f>
        <v>3.3780000000000001</v>
      </c>
      <c r="AT119">
        <f>MECS_EnergyPrices!F41</f>
        <v>7.0659999999999998</v>
      </c>
      <c r="AU119" s="48">
        <f>MECS_EnergyPrices!F130</f>
        <v>1.6219999999999999</v>
      </c>
      <c r="AV119" s="47"/>
      <c r="AW119" s="41"/>
      <c r="AX119" s="34" t="str">
        <f t="shared" ref="AX119:AX138" si="351">AX6</f>
        <v>312</v>
      </c>
      <c r="AY119" s="16">
        <f t="shared" ref="AY119:AY138" si="352">AJ119</f>
        <v>64.430401097138386</v>
      </c>
      <c r="BA119">
        <f>BA118</f>
        <v>1.1678918018085849</v>
      </c>
      <c r="BB119">
        <f>MECS_Total_Fuel!I87</f>
        <v>17.127096000000002</v>
      </c>
      <c r="BC119">
        <f>MECS_Total_Fuel!S87</f>
        <v>192.94392268146368</v>
      </c>
      <c r="BD119" s="3">
        <f t="shared" ref="BD119:BD120" si="353">BA119*AY119</f>
        <v>75.247737228586772</v>
      </c>
      <c r="BF119" t="str">
        <f t="shared" si="331"/>
        <v>312</v>
      </c>
      <c r="BG119" s="9" t="str">
        <f t="shared" si="332"/>
        <v>Beverage and Tobacco Products</v>
      </c>
      <c r="BH119" s="4">
        <f>'[6]Table 7.6'!BG105</f>
        <v>0</v>
      </c>
      <c r="BI119" s="4">
        <f>'[6]Table 7.6'!BH105</f>
        <v>0</v>
      </c>
      <c r="BJ119">
        <f t="shared" si="333"/>
        <v>0</v>
      </c>
      <c r="BK119" s="4">
        <f t="shared" ref="BK119:BK138" si="354">AI119</f>
        <v>65.252531796763463</v>
      </c>
      <c r="BL119" s="14">
        <f t="shared" ref="BL119:BL138" si="355">SUMPRODUCT(AB119:AF119,AQ119:AU119)</f>
        <v>165.99423022764418</v>
      </c>
      <c r="BM119" s="4">
        <f t="shared" ref="BM119:BM120" si="356">BL119/BK119</f>
        <v>2.5438741709617085</v>
      </c>
      <c r="BN119" s="3">
        <f>'[13]3DNAICS'!AX173</f>
        <v>102</v>
      </c>
      <c r="BP119" s="17">
        <f t="shared" ref="BP119:BP120" si="357">AB119/$AJ119</f>
        <v>5.8295457747440813E-2</v>
      </c>
      <c r="BQ119" s="17">
        <f t="shared" si="334"/>
        <v>8.4944441562257618E-3</v>
      </c>
      <c r="BR119" s="17">
        <f t="shared" si="335"/>
        <v>0.48183897249975921</v>
      </c>
      <c r="BS119" s="17">
        <f t="shared" si="336"/>
        <v>1.5592057633595517E-3</v>
      </c>
      <c r="BT119" s="17">
        <f t="shared" si="337"/>
        <v>0.44981191983321461</v>
      </c>
      <c r="BU119" s="17">
        <v>0</v>
      </c>
      <c r="BV119" s="17">
        <v>0</v>
      </c>
      <c r="BW119">
        <f t="shared" ref="BW119:BW138" si="358">SUM(BP119:BV119)</f>
        <v>1</v>
      </c>
    </row>
    <row r="120" spans="2:75" ht="15" x14ac:dyDescent="0.25">
      <c r="B120" s="6" t="s">
        <v>14</v>
      </c>
      <c r="C120" s="7" t="s">
        <v>15</v>
      </c>
      <c r="D120" s="57">
        <v>311</v>
      </c>
      <c r="E120" s="57">
        <v>32692</v>
      </c>
      <c r="F120" s="57">
        <v>2680</v>
      </c>
      <c r="G120" s="56">
        <f>G64/$N64*$N120</f>
        <v>1239.0894468165923</v>
      </c>
      <c r="H120" s="57">
        <v>113</v>
      </c>
      <c r="I120" s="56">
        <f>I64/$N64*$N120</f>
        <v>732.50682523274111</v>
      </c>
      <c r="J120" s="57">
        <v>1821</v>
      </c>
      <c r="K120" s="57">
        <v>0</v>
      </c>
      <c r="L120" s="57">
        <v>14</v>
      </c>
      <c r="M120" s="14" t="e">
        <f>'[18]Table 4.2'!L158</f>
        <v>#REF!</v>
      </c>
      <c r="N120" s="16">
        <f t="shared" si="339"/>
        <v>199.45489599999999</v>
      </c>
      <c r="P120" s="57">
        <f t="shared" si="328"/>
        <v>16.849159999999998</v>
      </c>
      <c r="Q120" s="56">
        <f t="shared" si="329"/>
        <v>7.2176960277066495</v>
      </c>
      <c r="R120" s="57">
        <f t="shared" si="340"/>
        <v>116.39</v>
      </c>
      <c r="S120" s="60">
        <f t="shared" si="341"/>
        <v>2.6414196117892641</v>
      </c>
      <c r="T120" s="57">
        <f t="shared" si="342"/>
        <v>40.083852</v>
      </c>
      <c r="U120" s="57">
        <f t="shared" si="343"/>
        <v>0</v>
      </c>
      <c r="V120" s="57">
        <f t="shared" si="344"/>
        <v>14</v>
      </c>
      <c r="W120" s="57">
        <f t="shared" si="345"/>
        <v>197.18212763949592</v>
      </c>
      <c r="X120" s="57">
        <f t="shared" si="346"/>
        <v>199.45489599999999</v>
      </c>
      <c r="Y120" s="16">
        <f t="shared" si="347"/>
        <v>-2.2727683605040738</v>
      </c>
      <c r="Z120" s="16"/>
      <c r="AA120">
        <v>313</v>
      </c>
      <c r="AB120" s="16">
        <f t="shared" ref="AB120:AB131" si="359">P120</f>
        <v>16.849159999999998</v>
      </c>
      <c r="AC120" s="16">
        <f t="shared" ref="AC120:AC131" si="360">Q120</f>
        <v>7.2176960277066495</v>
      </c>
      <c r="AD120" s="16">
        <f t="shared" ref="AD120:AD131" si="361">R120</f>
        <v>116.39</v>
      </c>
      <c r="AE120" s="16">
        <f t="shared" ref="AE120:AE131" si="362">S120</f>
        <v>2.6414196117892641</v>
      </c>
      <c r="AF120" s="16">
        <f t="shared" ref="AF120:AF131" si="363">T120</f>
        <v>40.083852</v>
      </c>
      <c r="AG120" s="16">
        <f t="shared" ref="AG120:AG131" si="364">U120</f>
        <v>0</v>
      </c>
      <c r="AH120" s="16">
        <f t="shared" ref="AH120:AH131" si="365">V120</f>
        <v>14</v>
      </c>
      <c r="AI120" s="16">
        <f t="shared" si="349"/>
        <v>197.18212763949592</v>
      </c>
      <c r="AJ120" s="16">
        <f t="shared" si="350"/>
        <v>183.18212763949592</v>
      </c>
      <c r="AK120" s="16"/>
      <c r="AL120" s="16"/>
      <c r="AM120" s="16"/>
      <c r="AN120" s="16"/>
      <c r="AP120" s="2"/>
      <c r="AQ120" s="4">
        <f>MECS_EnergyPrices!F102</f>
        <v>2.94</v>
      </c>
      <c r="AR120" s="4">
        <f>MECS_EnergyPrices!F71</f>
        <v>4.32</v>
      </c>
      <c r="AS120" s="5">
        <f>MECS_EnergyPrices!F13</f>
        <v>3.46</v>
      </c>
      <c r="AT120">
        <f>MECS_EnergyPrices!F42</f>
        <v>5.77</v>
      </c>
      <c r="AU120" s="48">
        <f>MECS_EnergyPrices!F131</f>
        <v>1.88</v>
      </c>
      <c r="AV120" s="47"/>
      <c r="AW120" s="41"/>
      <c r="AX120" s="34" t="str">
        <f t="shared" si="351"/>
        <v>313</v>
      </c>
      <c r="AY120" s="16">
        <f t="shared" si="352"/>
        <v>183.18212763949592</v>
      </c>
      <c r="BA120">
        <f>BC119/AY120</f>
        <v>1.0532901062333933</v>
      </c>
      <c r="BB120">
        <f>MECS_Total_Fuel!I88</f>
        <v>198.72103200000001</v>
      </c>
      <c r="BC120">
        <f>MECS_Total_Fuel!S88</f>
        <v>39.957336159874167</v>
      </c>
      <c r="BD120" s="3">
        <f t="shared" si="353"/>
        <v>192.94392268146365</v>
      </c>
      <c r="BF120" t="str">
        <f t="shared" si="331"/>
        <v>313</v>
      </c>
      <c r="BG120" s="9" t="str">
        <f t="shared" si="332"/>
        <v>Textile Mills</v>
      </c>
      <c r="BH120" s="4">
        <f>'[6]Table 7.6'!BG106</f>
        <v>0</v>
      </c>
      <c r="BI120" s="4">
        <f>'[6]Table 7.6'!BH106</f>
        <v>0</v>
      </c>
      <c r="BJ120">
        <f t="shared" si="333"/>
        <v>0</v>
      </c>
      <c r="BK120" s="4">
        <f t="shared" si="354"/>
        <v>197.18212763949592</v>
      </c>
      <c r="BL120" s="14">
        <f t="shared" si="355"/>
        <v>574.02501015971677</v>
      </c>
      <c r="BM120" s="4">
        <f t="shared" si="356"/>
        <v>2.9111411720295211</v>
      </c>
      <c r="BN120" s="3">
        <f>'[13]3DNAICS'!AX174</f>
        <v>2102</v>
      </c>
      <c r="BP120" s="17">
        <f t="shared" si="357"/>
        <v>9.1980370667815892E-2</v>
      </c>
      <c r="BQ120" s="17">
        <f t="shared" si="334"/>
        <v>3.94017479800821E-2</v>
      </c>
      <c r="BR120" s="17">
        <f t="shared" si="335"/>
        <v>0.63537857923048346</v>
      </c>
      <c r="BS120" s="17">
        <f t="shared" si="336"/>
        <v>1.4419636051982111E-2</v>
      </c>
      <c r="BT120" s="17">
        <f t="shared" si="337"/>
        <v>0.21881966606963635</v>
      </c>
      <c r="BU120" s="17">
        <v>0</v>
      </c>
      <c r="BV120" s="17">
        <v>0</v>
      </c>
      <c r="BW120">
        <f t="shared" si="358"/>
        <v>0.99999999999999989</v>
      </c>
    </row>
    <row r="121" spans="2:75" ht="15" x14ac:dyDescent="0.25">
      <c r="B121" s="6" t="s">
        <v>16</v>
      </c>
      <c r="C121" s="7" t="s">
        <v>17</v>
      </c>
      <c r="D121" s="57"/>
      <c r="E121" s="57"/>
      <c r="F121" s="57"/>
      <c r="G121" s="57"/>
      <c r="H121" s="57"/>
      <c r="I121" s="57"/>
      <c r="J121" s="57"/>
      <c r="K121" s="57"/>
      <c r="L121" s="57"/>
      <c r="M121" s="14" t="e">
        <f>'[18]Table 4.2'!L159</f>
        <v>#REF!</v>
      </c>
      <c r="N121" s="16">
        <f t="shared" si="339"/>
        <v>0</v>
      </c>
      <c r="P121" s="57"/>
      <c r="Q121" s="57"/>
      <c r="R121" s="57"/>
      <c r="S121" s="57">
        <f t="shared" si="341"/>
        <v>0</v>
      </c>
      <c r="T121" s="57"/>
      <c r="U121" s="57"/>
      <c r="V121" s="57"/>
      <c r="W121" s="57"/>
      <c r="X121" s="57"/>
      <c r="Y121" s="16"/>
      <c r="Z121" s="16"/>
      <c r="AA121">
        <v>314</v>
      </c>
      <c r="AB121" s="16">
        <f t="shared" si="359"/>
        <v>0</v>
      </c>
      <c r="AC121" s="16">
        <f t="shared" si="360"/>
        <v>0</v>
      </c>
      <c r="AD121" s="16">
        <f t="shared" si="361"/>
        <v>0</v>
      </c>
      <c r="AE121" s="16">
        <f t="shared" si="362"/>
        <v>0</v>
      </c>
      <c r="AF121" s="16">
        <f t="shared" si="363"/>
        <v>0</v>
      </c>
      <c r="AG121" s="16">
        <f t="shared" si="364"/>
        <v>0</v>
      </c>
      <c r="AH121" s="16">
        <f t="shared" si="365"/>
        <v>0</v>
      </c>
      <c r="AI121" s="16">
        <f t="shared" si="349"/>
        <v>0</v>
      </c>
      <c r="AJ121" s="16">
        <f t="shared" si="350"/>
        <v>0</v>
      </c>
      <c r="AK121" s="16"/>
      <c r="AL121" s="16"/>
      <c r="AM121" s="16" t="s">
        <v>152</v>
      </c>
      <c r="AN121" s="16" t="s">
        <v>168</v>
      </c>
      <c r="AP121" s="2"/>
      <c r="AQ121" s="4">
        <f>MECS_EnergyPrices!F103</f>
        <v>2.94</v>
      </c>
      <c r="AR121" s="4">
        <f>MECS_EnergyPrices!F72</f>
        <v>4.32</v>
      </c>
      <c r="AS121" s="5">
        <f>MECS_EnergyPrices!F14</f>
        <v>3.46</v>
      </c>
      <c r="AT121">
        <f>MECS_EnergyPrices!F43</f>
        <v>5.77</v>
      </c>
      <c r="AU121" s="48">
        <f>MECS_EnergyPrices!F132</f>
        <v>1.88</v>
      </c>
      <c r="AV121" s="47"/>
      <c r="AW121" s="41"/>
      <c r="AX121" s="34" t="str">
        <f t="shared" si="351"/>
        <v>314</v>
      </c>
      <c r="AY121" s="16">
        <f t="shared" si="352"/>
        <v>0</v>
      </c>
      <c r="BA121">
        <f>BA120</f>
        <v>1.0532901062333933</v>
      </c>
      <c r="BB121">
        <f>MECS_Total_Fuel!I89</f>
        <v>0</v>
      </c>
      <c r="BD121" s="3"/>
      <c r="BF121" t="str">
        <f t="shared" si="331"/>
        <v>314</v>
      </c>
      <c r="BG121" s="9" t="str">
        <f t="shared" si="332"/>
        <v>Textile Product Mills</v>
      </c>
      <c r="BH121" s="4">
        <f>'[6]Table 7.6'!BG107</f>
        <v>0</v>
      </c>
      <c r="BI121" s="4">
        <f>'[6]Table 7.6'!BH107</f>
        <v>0</v>
      </c>
      <c r="BJ121">
        <f t="shared" si="333"/>
        <v>0</v>
      </c>
      <c r="BK121" s="4">
        <f t="shared" si="354"/>
        <v>0</v>
      </c>
      <c r="BL121" s="14">
        <f t="shared" si="355"/>
        <v>0</v>
      </c>
      <c r="BM121" s="70">
        <f>BM120</f>
        <v>2.9111411720295211</v>
      </c>
      <c r="BN121" s="3">
        <f>'[13]3DNAICS'!AX175</f>
        <v>0</v>
      </c>
      <c r="BP121" s="17">
        <f>BP120</f>
        <v>9.1980370667815892E-2</v>
      </c>
      <c r="BQ121" s="17">
        <f t="shared" ref="BQ121" si="366">BQ120</f>
        <v>3.94017479800821E-2</v>
      </c>
      <c r="BR121" s="17">
        <f t="shared" ref="BR121" si="367">BR120</f>
        <v>0.63537857923048346</v>
      </c>
      <c r="BS121" s="17">
        <f t="shared" ref="BS121" si="368">BS120</f>
        <v>1.4419636051982111E-2</v>
      </c>
      <c r="BT121" s="17">
        <f t="shared" ref="BT121" si="369">BT120</f>
        <v>0.21881966606963635</v>
      </c>
      <c r="BU121" s="17">
        <v>0</v>
      </c>
      <c r="BV121" s="17">
        <v>0</v>
      </c>
      <c r="BW121">
        <f t="shared" si="358"/>
        <v>0.99999999999999989</v>
      </c>
    </row>
    <row r="122" spans="2:75" ht="15" x14ac:dyDescent="0.25">
      <c r="B122" s="6" t="s">
        <v>18</v>
      </c>
      <c r="C122" s="7" t="s">
        <v>19</v>
      </c>
      <c r="D122" s="57">
        <v>56</v>
      </c>
      <c r="E122" s="57">
        <v>7748</v>
      </c>
      <c r="F122" s="56">
        <f>F66/$N66*$N122</f>
        <v>0</v>
      </c>
      <c r="G122" s="57">
        <v>106</v>
      </c>
      <c r="H122" s="57">
        <v>24</v>
      </c>
      <c r="I122" s="56">
        <f>I66/$N66*$N122</f>
        <v>188.81260765277543</v>
      </c>
      <c r="J122" s="56">
        <f>J66/$N66*$N122</f>
        <v>105.16145236357112</v>
      </c>
      <c r="K122" s="57">
        <v>0</v>
      </c>
      <c r="L122" s="57">
        <v>1</v>
      </c>
      <c r="M122" s="14" t="e">
        <f>'[18]Table 4.2'!L160</f>
        <v>#REF!</v>
      </c>
      <c r="N122" s="16">
        <f t="shared" si="339"/>
        <v>29.563824</v>
      </c>
      <c r="P122" s="56">
        <v>1</v>
      </c>
      <c r="Q122" s="57">
        <f t="shared" ref="Q122:Q133" si="370">G122*Q$2*0.000001</f>
        <v>0.61744999999999994</v>
      </c>
      <c r="R122" s="57">
        <f t="shared" si="340"/>
        <v>24.72</v>
      </c>
      <c r="S122" s="56">
        <f t="shared" si="341"/>
        <v>0.68085826319590814</v>
      </c>
      <c r="T122" s="56">
        <f t="shared" ref="T122:T126" si="371">J122*T$2*0.000001</f>
        <v>2.3148138894269272</v>
      </c>
      <c r="U122" s="57">
        <f t="shared" ref="U122:U124" si="372">K122*U$2*0.000001</f>
        <v>0</v>
      </c>
      <c r="V122" s="57">
        <f t="shared" ref="V122:V131" si="373">L122*V$2</f>
        <v>1</v>
      </c>
      <c r="W122" s="57">
        <f t="shared" ref="W122:W139" si="374">SUM(P122:V122)</f>
        <v>30.333122152622831</v>
      </c>
      <c r="X122" s="57">
        <f t="shared" ref="X122:X139" si="375">N122</f>
        <v>29.563824</v>
      </c>
      <c r="Y122" s="16">
        <f t="shared" ref="Y122:Y139" si="376">W122-X122</f>
        <v>0.76929815262283086</v>
      </c>
      <c r="Z122" s="16"/>
      <c r="AA122">
        <v>315</v>
      </c>
      <c r="AB122" s="16">
        <f t="shared" si="359"/>
        <v>1</v>
      </c>
      <c r="AC122" s="16">
        <f t="shared" si="360"/>
        <v>0.61744999999999994</v>
      </c>
      <c r="AD122" s="16">
        <f t="shared" si="361"/>
        <v>24.72</v>
      </c>
      <c r="AE122" s="16">
        <f t="shared" si="362"/>
        <v>0.68085826319590814</v>
      </c>
      <c r="AF122" s="16">
        <f t="shared" si="363"/>
        <v>2.3148138894269272</v>
      </c>
      <c r="AG122" s="16">
        <f t="shared" si="364"/>
        <v>0</v>
      </c>
      <c r="AH122" s="16">
        <f t="shared" si="365"/>
        <v>1</v>
      </c>
      <c r="AI122" s="16">
        <f t="shared" si="349"/>
        <v>30.333122152622831</v>
      </c>
      <c r="AJ122" s="16">
        <f t="shared" si="350"/>
        <v>29.333122152622831</v>
      </c>
      <c r="AK122" s="16"/>
      <c r="AL122" s="16"/>
      <c r="AM122" s="64" t="s">
        <v>153</v>
      </c>
      <c r="AN122" s="68">
        <f>MECS_Total_Fuel!AQ140</f>
        <v>5.3999999999999999E-2</v>
      </c>
      <c r="AP122" s="2"/>
      <c r="AQ122" s="4">
        <f>MECS_EnergyPrices!F104</f>
        <v>3.14</v>
      </c>
      <c r="AR122" s="4">
        <f>MECS_EnergyPrices!F73</f>
        <v>5.15</v>
      </c>
      <c r="AS122" s="5">
        <f>MECS_EnergyPrices!F15</f>
        <v>4.01</v>
      </c>
      <c r="AT122">
        <f>MECS_EnergyPrices!F44</f>
        <v>8.01</v>
      </c>
      <c r="AU122" s="48">
        <f>MECS_EnergyPrices!F133</f>
        <v>2.4</v>
      </c>
      <c r="AV122" s="47"/>
      <c r="AW122" s="41"/>
      <c r="AX122" s="34" t="str">
        <f t="shared" si="351"/>
        <v>315</v>
      </c>
      <c r="AY122" s="16">
        <f t="shared" si="352"/>
        <v>29.333122152622831</v>
      </c>
      <c r="AZ122">
        <f>BB122</f>
        <v>29.608180000000001</v>
      </c>
      <c r="BA122">
        <f>AZ122/AY122*$BB$13</f>
        <v>1.1509195928891223</v>
      </c>
      <c r="BB122">
        <f>MECS_Total_Fuel!I90</f>
        <v>29.608180000000001</v>
      </c>
      <c r="BD122" s="3">
        <f t="shared" ref="BD122:BD138" si="377">BA122*AY122</f>
        <v>33.760065006063563</v>
      </c>
      <c r="BF122" t="str">
        <f t="shared" si="331"/>
        <v>315</v>
      </c>
      <c r="BG122" s="9" t="str">
        <f t="shared" si="332"/>
        <v>Apparel</v>
      </c>
      <c r="BH122" s="4">
        <f>'[6]Table 7.6'!BG108</f>
        <v>0</v>
      </c>
      <c r="BI122" s="4">
        <f>'[6]Table 7.6'!BH108</f>
        <v>0</v>
      </c>
      <c r="BJ122">
        <f t="shared" si="333"/>
        <v>0</v>
      </c>
      <c r="BK122" s="4">
        <f t="shared" si="354"/>
        <v>30.333122152622831</v>
      </c>
      <c r="BL122" s="14">
        <f t="shared" si="355"/>
        <v>116.45629552282384</v>
      </c>
      <c r="BM122" s="4">
        <f t="shared" ref="BM122:BM138" si="378">BL122/BK122</f>
        <v>3.8392452625505333</v>
      </c>
      <c r="BN122" s="3">
        <f>'[13]3DNAICS'!AX176</f>
        <v>685</v>
      </c>
      <c r="BP122" s="17">
        <f t="shared" ref="BP122:BP138" si="379">AB122/$AJ122</f>
        <v>3.4091154524803442E-2</v>
      </c>
      <c r="BQ122" s="17">
        <f t="shared" ref="BQ122:BQ138" si="380">AC122/$AJ122</f>
        <v>2.1049583361339885E-2</v>
      </c>
      <c r="BR122" s="17">
        <f t="shared" ref="BR122:BR138" si="381">AD122/$AJ122</f>
        <v>0.84273333985314114</v>
      </c>
      <c r="BS122" s="17">
        <f t="shared" ref="BS122:BS138" si="382">AE122/$AJ122</f>
        <v>2.3211244260100999E-2</v>
      </c>
      <c r="BT122" s="17">
        <f t="shared" ref="BT122:BU138" si="383">AF122/$AJ122</f>
        <v>7.8914678000614649E-2</v>
      </c>
      <c r="BU122" s="17">
        <v>0</v>
      </c>
      <c r="BV122" s="17">
        <v>0</v>
      </c>
      <c r="BW122">
        <f t="shared" si="358"/>
        <v>1.0000000000000002</v>
      </c>
    </row>
    <row r="123" spans="2:75" ht="15" x14ac:dyDescent="0.25">
      <c r="B123" s="6" t="s">
        <v>20</v>
      </c>
      <c r="C123" s="7" t="s">
        <v>21</v>
      </c>
      <c r="D123" s="57">
        <v>10</v>
      </c>
      <c r="E123" s="57">
        <v>827</v>
      </c>
      <c r="F123" s="57">
        <v>250</v>
      </c>
      <c r="G123" s="56">
        <f>G67/$N67*$N123</f>
        <v>170.03795655647511</v>
      </c>
      <c r="H123" s="56">
        <f>H67/$N67*$N123</f>
        <v>3.8644990126471614</v>
      </c>
      <c r="I123" s="56">
        <f>I67/$N67*$N123</f>
        <v>34.007591311295023</v>
      </c>
      <c r="J123" s="57">
        <v>0</v>
      </c>
      <c r="K123" s="57">
        <v>0</v>
      </c>
      <c r="L123" s="29">
        <v>0.5</v>
      </c>
      <c r="M123" s="14" t="e">
        <f>'[18]Table 4.2'!L161</f>
        <v>#REF!</v>
      </c>
      <c r="N123" s="16">
        <f t="shared" si="339"/>
        <v>7.1782760000000003</v>
      </c>
      <c r="P123" s="57">
        <f t="shared" ref="P123:P139" si="384">F123*P$2*0.000001</f>
        <v>1.57175</v>
      </c>
      <c r="Q123" s="56">
        <f t="shared" si="370"/>
        <v>0.9904710969414674</v>
      </c>
      <c r="R123" s="56">
        <f t="shared" si="340"/>
        <v>3.9804339830265763</v>
      </c>
      <c r="S123" s="56">
        <f t="shared" si="341"/>
        <v>0.12263137426852984</v>
      </c>
      <c r="T123" s="57">
        <f t="shared" si="371"/>
        <v>0</v>
      </c>
      <c r="U123" s="57">
        <f t="shared" si="372"/>
        <v>0</v>
      </c>
      <c r="V123" s="29">
        <f t="shared" si="373"/>
        <v>0.5</v>
      </c>
      <c r="W123" s="57">
        <f t="shared" si="374"/>
        <v>7.1652864542365737</v>
      </c>
      <c r="X123" s="57">
        <f t="shared" si="375"/>
        <v>7.1782760000000003</v>
      </c>
      <c r="Y123" s="16">
        <f t="shared" si="376"/>
        <v>-1.2989545763426591E-2</v>
      </c>
      <c r="Z123" s="16"/>
      <c r="AA123">
        <v>316</v>
      </c>
      <c r="AB123" s="16">
        <f t="shared" si="359"/>
        <v>1.57175</v>
      </c>
      <c r="AC123" s="16">
        <f t="shared" si="360"/>
        <v>0.9904710969414674</v>
      </c>
      <c r="AD123" s="16">
        <f t="shared" si="361"/>
        <v>3.9804339830265763</v>
      </c>
      <c r="AE123" s="16">
        <f t="shared" si="362"/>
        <v>0.12263137426852984</v>
      </c>
      <c r="AF123" s="16">
        <f t="shared" si="363"/>
        <v>0</v>
      </c>
      <c r="AG123" s="16">
        <f t="shared" si="364"/>
        <v>0</v>
      </c>
      <c r="AH123" s="16">
        <f t="shared" si="365"/>
        <v>0.5</v>
      </c>
      <c r="AI123" s="16">
        <f t="shared" si="349"/>
        <v>7.1652864542365737</v>
      </c>
      <c r="AJ123" s="16">
        <f t="shared" si="350"/>
        <v>6.6652864542365737</v>
      </c>
      <c r="AK123" s="16"/>
      <c r="AL123" s="16"/>
      <c r="AM123" s="64" t="s">
        <v>154</v>
      </c>
      <c r="AN123" s="68">
        <f>MECS_Total_Fuel!AQ141</f>
        <v>0.02</v>
      </c>
      <c r="AP123" s="2"/>
      <c r="AQ123" s="4">
        <f>MECS_EnergyPrices!F105</f>
        <v>2.23</v>
      </c>
      <c r="AR123" s="4">
        <f>MECS_EnergyPrices!F74</f>
        <v>3.57</v>
      </c>
      <c r="AS123" s="5">
        <f>MECS_EnergyPrices!F16</f>
        <v>3.57</v>
      </c>
      <c r="AT123">
        <f>MECS_EnergyPrices!F45</f>
        <v>8.36</v>
      </c>
      <c r="AU123" s="48">
        <f>MECS_EnergyPrices!F134</f>
        <v>1.75</v>
      </c>
      <c r="AV123" s="47"/>
      <c r="AW123" s="41"/>
      <c r="AX123" s="34" t="str">
        <f t="shared" si="351"/>
        <v>316</v>
      </c>
      <c r="AY123" s="16">
        <f t="shared" si="352"/>
        <v>6.6652864542365737</v>
      </c>
      <c r="AZ123">
        <f>BB123</f>
        <v>7.1748639999999995</v>
      </c>
      <c r="BA123">
        <f>AZ123/AY123*$BB$14</f>
        <v>0.9256098013437053</v>
      </c>
      <c r="BB123">
        <f>MECS_Total_Fuel!I91</f>
        <v>7.1748639999999995</v>
      </c>
      <c r="BD123" s="3">
        <f t="shared" si="377"/>
        <v>6.1694544708048049</v>
      </c>
      <c r="BF123" t="str">
        <f t="shared" si="331"/>
        <v>316</v>
      </c>
      <c r="BG123" s="9" t="str">
        <f t="shared" si="332"/>
        <v>Leather and Allied Products</v>
      </c>
      <c r="BH123" s="4">
        <f>'[6]Table 7.6'!BG109</f>
        <v>0</v>
      </c>
      <c r="BI123" s="4">
        <f>'[6]Table 7.6'!BH109</f>
        <v>0</v>
      </c>
      <c r="BJ123">
        <f t="shared" si="333"/>
        <v>0</v>
      </c>
      <c r="BK123" s="4">
        <f t="shared" si="354"/>
        <v>7.1652864542365737</v>
      </c>
      <c r="BL123" s="14">
        <f t="shared" si="355"/>
        <v>22.276331924370822</v>
      </c>
      <c r="BM123" s="4">
        <f t="shared" si="378"/>
        <v>3.1089241255943976</v>
      </c>
      <c r="BN123" s="3">
        <f>'[13]3DNAICS'!AX177</f>
        <v>1674</v>
      </c>
      <c r="BP123" s="17">
        <f t="shared" si="379"/>
        <v>0.23581132045734779</v>
      </c>
      <c r="BQ123" s="17">
        <f t="shared" si="380"/>
        <v>0.14860142977229532</v>
      </c>
      <c r="BR123" s="17">
        <f t="shared" si="381"/>
        <v>0.59718873455116728</v>
      </c>
      <c r="BS123" s="17">
        <f t="shared" si="382"/>
        <v>1.8398515219189594E-2</v>
      </c>
      <c r="BT123" s="17">
        <f t="shared" si="383"/>
        <v>0</v>
      </c>
      <c r="BU123" s="17">
        <v>0</v>
      </c>
      <c r="BV123" s="17">
        <v>0</v>
      </c>
      <c r="BW123">
        <f t="shared" si="358"/>
        <v>0.99999999999999989</v>
      </c>
    </row>
    <row r="124" spans="2:75" ht="15" x14ac:dyDescent="0.25">
      <c r="B124" s="6" t="s">
        <v>22</v>
      </c>
      <c r="C124" s="7" t="s">
        <v>23</v>
      </c>
      <c r="D124" s="57">
        <v>210</v>
      </c>
      <c r="E124" s="57">
        <v>20832</v>
      </c>
      <c r="F124" s="56">
        <v>0</v>
      </c>
      <c r="G124" s="57">
        <v>3793</v>
      </c>
      <c r="H124" s="57">
        <v>47</v>
      </c>
      <c r="I124" s="56">
        <f>I68/$N68*$N124</f>
        <v>1066.9004631745156</v>
      </c>
      <c r="J124" s="56">
        <f>J68/$N68*$N124</f>
        <v>98.154842612055447</v>
      </c>
      <c r="K124" s="57">
        <v>0</v>
      </c>
      <c r="L124" s="57">
        <v>61</v>
      </c>
      <c r="M124" s="14" t="e">
        <f>'[18]Table 4.2'!L162</f>
        <v>#REF!</v>
      </c>
      <c r="N124" s="16">
        <f t="shared" si="339"/>
        <v>138.92121600000002</v>
      </c>
      <c r="P124" s="60">
        <v>2</v>
      </c>
      <c r="Q124" s="57">
        <f t="shared" si="370"/>
        <v>22.094224999999998</v>
      </c>
      <c r="R124" s="57">
        <f t="shared" si="340"/>
        <v>48.410000000000004</v>
      </c>
      <c r="S124" s="60">
        <f t="shared" si="341"/>
        <v>3.8472430702073033</v>
      </c>
      <c r="T124" s="56">
        <f t="shared" si="371"/>
        <v>2.1605843955765645</v>
      </c>
      <c r="U124" s="57">
        <f t="shared" si="372"/>
        <v>0</v>
      </c>
      <c r="V124" s="57">
        <f t="shared" si="373"/>
        <v>61</v>
      </c>
      <c r="W124" s="57">
        <f t="shared" si="374"/>
        <v>139.51205246578388</v>
      </c>
      <c r="X124" s="57">
        <f t="shared" si="375"/>
        <v>138.92121600000002</v>
      </c>
      <c r="Y124" s="16">
        <f t="shared" si="376"/>
        <v>0.59083646578386606</v>
      </c>
      <c r="Z124" s="16"/>
      <c r="AA124">
        <v>321</v>
      </c>
      <c r="AB124" s="16">
        <f t="shared" si="359"/>
        <v>2</v>
      </c>
      <c r="AC124" s="16">
        <f t="shared" si="360"/>
        <v>22.094224999999998</v>
      </c>
      <c r="AD124" s="16">
        <f t="shared" si="361"/>
        <v>48.410000000000004</v>
      </c>
      <c r="AE124" s="16">
        <f t="shared" si="362"/>
        <v>3.8472430702073033</v>
      </c>
      <c r="AF124" s="16">
        <f t="shared" si="363"/>
        <v>2.1605843955765645</v>
      </c>
      <c r="AG124" s="16">
        <f t="shared" si="364"/>
        <v>0</v>
      </c>
      <c r="AH124" s="16">
        <f t="shared" si="365"/>
        <v>61</v>
      </c>
      <c r="AI124" s="16">
        <f t="shared" si="349"/>
        <v>139.51205246578388</v>
      </c>
      <c r="AJ124" s="16">
        <f t="shared" si="350"/>
        <v>78.512052465783881</v>
      </c>
      <c r="AK124" s="16"/>
      <c r="AL124" s="16"/>
      <c r="AM124" s="64" t="s">
        <v>155</v>
      </c>
      <c r="AN124" s="68">
        <f>MECS_Total_Fuel!AQ142</f>
        <v>0.22199999999999998</v>
      </c>
      <c r="AP124" s="2"/>
      <c r="AQ124" s="4">
        <f>MECS_EnergyPrices!F106</f>
        <v>2.61</v>
      </c>
      <c r="AR124" s="4">
        <f>MECS_EnergyPrices!F75</f>
        <v>6.14</v>
      </c>
      <c r="AS124" s="5">
        <f>MECS_EnergyPrices!F17</f>
        <v>3.24</v>
      </c>
      <c r="AT124">
        <f>MECS_EnergyPrices!F46</f>
        <v>6.56</v>
      </c>
      <c r="AU124" s="48">
        <f>MECS_EnergyPrices!F135</f>
        <v>2.5</v>
      </c>
      <c r="AV124" s="47"/>
      <c r="AW124" s="41"/>
      <c r="AX124" s="34" t="str">
        <f t="shared" si="351"/>
        <v>321</v>
      </c>
      <c r="AY124" s="16">
        <f t="shared" si="352"/>
        <v>78.512052465783881</v>
      </c>
      <c r="AZ124">
        <f>MECS_Total_Fuel!S89</f>
        <v>319.45866435321039</v>
      </c>
      <c r="BA124">
        <f>AZ124/AY124</f>
        <v>4.0689124066961924</v>
      </c>
      <c r="BD124" s="3">
        <f t="shared" si="377"/>
        <v>319.45866435321039</v>
      </c>
      <c r="BF124" t="str">
        <f t="shared" si="331"/>
        <v>321</v>
      </c>
      <c r="BG124" s="9" t="str">
        <f t="shared" si="332"/>
        <v>Wood Products</v>
      </c>
      <c r="BH124" s="4">
        <f>'[6]Table 7.6'!BG110</f>
        <v>0</v>
      </c>
      <c r="BI124" s="4">
        <f>'[6]Table 7.6'!BH110</f>
        <v>0</v>
      </c>
      <c r="BJ124">
        <f t="shared" si="333"/>
        <v>0</v>
      </c>
      <c r="BK124" s="4">
        <f t="shared" si="354"/>
        <v>139.51205246578388</v>
      </c>
      <c r="BL124" s="14">
        <f t="shared" si="355"/>
        <v>328.36631702950137</v>
      </c>
      <c r="BM124" s="4">
        <f t="shared" si="378"/>
        <v>2.3536770567548997</v>
      </c>
      <c r="BN124" s="3">
        <f>'[13]3DNAICS'!AX178</f>
        <v>6058</v>
      </c>
      <c r="BP124" s="17">
        <f t="shared" si="379"/>
        <v>2.5473795897408419E-2</v>
      </c>
      <c r="BQ124" s="17">
        <f t="shared" si="380"/>
        <v>0.28141188908070924</v>
      </c>
      <c r="BR124" s="17">
        <f t="shared" si="381"/>
        <v>0.61659322969677088</v>
      </c>
      <c r="BS124" s="17">
        <f t="shared" si="382"/>
        <v>4.9001942369089883E-2</v>
      </c>
      <c r="BT124" s="17">
        <f t="shared" si="383"/>
        <v>2.7519142956021467E-2</v>
      </c>
      <c r="BU124" s="17">
        <v>0</v>
      </c>
      <c r="BV124" s="17">
        <v>0</v>
      </c>
      <c r="BW124">
        <f t="shared" si="358"/>
        <v>0.99999999999999978</v>
      </c>
    </row>
    <row r="125" spans="2:75" ht="15" x14ac:dyDescent="0.25">
      <c r="B125" s="6" t="s">
        <v>24</v>
      </c>
      <c r="C125" s="7" t="s">
        <v>25</v>
      </c>
      <c r="D125" s="57">
        <v>1621</v>
      </c>
      <c r="E125" s="57">
        <v>72248</v>
      </c>
      <c r="F125" s="57">
        <v>27444</v>
      </c>
      <c r="G125" s="57">
        <v>1558</v>
      </c>
      <c r="H125" s="57">
        <v>558</v>
      </c>
      <c r="I125" s="57">
        <v>1315</v>
      </c>
      <c r="J125" s="57">
        <v>13812</v>
      </c>
      <c r="K125" s="57">
        <v>0</v>
      </c>
      <c r="L125" s="57">
        <v>306</v>
      </c>
      <c r="M125" s="14" t="e">
        <f>'[18]Table 4.2'!L163</f>
        <v>#REF!</v>
      </c>
      <c r="N125" s="16">
        <f t="shared" si="339"/>
        <v>1374.489824</v>
      </c>
      <c r="P125" s="57">
        <f t="shared" si="384"/>
        <v>172.54042799999999</v>
      </c>
      <c r="Q125" s="57">
        <f t="shared" si="370"/>
        <v>9.0753500000000003</v>
      </c>
      <c r="R125" s="57">
        <f t="shared" si="340"/>
        <v>574.74</v>
      </c>
      <c r="S125" s="57">
        <f t="shared" si="341"/>
        <v>4.7418899999999997</v>
      </c>
      <c r="T125" s="57">
        <f t="shared" si="371"/>
        <v>304.02974399999999</v>
      </c>
      <c r="U125" s="57">
        <v>3</v>
      </c>
      <c r="V125" s="57">
        <f t="shared" si="373"/>
        <v>306</v>
      </c>
      <c r="W125" s="57">
        <f t="shared" si="374"/>
        <v>1374.127412</v>
      </c>
      <c r="X125" s="57">
        <f t="shared" si="375"/>
        <v>1374.489824</v>
      </c>
      <c r="Y125" s="16">
        <f t="shared" si="376"/>
        <v>-0.36241199999994933</v>
      </c>
      <c r="Z125" s="16"/>
      <c r="AA125">
        <v>322</v>
      </c>
      <c r="AB125" s="16">
        <f t="shared" si="359"/>
        <v>172.54042799999999</v>
      </c>
      <c r="AC125" s="16">
        <f t="shared" si="360"/>
        <v>9.0753500000000003</v>
      </c>
      <c r="AD125" s="16">
        <f t="shared" si="361"/>
        <v>574.74</v>
      </c>
      <c r="AE125" s="16">
        <f t="shared" si="362"/>
        <v>4.7418899999999997</v>
      </c>
      <c r="AF125" s="16">
        <f t="shared" si="363"/>
        <v>304.02974399999999</v>
      </c>
      <c r="AG125" s="16">
        <f t="shared" si="364"/>
        <v>3</v>
      </c>
      <c r="AH125" s="16">
        <f t="shared" si="365"/>
        <v>306</v>
      </c>
      <c r="AI125" s="16">
        <f t="shared" si="349"/>
        <v>1374.127412</v>
      </c>
      <c r="AJ125" s="16">
        <f t="shared" si="350"/>
        <v>1065.127412</v>
      </c>
      <c r="AK125" s="16"/>
      <c r="AL125" s="16"/>
      <c r="AM125" s="64" t="s">
        <v>156</v>
      </c>
      <c r="AN125" s="68">
        <f>MECS_Total_Fuel!AQ143</f>
        <v>0.13400000000000001</v>
      </c>
      <c r="AP125" s="2"/>
      <c r="AQ125" s="4">
        <f>MECS_EnergyPrices!F107</f>
        <v>2.4900000000000002</v>
      </c>
      <c r="AR125" s="4">
        <f>MECS_EnergyPrices!F76</f>
        <v>4.59</v>
      </c>
      <c r="AS125" s="5">
        <f>MECS_EnergyPrices!F18</f>
        <v>2.5299999999999998</v>
      </c>
      <c r="AT125">
        <f>MECS_EnergyPrices!F47</f>
        <v>7.18</v>
      </c>
      <c r="AU125" s="48">
        <f>MECS_EnergyPrices!F136</f>
        <v>1.83</v>
      </c>
      <c r="AV125" s="47"/>
      <c r="AW125" s="41"/>
      <c r="AX125" s="34" t="str">
        <f t="shared" si="351"/>
        <v>322</v>
      </c>
      <c r="AY125" s="16">
        <f t="shared" si="352"/>
        <v>1065.127412</v>
      </c>
      <c r="AZ125">
        <f>MECS_Total_Fuel!S90</f>
        <v>2406.5414497255788</v>
      </c>
      <c r="BA125">
        <f t="shared" ref="BA125:BA138" si="385">AZ125/AY125</f>
        <v>2.2593930290525455</v>
      </c>
      <c r="BD125" s="3">
        <f t="shared" si="377"/>
        <v>2406.5414497255788</v>
      </c>
      <c r="BF125" t="str">
        <f t="shared" si="331"/>
        <v>322</v>
      </c>
      <c r="BG125" s="9" t="str">
        <f t="shared" si="332"/>
        <v>Paper</v>
      </c>
      <c r="BH125" s="4">
        <f>'[6]Table 7.6'!BG111</f>
        <v>0</v>
      </c>
      <c r="BI125" s="4">
        <f>'[6]Table 7.6'!BH111</f>
        <v>0</v>
      </c>
      <c r="BJ125">
        <f t="shared" si="333"/>
        <v>0</v>
      </c>
      <c r="BK125" s="4">
        <f t="shared" si="354"/>
        <v>1374.127412</v>
      </c>
      <c r="BL125" s="14">
        <f t="shared" si="355"/>
        <v>2515.79492394</v>
      </c>
      <c r="BM125" s="4">
        <f t="shared" si="378"/>
        <v>1.8308308981903927</v>
      </c>
      <c r="BN125" s="3">
        <f>'[13]3DNAICS'!AX179</f>
        <v>1394</v>
      </c>
      <c r="BP125" s="17">
        <f t="shared" si="379"/>
        <v>0.16199041171611495</v>
      </c>
      <c r="BQ125" s="17">
        <f t="shared" si="380"/>
        <v>8.5204360508937867E-3</v>
      </c>
      <c r="BR125" s="17">
        <f t="shared" si="381"/>
        <v>0.53959741672670425</v>
      </c>
      <c r="BS125" s="17">
        <f t="shared" si="382"/>
        <v>4.4519462616177596E-3</v>
      </c>
      <c r="BT125" s="17">
        <f t="shared" si="383"/>
        <v>0.28543978924466923</v>
      </c>
      <c r="BU125" s="17">
        <v>0</v>
      </c>
      <c r="BV125" s="17">
        <v>0</v>
      </c>
      <c r="BW125">
        <f t="shared" si="358"/>
        <v>1</v>
      </c>
    </row>
    <row r="126" spans="2:75" ht="15" x14ac:dyDescent="0.25">
      <c r="B126" s="6" t="s">
        <v>26</v>
      </c>
      <c r="C126" s="7" t="s">
        <v>27</v>
      </c>
      <c r="D126" s="57">
        <v>111</v>
      </c>
      <c r="E126" s="57">
        <v>17410</v>
      </c>
      <c r="F126" s="56">
        <f>F70/$N70*$N126</f>
        <v>47.186249104965206</v>
      </c>
      <c r="G126" s="56">
        <f>G70/$N70*$N126</f>
        <v>293.49846943288355</v>
      </c>
      <c r="H126" s="57">
        <v>46</v>
      </c>
      <c r="I126" s="56">
        <f>I70/$N70*$N126</f>
        <v>168.92677179577544</v>
      </c>
      <c r="J126" s="57">
        <v>0</v>
      </c>
      <c r="K126" s="57">
        <v>0</v>
      </c>
      <c r="L126" s="57">
        <v>2</v>
      </c>
      <c r="M126" s="14" t="e">
        <f>'[18]Table 4.2'!L164</f>
        <v>#REF!</v>
      </c>
      <c r="N126" s="16">
        <f t="shared" si="339"/>
        <v>51.597079999999998</v>
      </c>
      <c r="P126" s="56">
        <f t="shared" si="384"/>
        <v>0.29665994812291624</v>
      </c>
      <c r="Q126" s="56">
        <f t="shared" si="370"/>
        <v>1.7096285844465466</v>
      </c>
      <c r="R126" s="57">
        <f t="shared" si="340"/>
        <v>47.38</v>
      </c>
      <c r="S126" s="56">
        <f t="shared" si="341"/>
        <v>0.60914993909556625</v>
      </c>
      <c r="T126" s="57">
        <f t="shared" si="371"/>
        <v>0</v>
      </c>
      <c r="U126" s="57">
        <f t="shared" ref="U126" si="386">K126*U$2*0.000001</f>
        <v>0</v>
      </c>
      <c r="V126" s="57">
        <f t="shared" si="373"/>
        <v>2</v>
      </c>
      <c r="W126" s="57">
        <f t="shared" si="374"/>
        <v>51.995438471665032</v>
      </c>
      <c r="X126" s="57">
        <f t="shared" si="375"/>
        <v>51.597079999999998</v>
      </c>
      <c r="Y126" s="16">
        <f t="shared" si="376"/>
        <v>0.39835847166503413</v>
      </c>
      <c r="Z126" s="16"/>
      <c r="AA126">
        <v>323</v>
      </c>
      <c r="AB126" s="16">
        <f t="shared" si="359"/>
        <v>0.29665994812291624</v>
      </c>
      <c r="AC126" s="16">
        <f t="shared" si="360"/>
        <v>1.7096285844465466</v>
      </c>
      <c r="AD126" s="16">
        <f t="shared" si="361"/>
        <v>47.38</v>
      </c>
      <c r="AE126" s="16">
        <f t="shared" si="362"/>
        <v>0.60914993909556625</v>
      </c>
      <c r="AF126" s="16">
        <f t="shared" si="363"/>
        <v>0</v>
      </c>
      <c r="AG126" s="16">
        <f t="shared" si="364"/>
        <v>0</v>
      </c>
      <c r="AH126" s="16">
        <f t="shared" si="365"/>
        <v>2</v>
      </c>
      <c r="AI126" s="16">
        <f t="shared" si="349"/>
        <v>51.995438471665032</v>
      </c>
      <c r="AJ126" s="16">
        <f t="shared" si="350"/>
        <v>49.995438471665032</v>
      </c>
      <c r="AK126" s="16"/>
      <c r="AL126" s="16"/>
      <c r="AM126" s="64" t="s">
        <v>157</v>
      </c>
      <c r="AN126" s="68">
        <f>MECS_Total_Fuel!AQ144</f>
        <v>0.15</v>
      </c>
      <c r="AP126" s="2"/>
      <c r="AQ126" s="4">
        <f>MECS_EnergyPrices!F108</f>
        <v>3.39</v>
      </c>
      <c r="AR126" s="4">
        <f>MECS_EnergyPrices!F77</f>
        <v>5.57</v>
      </c>
      <c r="AS126" s="5">
        <f>MECS_EnergyPrices!F19</f>
        <v>4.08</v>
      </c>
      <c r="AT126">
        <f>MECS_EnergyPrices!F48</f>
        <v>8.4600000000000009</v>
      </c>
      <c r="AU126" s="48">
        <f>MECS_EnergyPrices!F137</f>
        <v>2.0570000000000004</v>
      </c>
      <c r="AV126" s="47"/>
      <c r="AW126" s="41"/>
      <c r="AX126" s="34" t="str">
        <f t="shared" si="351"/>
        <v>323</v>
      </c>
      <c r="AY126" s="16">
        <f t="shared" si="352"/>
        <v>49.995438471665032</v>
      </c>
      <c r="AZ126">
        <f>MECS_Total_Fuel!S91</f>
        <v>37.113573244007682</v>
      </c>
      <c r="BA126">
        <f t="shared" si="385"/>
        <v>0.74233918890504058</v>
      </c>
      <c r="BD126" s="3">
        <f t="shared" si="377"/>
        <v>37.113573244007682</v>
      </c>
      <c r="BF126" t="str">
        <f t="shared" si="331"/>
        <v>323</v>
      </c>
      <c r="BG126" s="9" t="str">
        <f t="shared" si="332"/>
        <v>Printing and Related Support</v>
      </c>
      <c r="BH126" s="4">
        <f>'[6]Table 7.6'!BG112</f>
        <v>0</v>
      </c>
      <c r="BI126" s="4">
        <f>'[6]Table 7.6'!BH112</f>
        <v>0</v>
      </c>
      <c r="BJ126">
        <f t="shared" si="333"/>
        <v>0</v>
      </c>
      <c r="BK126" s="4">
        <f t="shared" si="354"/>
        <v>51.995438471665032</v>
      </c>
      <c r="BL126" s="14">
        <f t="shared" si="355"/>
        <v>208.99211692425246</v>
      </c>
      <c r="BM126" s="4">
        <f t="shared" si="378"/>
        <v>4.0194317630024976</v>
      </c>
      <c r="BN126" s="3">
        <f>'[13]3DNAICS'!AX180</f>
        <v>18007</v>
      </c>
      <c r="BP126" s="17">
        <f t="shared" si="379"/>
        <v>5.933740300948627E-3</v>
      </c>
      <c r="BQ126" s="17">
        <f t="shared" si="380"/>
        <v>3.4195691381234322E-2</v>
      </c>
      <c r="BR126" s="17">
        <f t="shared" si="381"/>
        <v>0.94768645797261419</v>
      </c>
      <c r="BS126" s="17">
        <f t="shared" si="382"/>
        <v>1.2184110345202845E-2</v>
      </c>
      <c r="BT126" s="17">
        <f t="shared" si="383"/>
        <v>0</v>
      </c>
      <c r="BU126" s="17">
        <v>0</v>
      </c>
      <c r="BV126" s="17">
        <v>0</v>
      </c>
      <c r="BW126">
        <f t="shared" si="358"/>
        <v>1</v>
      </c>
    </row>
    <row r="127" spans="2:75" ht="15" x14ac:dyDescent="0.25">
      <c r="B127" s="6" t="s">
        <v>28</v>
      </c>
      <c r="C127" s="7" t="s">
        <v>29</v>
      </c>
      <c r="D127" s="57">
        <v>1156</v>
      </c>
      <c r="E127" s="57">
        <v>37379</v>
      </c>
      <c r="F127" s="57">
        <v>4558</v>
      </c>
      <c r="G127" s="57">
        <v>2883</v>
      </c>
      <c r="H127" s="57">
        <v>758</v>
      </c>
      <c r="I127" s="56">
        <f>I71/$N71*$N127</f>
        <v>6905.5350415227604</v>
      </c>
      <c r="J127" s="56">
        <f>J71/$N71*$N127</f>
        <v>0</v>
      </c>
      <c r="K127" s="56">
        <f>K71/$N71*$N127</f>
        <v>0</v>
      </c>
      <c r="L127" s="57">
        <v>176</v>
      </c>
      <c r="M127" s="14" t="e">
        <f>'[18]Table 4.2'!L165</f>
        <v>#REF!</v>
      </c>
      <c r="N127" s="16">
        <f t="shared" si="339"/>
        <v>1028.4628520000001</v>
      </c>
      <c r="P127" s="57">
        <f t="shared" si="384"/>
        <v>28.656146</v>
      </c>
      <c r="Q127" s="57">
        <f t="shared" si="370"/>
        <v>16.793475000000001</v>
      </c>
      <c r="R127" s="57">
        <f t="shared" si="340"/>
        <v>780.74</v>
      </c>
      <c r="S127" s="60">
        <v>22</v>
      </c>
      <c r="T127" s="56">
        <v>4</v>
      </c>
      <c r="U127" s="56">
        <v>0.1</v>
      </c>
      <c r="V127" s="57">
        <f t="shared" si="373"/>
        <v>176</v>
      </c>
      <c r="W127" s="57">
        <f t="shared" si="374"/>
        <v>1028.2896209999999</v>
      </c>
      <c r="X127" s="57">
        <f t="shared" si="375"/>
        <v>1028.4628520000001</v>
      </c>
      <c r="Y127" s="16">
        <f t="shared" si="376"/>
        <v>-0.17323100000021441</v>
      </c>
      <c r="Z127" s="16"/>
      <c r="AA127">
        <v>324</v>
      </c>
      <c r="AB127" s="16">
        <f t="shared" si="359"/>
        <v>28.656146</v>
      </c>
      <c r="AC127" s="16">
        <f t="shared" si="360"/>
        <v>16.793475000000001</v>
      </c>
      <c r="AD127" s="16">
        <f t="shared" si="361"/>
        <v>780.74</v>
      </c>
      <c r="AE127" s="16">
        <f t="shared" si="362"/>
        <v>22</v>
      </c>
      <c r="AF127" s="16">
        <f t="shared" si="363"/>
        <v>4</v>
      </c>
      <c r="AG127" s="16">
        <f t="shared" si="364"/>
        <v>0.1</v>
      </c>
      <c r="AH127" s="16">
        <f t="shared" si="365"/>
        <v>176</v>
      </c>
      <c r="AI127" s="16">
        <f t="shared" si="349"/>
        <v>1028.2896209999999</v>
      </c>
      <c r="AJ127" s="16">
        <f t="shared" si="350"/>
        <v>852.18962099999999</v>
      </c>
      <c r="AK127" s="16"/>
      <c r="AL127" s="16"/>
      <c r="AM127" s="64" t="s">
        <v>158</v>
      </c>
      <c r="AN127" s="68">
        <f>MECS_Total_Fuel!AQ145</f>
        <v>0.36399999999999999</v>
      </c>
      <c r="AP127" s="2"/>
      <c r="AQ127" s="4">
        <f>MECS_EnergyPrices!F109</f>
        <v>2.99</v>
      </c>
      <c r="AR127" s="4">
        <f>MECS_EnergyPrices!F78</f>
        <v>4.4400000000000004</v>
      </c>
      <c r="AS127" s="5">
        <f>MECS_EnergyPrices!F20</f>
        <v>2.2000000000000002</v>
      </c>
      <c r="AT127">
        <f>MECS_EnergyPrices!F49</f>
        <v>5.45</v>
      </c>
      <c r="AU127" s="48">
        <f>MECS_EnergyPrices!F138</f>
        <v>1.22</v>
      </c>
      <c r="AV127" s="47"/>
      <c r="AW127" s="41"/>
      <c r="AX127" s="34" t="str">
        <f t="shared" si="351"/>
        <v>324</v>
      </c>
      <c r="AY127" s="16">
        <f t="shared" si="352"/>
        <v>852.18962099999999</v>
      </c>
      <c r="AZ127">
        <f>MECS_Total_Fuel!S92</f>
        <v>3144.6947232151383</v>
      </c>
      <c r="BA127">
        <f t="shared" si="385"/>
        <v>3.6901349719854641</v>
      </c>
      <c r="BD127" s="3">
        <f t="shared" si="377"/>
        <v>3144.6947232151383</v>
      </c>
      <c r="BF127" t="str">
        <f t="shared" si="331"/>
        <v>324</v>
      </c>
      <c r="BG127" s="9" t="str">
        <f t="shared" si="332"/>
        <v>Petroleum and Coal Products</v>
      </c>
      <c r="BH127" s="4">
        <f>'[6]Table 7.6'!BG113</f>
        <v>0</v>
      </c>
      <c r="BI127" s="4">
        <f>'[6]Table 7.6'!BH113</f>
        <v>0</v>
      </c>
      <c r="BJ127">
        <f t="shared" si="333"/>
        <v>0</v>
      </c>
      <c r="BK127" s="4">
        <f t="shared" si="354"/>
        <v>1028.2896209999999</v>
      </c>
      <c r="BL127" s="14">
        <f t="shared" si="355"/>
        <v>2002.6529055400003</v>
      </c>
      <c r="BM127" s="4">
        <f t="shared" si="378"/>
        <v>1.9475572490875122</v>
      </c>
      <c r="BN127" s="3">
        <f>'[13]3DNAICS'!AX181</f>
        <v>3720</v>
      </c>
      <c r="BP127" s="17">
        <f t="shared" si="379"/>
        <v>3.3626490271465061E-2</v>
      </c>
      <c r="BQ127" s="17">
        <f t="shared" si="380"/>
        <v>1.9706265584757691E-2</v>
      </c>
      <c r="BR127" s="17">
        <f t="shared" si="381"/>
        <v>0.91615760244045497</v>
      </c>
      <c r="BS127" s="17">
        <f t="shared" si="382"/>
        <v>2.581585067204192E-2</v>
      </c>
      <c r="BT127" s="17">
        <f t="shared" si="383"/>
        <v>4.6937910312803491E-3</v>
      </c>
      <c r="BU127" s="17">
        <v>0</v>
      </c>
      <c r="BV127" s="17">
        <v>0</v>
      </c>
      <c r="BW127">
        <f t="shared" si="358"/>
        <v>1</v>
      </c>
    </row>
    <row r="128" spans="2:75" ht="15" x14ac:dyDescent="0.25">
      <c r="B128" s="6" t="s">
        <v>30</v>
      </c>
      <c r="C128" s="7" t="s">
        <v>31</v>
      </c>
      <c r="D128" s="57">
        <v>2997</v>
      </c>
      <c r="E128" s="57">
        <v>160225</v>
      </c>
      <c r="F128" s="57">
        <v>9567</v>
      </c>
      <c r="G128" s="56">
        <f>G72/$N72*$N128</f>
        <v>2226.9179082225787</v>
      </c>
      <c r="H128" s="57">
        <v>1839</v>
      </c>
      <c r="I128" s="57">
        <v>1073</v>
      </c>
      <c r="J128" s="57">
        <v>11597</v>
      </c>
      <c r="K128" s="56">
        <f>K72/$N72*$N128</f>
        <v>147.05010699618828</v>
      </c>
      <c r="L128" s="57">
        <v>219</v>
      </c>
      <c r="M128" s="14" t="e">
        <f>'[18]Table 4.2'!L166</f>
        <v>#REF!</v>
      </c>
      <c r="N128" s="16">
        <f t="shared" si="339"/>
        <v>2450.3123000000001</v>
      </c>
      <c r="P128" s="57">
        <f t="shared" si="384"/>
        <v>60.147728999999998</v>
      </c>
      <c r="Q128" s="56">
        <f t="shared" si="370"/>
        <v>12.971796815396521</v>
      </c>
      <c r="R128" s="57">
        <f t="shared" si="340"/>
        <v>1894.17</v>
      </c>
      <c r="S128" s="57">
        <f t="shared" si="341"/>
        <v>3.8692379999999997</v>
      </c>
      <c r="T128" s="57">
        <f t="shared" ref="T128:T133" si="387">J128*T$2*0.000001</f>
        <v>255.27316399999998</v>
      </c>
      <c r="U128" s="56">
        <f t="shared" ref="U128:U130" si="388">K128*U$2*0.000001</f>
        <v>3.6468426535054692</v>
      </c>
      <c r="V128" s="57">
        <f t="shared" si="373"/>
        <v>219</v>
      </c>
      <c r="W128" s="57">
        <f t="shared" si="374"/>
        <v>2449.0787704689019</v>
      </c>
      <c r="X128" s="57">
        <f t="shared" si="375"/>
        <v>2450.3123000000001</v>
      </c>
      <c r="Y128" s="16">
        <f t="shared" si="376"/>
        <v>-1.2335295310981564</v>
      </c>
      <c r="Z128" s="16"/>
      <c r="AA128">
        <v>325</v>
      </c>
      <c r="AB128" s="16">
        <f t="shared" si="359"/>
        <v>60.147728999999998</v>
      </c>
      <c r="AC128" s="16">
        <f t="shared" si="360"/>
        <v>12.971796815396521</v>
      </c>
      <c r="AD128" s="16">
        <f t="shared" si="361"/>
        <v>1894.17</v>
      </c>
      <c r="AE128" s="16">
        <f t="shared" si="362"/>
        <v>3.8692379999999997</v>
      </c>
      <c r="AF128" s="16">
        <f t="shared" si="363"/>
        <v>255.27316399999998</v>
      </c>
      <c r="AG128" s="16">
        <f t="shared" si="364"/>
        <v>3.6468426535054692</v>
      </c>
      <c r="AH128" s="16">
        <f t="shared" si="365"/>
        <v>219</v>
      </c>
      <c r="AI128" s="16">
        <f t="shared" si="349"/>
        <v>2449.0787704689019</v>
      </c>
      <c r="AJ128" s="16">
        <f t="shared" si="350"/>
        <v>2226.4319278153966</v>
      </c>
      <c r="AK128" s="16"/>
      <c r="AL128" s="16"/>
      <c r="AM128" s="64" t="s">
        <v>159</v>
      </c>
      <c r="AN128" s="68">
        <f>MECS_Total_Fuel!AQ146</f>
        <v>0.308</v>
      </c>
      <c r="AP128" s="2"/>
      <c r="AQ128" s="4">
        <f>MECS_EnergyPrices!F110</f>
        <v>3.39</v>
      </c>
      <c r="AR128" s="4">
        <f>MECS_EnergyPrices!F79</f>
        <v>4.84</v>
      </c>
      <c r="AS128" s="5">
        <f>MECS_EnergyPrices!F21</f>
        <v>2.15</v>
      </c>
      <c r="AT128">
        <f>MECS_EnergyPrices!F50</f>
        <v>4.71</v>
      </c>
      <c r="AU128" s="48">
        <f>MECS_EnergyPrices!F139</f>
        <v>1.65</v>
      </c>
      <c r="AV128" s="47"/>
      <c r="AW128" s="41"/>
      <c r="AX128" s="34" t="str">
        <f t="shared" si="351"/>
        <v>325</v>
      </c>
      <c r="AY128" s="16">
        <f t="shared" si="352"/>
        <v>2226.4319278153966</v>
      </c>
      <c r="AZ128">
        <f>MECS_Total_Fuel!S93</f>
        <v>2729.1714558311169</v>
      </c>
      <c r="BA128">
        <f t="shared" si="385"/>
        <v>1.2258050298932852</v>
      </c>
      <c r="BD128" s="3">
        <f t="shared" si="377"/>
        <v>2729.1714558311169</v>
      </c>
      <c r="BF128" t="str">
        <f t="shared" si="331"/>
        <v>325</v>
      </c>
      <c r="BG128" s="9" t="str">
        <f t="shared" si="332"/>
        <v>Chemicals</v>
      </c>
      <c r="BH128" s="4">
        <f>'[6]Table 7.6'!BG114</f>
        <v>0</v>
      </c>
      <c r="BI128" s="4">
        <f>'[6]Table 7.6'!BH114</f>
        <v>0</v>
      </c>
      <c r="BJ128">
        <f t="shared" si="333"/>
        <v>0</v>
      </c>
      <c r="BK128" s="4">
        <f t="shared" si="354"/>
        <v>2449.0787704689019</v>
      </c>
      <c r="BL128" s="14">
        <f t="shared" si="355"/>
        <v>4778.5746294765186</v>
      </c>
      <c r="BM128" s="4">
        <f t="shared" si="378"/>
        <v>1.9511722885751079</v>
      </c>
      <c r="BN128" s="3">
        <f>'[13]3DNAICS'!AX182</f>
        <v>2874</v>
      </c>
      <c r="BP128" s="17">
        <f t="shared" si="379"/>
        <v>2.7015301141058337E-2</v>
      </c>
      <c r="BQ128" s="17">
        <f t="shared" si="380"/>
        <v>5.8262714675155654E-3</v>
      </c>
      <c r="BR128" s="17">
        <f t="shared" si="381"/>
        <v>0.85076483872497455</v>
      </c>
      <c r="BS128" s="17">
        <f t="shared" si="382"/>
        <v>1.7378649450991953E-3</v>
      </c>
      <c r="BT128" s="17">
        <f t="shared" si="383"/>
        <v>0.11465572372135234</v>
      </c>
      <c r="BU128" s="17">
        <v>0</v>
      </c>
      <c r="BV128" s="17">
        <v>0</v>
      </c>
      <c r="BW128">
        <f t="shared" si="358"/>
        <v>1</v>
      </c>
    </row>
    <row r="129" spans="2:75" ht="15" x14ac:dyDescent="0.25">
      <c r="B129" s="6" t="s">
        <v>32</v>
      </c>
      <c r="C129" s="7" t="s">
        <v>33</v>
      </c>
      <c r="D129" s="57">
        <v>285</v>
      </c>
      <c r="E129" s="57">
        <v>43777</v>
      </c>
      <c r="F129" s="57">
        <v>1600</v>
      </c>
      <c r="G129" s="57">
        <v>540</v>
      </c>
      <c r="H129" s="57">
        <v>107</v>
      </c>
      <c r="I129" s="57">
        <v>824</v>
      </c>
      <c r="J129" s="57">
        <v>219</v>
      </c>
      <c r="K129" s="57">
        <v>0</v>
      </c>
      <c r="L129" s="57">
        <v>4</v>
      </c>
      <c r="M129" s="14" t="e">
        <f>'[18]Table 4.2'!L167</f>
        <v>#REF!</v>
      </c>
      <c r="N129" s="16">
        <f t="shared" si="339"/>
        <v>135.63287599999998</v>
      </c>
      <c r="P129" s="57">
        <f t="shared" si="384"/>
        <v>10.059199999999999</v>
      </c>
      <c r="Q129" s="57">
        <f t="shared" si="370"/>
        <v>3.1454999999999997</v>
      </c>
      <c r="R129" s="57">
        <f t="shared" si="340"/>
        <v>110.21000000000001</v>
      </c>
      <c r="S129" s="57">
        <f t="shared" si="341"/>
        <v>2.9713439999999998</v>
      </c>
      <c r="T129" s="57">
        <f t="shared" si="387"/>
        <v>4.8206280000000001</v>
      </c>
      <c r="U129" s="57">
        <f t="shared" si="388"/>
        <v>0</v>
      </c>
      <c r="V129" s="57">
        <f t="shared" si="373"/>
        <v>4</v>
      </c>
      <c r="W129" s="57">
        <f t="shared" si="374"/>
        <v>135.20667200000003</v>
      </c>
      <c r="X129" s="57">
        <f t="shared" si="375"/>
        <v>135.63287599999998</v>
      </c>
      <c r="Y129" s="16">
        <f t="shared" si="376"/>
        <v>-0.42620399999995584</v>
      </c>
      <c r="Z129" s="16"/>
      <c r="AA129">
        <v>326</v>
      </c>
      <c r="AB129" s="16">
        <f t="shared" si="359"/>
        <v>10.059199999999999</v>
      </c>
      <c r="AC129" s="16">
        <f t="shared" si="360"/>
        <v>3.1454999999999997</v>
      </c>
      <c r="AD129" s="16">
        <f t="shared" si="361"/>
        <v>110.21000000000001</v>
      </c>
      <c r="AE129" s="16">
        <f t="shared" si="362"/>
        <v>2.9713439999999998</v>
      </c>
      <c r="AF129" s="16">
        <f t="shared" si="363"/>
        <v>4.8206280000000001</v>
      </c>
      <c r="AG129" s="16">
        <f t="shared" si="364"/>
        <v>0</v>
      </c>
      <c r="AH129" s="16">
        <f t="shared" si="365"/>
        <v>4</v>
      </c>
      <c r="AI129" s="16">
        <f t="shared" si="349"/>
        <v>135.20667200000003</v>
      </c>
      <c r="AJ129" s="16">
        <f t="shared" si="350"/>
        <v>131.20667200000003</v>
      </c>
      <c r="AK129" s="16"/>
      <c r="AL129" s="16"/>
      <c r="AM129" s="64" t="s">
        <v>160</v>
      </c>
      <c r="AN129" s="68">
        <f>MECS_Total_Fuel!AQ147</f>
        <v>0.32800000000000001</v>
      </c>
      <c r="AP129" s="2"/>
      <c r="AQ129" s="4">
        <f>MECS_EnergyPrices!F111</f>
        <v>2.68</v>
      </c>
      <c r="AR129" s="4">
        <f>MECS_EnergyPrices!F80</f>
        <v>4.5599999999999996</v>
      </c>
      <c r="AS129" s="5">
        <f>MECS_EnergyPrices!F22</f>
        <v>3.52</v>
      </c>
      <c r="AT129">
        <f>MECS_EnergyPrices!F51</f>
        <v>8.61</v>
      </c>
      <c r="AU129" s="48">
        <f>MECS_EnergyPrices!F140</f>
        <v>2.2799999999999998</v>
      </c>
      <c r="AV129" s="47"/>
      <c r="AW129" s="41"/>
      <c r="AX129" s="34" t="str">
        <f t="shared" si="351"/>
        <v>326</v>
      </c>
      <c r="AY129" s="16">
        <f t="shared" si="352"/>
        <v>131.20667200000003</v>
      </c>
      <c r="AZ129">
        <f>MECS_Total_Fuel!S94</f>
        <v>141.58522460569185</v>
      </c>
      <c r="BA129">
        <f t="shared" si="385"/>
        <v>1.0791007991246955</v>
      </c>
      <c r="BD129" s="3">
        <f t="shared" si="377"/>
        <v>141.58522460569182</v>
      </c>
      <c r="BF129" t="str">
        <f t="shared" si="331"/>
        <v>326</v>
      </c>
      <c r="BG129" s="9" t="str">
        <f t="shared" si="332"/>
        <v>Plastics and Rubber Products</v>
      </c>
      <c r="BH129" s="4">
        <f>'[6]Table 7.6'!BG115</f>
        <v>0</v>
      </c>
      <c r="BI129" s="4">
        <f>'[6]Table 7.6'!BH115</f>
        <v>0</v>
      </c>
      <c r="BJ129">
        <f t="shared" si="333"/>
        <v>0</v>
      </c>
      <c r="BK129" s="4">
        <f t="shared" si="354"/>
        <v>135.20667200000003</v>
      </c>
      <c r="BL129" s="14">
        <f t="shared" si="355"/>
        <v>465.81563968000006</v>
      </c>
      <c r="BM129" s="4">
        <f t="shared" si="378"/>
        <v>3.4452119321448866</v>
      </c>
      <c r="BN129" s="3">
        <f>'[13]3DNAICS'!AX183</f>
        <v>3630</v>
      </c>
      <c r="BP129" s="17">
        <f t="shared" si="379"/>
        <v>7.6666832918374742E-2</v>
      </c>
      <c r="BQ129" s="17">
        <f t="shared" si="380"/>
        <v>2.397362841426234E-2</v>
      </c>
      <c r="BR129" s="17">
        <f t="shared" si="381"/>
        <v>0.83997252822630841</v>
      </c>
      <c r="BS129" s="17">
        <f t="shared" si="382"/>
        <v>2.2646287377824804E-2</v>
      </c>
      <c r="BT129" s="17">
        <f t="shared" si="383"/>
        <v>3.6740723063229584E-2</v>
      </c>
      <c r="BU129" s="17">
        <v>0</v>
      </c>
      <c r="BV129" s="17">
        <v>0</v>
      </c>
      <c r="BW129">
        <f t="shared" si="358"/>
        <v>0.99999999999999989</v>
      </c>
    </row>
    <row r="130" spans="2:75" ht="15" x14ac:dyDescent="0.25">
      <c r="B130" s="6" t="s">
        <v>34</v>
      </c>
      <c r="C130" s="7" t="s">
        <v>35</v>
      </c>
      <c r="D130" s="57">
        <v>943</v>
      </c>
      <c r="E130" s="57">
        <v>36026</v>
      </c>
      <c r="F130" s="57">
        <v>1187</v>
      </c>
      <c r="G130" s="57">
        <v>3917</v>
      </c>
      <c r="H130" s="57">
        <v>419</v>
      </c>
      <c r="I130" s="57">
        <v>1057</v>
      </c>
      <c r="J130" s="57">
        <v>12422</v>
      </c>
      <c r="K130" s="57">
        <v>319</v>
      </c>
      <c r="L130" s="57">
        <v>73</v>
      </c>
      <c r="M130" s="14" t="e">
        <f>'[18]Table 4.2'!L168</f>
        <v>#REF!</v>
      </c>
      <c r="N130" s="16">
        <f t="shared" si="339"/>
        <v>820.07928800000002</v>
      </c>
      <c r="P130" s="57">
        <f t="shared" si="384"/>
        <v>7.462669</v>
      </c>
      <c r="Q130" s="57">
        <f t="shared" si="370"/>
        <v>22.816524999999999</v>
      </c>
      <c r="R130" s="57">
        <f t="shared" si="340"/>
        <v>431.57</v>
      </c>
      <c r="S130" s="57">
        <f t="shared" si="341"/>
        <v>3.8115419999999998</v>
      </c>
      <c r="T130" s="57">
        <f t="shared" si="387"/>
        <v>273.433064</v>
      </c>
      <c r="U130" s="57">
        <f t="shared" si="388"/>
        <v>7.9112</v>
      </c>
      <c r="V130" s="57">
        <f t="shared" si="373"/>
        <v>73</v>
      </c>
      <c r="W130" s="57">
        <f t="shared" si="374"/>
        <v>820.005</v>
      </c>
      <c r="X130" s="57">
        <f t="shared" si="375"/>
        <v>820.07928800000002</v>
      </c>
      <c r="Y130" s="16">
        <f t="shared" si="376"/>
        <v>-7.4288000000024113E-2</v>
      </c>
      <c r="Z130" s="16"/>
      <c r="AA130">
        <v>327</v>
      </c>
      <c r="AB130" s="16">
        <f t="shared" si="359"/>
        <v>7.462669</v>
      </c>
      <c r="AC130" s="16">
        <f t="shared" si="360"/>
        <v>22.816524999999999</v>
      </c>
      <c r="AD130" s="16">
        <f t="shared" si="361"/>
        <v>431.57</v>
      </c>
      <c r="AE130" s="16">
        <f t="shared" si="362"/>
        <v>3.8115419999999998</v>
      </c>
      <c r="AF130" s="16">
        <f t="shared" si="363"/>
        <v>273.433064</v>
      </c>
      <c r="AG130" s="16">
        <f t="shared" si="364"/>
        <v>7.9112</v>
      </c>
      <c r="AH130" s="16">
        <f t="shared" si="365"/>
        <v>73</v>
      </c>
      <c r="AI130" s="16">
        <f t="shared" si="349"/>
        <v>820.005</v>
      </c>
      <c r="AJ130" s="16">
        <f t="shared" si="350"/>
        <v>739.09379999999999</v>
      </c>
      <c r="AK130" s="16"/>
      <c r="AL130" s="16"/>
      <c r="AM130" s="64" t="s">
        <v>161</v>
      </c>
      <c r="AN130" s="68">
        <f>MECS_Total_Fuel!AQ148</f>
        <v>0</v>
      </c>
      <c r="AP130" s="2"/>
      <c r="AQ130" s="4">
        <f>MECS_EnergyPrices!F112</f>
        <v>2.81</v>
      </c>
      <c r="AR130" s="4">
        <f>MECS_EnergyPrices!F81</f>
        <v>5.49</v>
      </c>
      <c r="AS130" s="5">
        <f>MECS_EnergyPrices!F23</f>
        <v>3.57</v>
      </c>
      <c r="AT130">
        <f>MECS_EnergyPrices!F52</f>
        <v>7.4</v>
      </c>
      <c r="AU130" s="48">
        <f>MECS_EnergyPrices!F141</f>
        <v>1.66</v>
      </c>
      <c r="AV130" s="47"/>
      <c r="AW130" s="41"/>
      <c r="AX130" s="34" t="str">
        <f t="shared" si="351"/>
        <v>327</v>
      </c>
      <c r="AY130" s="16">
        <f t="shared" si="352"/>
        <v>739.09379999999999</v>
      </c>
      <c r="AZ130">
        <f>MECS_Total_Fuel!S95</f>
        <v>822.05619657793363</v>
      </c>
      <c r="BA130">
        <f t="shared" si="385"/>
        <v>1.1122488060080244</v>
      </c>
      <c r="BD130" s="3">
        <f t="shared" si="377"/>
        <v>822.05619657793363</v>
      </c>
      <c r="BF130" t="str">
        <f t="shared" si="331"/>
        <v>327</v>
      </c>
      <c r="BG130" s="9" t="str">
        <f t="shared" si="332"/>
        <v>Nonmetallic Mineral Products</v>
      </c>
      <c r="BH130" s="4">
        <f>'[6]Table 7.6'!BG116</f>
        <v>0</v>
      </c>
      <c r="BI130" s="4">
        <f>'[6]Table 7.6'!BH116</f>
        <v>0</v>
      </c>
      <c r="BJ130">
        <f t="shared" si="333"/>
        <v>0</v>
      </c>
      <c r="BK130" s="4">
        <f t="shared" si="354"/>
        <v>820.005</v>
      </c>
      <c r="BL130" s="14">
        <f t="shared" si="355"/>
        <v>2169.0420191799999</v>
      </c>
      <c r="BM130" s="4">
        <f t="shared" si="378"/>
        <v>2.6451570651154563</v>
      </c>
      <c r="BN130" s="3">
        <f>'[13]3DNAICS'!AX184</f>
        <v>10748</v>
      </c>
      <c r="BP130" s="17">
        <f t="shared" si="379"/>
        <v>1.0097052633914668E-2</v>
      </c>
      <c r="BQ130" s="17">
        <f t="shared" si="380"/>
        <v>3.0870946285843553E-2</v>
      </c>
      <c r="BR130" s="17">
        <f t="shared" si="381"/>
        <v>0.58391776524170547</v>
      </c>
      <c r="BS130" s="17">
        <f t="shared" si="382"/>
        <v>5.1570477252007793E-3</v>
      </c>
      <c r="BT130" s="17">
        <f t="shared" si="383"/>
        <v>0.36995718811333556</v>
      </c>
      <c r="BU130" s="17">
        <v>0</v>
      </c>
      <c r="BV130" s="17">
        <v>0</v>
      </c>
      <c r="BW130">
        <f t="shared" si="358"/>
        <v>1</v>
      </c>
    </row>
    <row r="131" spans="2:75" ht="15" x14ac:dyDescent="0.25">
      <c r="B131" s="6" t="s">
        <v>36</v>
      </c>
      <c r="C131" s="7" t="s">
        <v>37</v>
      </c>
      <c r="D131" s="57">
        <v>1859</v>
      </c>
      <c r="E131" s="57">
        <v>149593</v>
      </c>
      <c r="F131" s="57">
        <v>6870</v>
      </c>
      <c r="G131" s="57">
        <v>2126</v>
      </c>
      <c r="H131" s="57">
        <v>777</v>
      </c>
      <c r="I131" s="57">
        <v>1472</v>
      </c>
      <c r="J131" s="57">
        <v>2327</v>
      </c>
      <c r="K131" s="57">
        <v>16660</v>
      </c>
      <c r="L131" s="57">
        <v>24</v>
      </c>
      <c r="M131" s="14" t="e">
        <f>'[18]Table 4.2'!L169</f>
        <v>#REF!</v>
      </c>
      <c r="N131" s="16">
        <f t="shared" si="339"/>
        <v>1348.5886840000001</v>
      </c>
      <c r="P131" s="57">
        <f t="shared" si="384"/>
        <v>43.191690000000001</v>
      </c>
      <c r="Q131" s="57">
        <f t="shared" si="370"/>
        <v>12.383949999999999</v>
      </c>
      <c r="R131" s="57">
        <f t="shared" si="340"/>
        <v>800.31000000000006</v>
      </c>
      <c r="S131" s="57">
        <f t="shared" si="341"/>
        <v>5.3080319999999999</v>
      </c>
      <c r="T131" s="57">
        <f t="shared" si="387"/>
        <v>51.221923999999994</v>
      </c>
      <c r="U131" s="60">
        <v>411</v>
      </c>
      <c r="V131" s="57">
        <f t="shared" si="373"/>
        <v>24</v>
      </c>
      <c r="W131" s="57">
        <f t="shared" si="374"/>
        <v>1347.4155960000001</v>
      </c>
      <c r="X131" s="57">
        <f t="shared" si="375"/>
        <v>1348.5886840000001</v>
      </c>
      <c r="Y131" s="16">
        <f t="shared" si="376"/>
        <v>-1.173088000000007</v>
      </c>
      <c r="Z131" s="16"/>
      <c r="AA131">
        <v>331</v>
      </c>
      <c r="AB131" s="16">
        <f t="shared" si="359"/>
        <v>43.191690000000001</v>
      </c>
      <c r="AC131" s="16">
        <f t="shared" si="360"/>
        <v>12.383949999999999</v>
      </c>
      <c r="AD131" s="16">
        <f t="shared" si="361"/>
        <v>800.31000000000006</v>
      </c>
      <c r="AE131" s="16">
        <f t="shared" si="362"/>
        <v>5.3080319999999999</v>
      </c>
      <c r="AF131" s="16">
        <f t="shared" si="363"/>
        <v>51.221923999999994</v>
      </c>
      <c r="AG131" s="16">
        <f t="shared" si="364"/>
        <v>411</v>
      </c>
      <c r="AH131" s="16">
        <f t="shared" si="365"/>
        <v>24</v>
      </c>
      <c r="AI131" s="16">
        <f t="shared" si="349"/>
        <v>1347.4155960000001</v>
      </c>
      <c r="AJ131" s="16">
        <f>AI131-AH131</f>
        <v>1323.4155960000001</v>
      </c>
      <c r="AK131" s="16"/>
      <c r="AL131" s="16"/>
      <c r="AM131" s="64" t="s">
        <v>162</v>
      </c>
      <c r="AN131" s="68">
        <f>MECS_Total_Fuel!AQ149</f>
        <v>7.0000000000000007E-2</v>
      </c>
      <c r="AP131" s="2"/>
      <c r="AQ131" s="4">
        <f>MECS_EnergyPrices!F113</f>
        <v>2.62</v>
      </c>
      <c r="AR131" s="4">
        <f>MECS_EnergyPrices!F82</f>
        <v>4.57</v>
      </c>
      <c r="AS131" s="5">
        <f>MECS_EnergyPrices!F24</f>
        <v>2.72</v>
      </c>
      <c r="AT131">
        <f>MECS_EnergyPrices!F53</f>
        <v>7</v>
      </c>
      <c r="AU131" s="48">
        <f>MECS_EnergyPrices!F142</f>
        <v>1.81</v>
      </c>
      <c r="AV131" s="48">
        <f>3*AU131</f>
        <v>5.43</v>
      </c>
      <c r="AW131" s="41"/>
      <c r="AX131" s="34" t="str">
        <f t="shared" si="351"/>
        <v>331</v>
      </c>
      <c r="AY131" s="16">
        <f t="shared" si="352"/>
        <v>1323.4155960000001</v>
      </c>
      <c r="AZ131">
        <f>MECS_Total_Fuel!S96</f>
        <v>2096.657607556745</v>
      </c>
      <c r="BA131">
        <f t="shared" si="385"/>
        <v>1.5842775420615074</v>
      </c>
      <c r="BD131" s="3">
        <f t="shared" si="377"/>
        <v>2096.657607556745</v>
      </c>
      <c r="BF131" t="str">
        <f t="shared" si="331"/>
        <v>331</v>
      </c>
      <c r="BG131" s="9" t="str">
        <f t="shared" si="332"/>
        <v>Primary Metals</v>
      </c>
      <c r="BH131" s="4">
        <f>'[6]Table 7.6'!BG117</f>
        <v>0</v>
      </c>
      <c r="BI131" s="4">
        <f>'[6]Table 7.6'!BH117</f>
        <v>0</v>
      </c>
      <c r="BJ131">
        <f t="shared" si="333"/>
        <v>0</v>
      </c>
      <c r="BK131" s="4">
        <f t="shared" si="354"/>
        <v>1347.4155960000001</v>
      </c>
      <c r="BL131" s="14">
        <f>SUMPRODUCT(AB131:AG131,AQ131:AV131)</f>
        <v>4708.1979857400001</v>
      </c>
      <c r="BM131" s="4">
        <f t="shared" si="378"/>
        <v>3.4942433498001457</v>
      </c>
      <c r="BN131" s="3">
        <f>'[13]3DNAICS'!AX185</f>
        <v>3068</v>
      </c>
      <c r="BP131" s="17">
        <f t="shared" si="379"/>
        <v>3.2636527883263662E-2</v>
      </c>
      <c r="BQ131" s="17">
        <f t="shared" si="380"/>
        <v>9.3575669180794505E-3</v>
      </c>
      <c r="BR131" s="17">
        <f t="shared" si="381"/>
        <v>0.60473066995652969</v>
      </c>
      <c r="BS131" s="17">
        <f t="shared" si="382"/>
        <v>4.0108579769223152E-3</v>
      </c>
      <c r="BT131" s="17">
        <f t="shared" si="383"/>
        <v>3.8704337590411766E-2</v>
      </c>
      <c r="BU131" s="17">
        <f t="shared" si="383"/>
        <v>0.31056003967479312</v>
      </c>
      <c r="BV131" s="17">
        <v>0</v>
      </c>
      <c r="BW131">
        <f t="shared" si="358"/>
        <v>1</v>
      </c>
    </row>
    <row r="132" spans="2:75" ht="15" x14ac:dyDescent="0.25">
      <c r="B132" s="6" t="s">
        <v>38</v>
      </c>
      <c r="C132" s="7" t="s">
        <v>39</v>
      </c>
      <c r="D132" s="57">
        <v>365</v>
      </c>
      <c r="E132" s="57">
        <v>33900</v>
      </c>
      <c r="F132" s="57">
        <v>478</v>
      </c>
      <c r="G132" s="57">
        <v>747</v>
      </c>
      <c r="H132" s="57">
        <v>213</v>
      </c>
      <c r="I132" s="57">
        <v>1334</v>
      </c>
      <c r="J132" s="56">
        <f>J76/$N76*$N132</f>
        <v>300.59355366724662</v>
      </c>
      <c r="K132" s="56">
        <f>K76/$N76*$N132</f>
        <v>0</v>
      </c>
      <c r="L132" s="56">
        <f>L76/$N76*$N132</f>
        <v>0</v>
      </c>
      <c r="M132" s="14" t="e">
        <f>'[18]Table 4.2'!L170</f>
        <v>#REF!</v>
      </c>
      <c r="N132" s="16">
        <f t="shared" si="339"/>
        <v>249.33319999999998</v>
      </c>
      <c r="P132" s="57">
        <f t="shared" si="384"/>
        <v>3.0051859999999997</v>
      </c>
      <c r="Q132" s="57">
        <f t="shared" si="370"/>
        <v>4.3512750000000002</v>
      </c>
      <c r="R132" s="57">
        <f t="shared" si="340"/>
        <v>219.39000000000001</v>
      </c>
      <c r="S132" s="57">
        <f t="shared" si="341"/>
        <v>4.8104040000000001</v>
      </c>
      <c r="T132" s="56">
        <f t="shared" si="387"/>
        <v>6.6166653033234324</v>
      </c>
      <c r="U132" s="56">
        <v>1</v>
      </c>
      <c r="V132" s="56">
        <v>9</v>
      </c>
      <c r="W132" s="57">
        <f t="shared" si="374"/>
        <v>248.17353030332345</v>
      </c>
      <c r="X132" s="57">
        <f t="shared" si="375"/>
        <v>249.33319999999998</v>
      </c>
      <c r="Y132" s="16">
        <f t="shared" si="376"/>
        <v>-1.1596696966765307</v>
      </c>
      <c r="Z132" s="16"/>
      <c r="AA132">
        <v>332</v>
      </c>
      <c r="AB132" s="66">
        <f>P132+$AN124*P133-$AN131*P132</f>
        <v>3.2388229799999997</v>
      </c>
      <c r="AC132" s="66">
        <f t="shared" ref="AC132" si="389">Q132+$AN124*Q133-$AN131*Q132</f>
        <v>4.9156825499999997</v>
      </c>
      <c r="AD132" s="66">
        <f t="shared" ref="AD132" si="390">R132+$AN124*R133-$AN131*R132</f>
        <v>228.49932000000001</v>
      </c>
      <c r="AE132" s="66">
        <f t="shared" ref="AE132" si="391">S132+$AN124*S133-$AN131*S132</f>
        <v>5.1821465399999997</v>
      </c>
      <c r="AF132" s="66">
        <f t="shared" ref="AF132" si="392">T132+$AN124*T133-$AN131*T132</f>
        <v>8.4966435386125987</v>
      </c>
      <c r="AG132" s="66">
        <f t="shared" ref="AG132" si="393">U132+$AN124*U133-$AN131*U132</f>
        <v>1.0621343999999999</v>
      </c>
      <c r="AH132" s="66">
        <f t="shared" ref="AH132" si="394">V132+$AN124*V133-$AN131*V132</f>
        <v>9.2579999999999991</v>
      </c>
      <c r="AI132" s="16">
        <f t="shared" si="349"/>
        <v>260.6527500086126</v>
      </c>
      <c r="AJ132" s="16">
        <f t="shared" si="350"/>
        <v>250.3326156086126</v>
      </c>
      <c r="AK132" s="16"/>
      <c r="AL132" s="16"/>
      <c r="AM132" s="64" t="s">
        <v>163</v>
      </c>
      <c r="AN132" s="69">
        <f>MECS_Total_Fuel!AQ150</f>
        <v>0.04</v>
      </c>
      <c r="AP132" s="2"/>
      <c r="AQ132" s="4">
        <f>MECS_EnergyPrices!F114</f>
        <v>3.75</v>
      </c>
      <c r="AR132" s="4">
        <f>MECS_EnergyPrices!F83</f>
        <v>5.44</v>
      </c>
      <c r="AS132" s="5">
        <f>MECS_EnergyPrices!F25</f>
        <v>3.49</v>
      </c>
      <c r="AT132">
        <f>MECS_EnergyPrices!F54</f>
        <v>9.4499999999999993</v>
      </c>
      <c r="AU132" s="48">
        <f>MECS_EnergyPrices!F143</f>
        <v>2.08</v>
      </c>
      <c r="AV132" s="47"/>
      <c r="AW132" s="41"/>
      <c r="AX132" s="34" t="str">
        <f t="shared" si="351"/>
        <v>332</v>
      </c>
      <c r="AY132" s="16">
        <f t="shared" si="352"/>
        <v>250.3326156086126</v>
      </c>
      <c r="AZ132">
        <f>MECS_Total_Fuel!S97</f>
        <v>263.57968281835372</v>
      </c>
      <c r="BA132">
        <f t="shared" si="385"/>
        <v>1.0529178636093208</v>
      </c>
      <c r="BD132" s="3">
        <f t="shared" si="377"/>
        <v>263.57968281835372</v>
      </c>
      <c r="BF132" t="str">
        <f t="shared" si="331"/>
        <v>332</v>
      </c>
      <c r="BG132" s="9" t="str">
        <f t="shared" si="332"/>
        <v>Fabricated Metal Products</v>
      </c>
      <c r="BH132" s="4">
        <f>'[6]Table 7.6'!BG118</f>
        <v>0</v>
      </c>
      <c r="BI132" s="4">
        <f>'[6]Table 7.6'!BH118</f>
        <v>0</v>
      </c>
      <c r="BJ132">
        <f t="shared" si="333"/>
        <v>0</v>
      </c>
      <c r="BK132" s="4">
        <f t="shared" si="354"/>
        <v>260.6527500086126</v>
      </c>
      <c r="BL132" s="14">
        <f t="shared" si="355"/>
        <v>902.99382941031422</v>
      </c>
      <c r="BM132" s="4">
        <f t="shared" si="378"/>
        <v>3.4643556585552124</v>
      </c>
      <c r="BN132" s="3">
        <f>'[13]3DNAICS'!AX186</f>
        <v>2468</v>
      </c>
      <c r="BP132" s="17">
        <f t="shared" si="379"/>
        <v>1.2938078292857374E-2</v>
      </c>
      <c r="BQ132" s="17">
        <f t="shared" si="380"/>
        <v>1.9636604435458459E-2</v>
      </c>
      <c r="BR132" s="17">
        <f t="shared" si="381"/>
        <v>0.91278285669835257</v>
      </c>
      <c r="BS132" s="17">
        <f t="shared" si="382"/>
        <v>2.0701044198340211E-2</v>
      </c>
      <c r="BT132" s="17">
        <f t="shared" si="383"/>
        <v>3.3941416374991429E-2</v>
      </c>
      <c r="BU132" s="17">
        <v>0</v>
      </c>
      <c r="BV132" s="17">
        <v>0</v>
      </c>
      <c r="BW132">
        <f t="shared" si="358"/>
        <v>1</v>
      </c>
    </row>
    <row r="133" spans="2:75" ht="15" x14ac:dyDescent="0.25">
      <c r="B133" s="6" t="s">
        <v>40</v>
      </c>
      <c r="C133" s="7" t="s">
        <v>41</v>
      </c>
      <c r="D133" s="57">
        <v>244</v>
      </c>
      <c r="E133" s="57">
        <v>32044</v>
      </c>
      <c r="F133" s="56">
        <f>F77/$N77*$N133</f>
        <v>489.48737284256589</v>
      </c>
      <c r="G133" s="57">
        <v>672</v>
      </c>
      <c r="H133" s="57">
        <v>107</v>
      </c>
      <c r="I133" s="57">
        <v>885</v>
      </c>
      <c r="J133" s="56">
        <f>J77/$N77*$N133</f>
        <v>479.49783462128903</v>
      </c>
      <c r="K133" s="57">
        <v>24</v>
      </c>
      <c r="L133" s="57">
        <v>4</v>
      </c>
      <c r="M133" s="14" t="e">
        <f>'[18]Table 4.2'!L171</f>
        <v>#REF!</v>
      </c>
      <c r="N133" s="16">
        <f t="shared" si="339"/>
        <v>134.66587199999998</v>
      </c>
      <c r="P133" s="56">
        <v>2</v>
      </c>
      <c r="Q133" s="57">
        <f t="shared" si="370"/>
        <v>3.9143999999999997</v>
      </c>
      <c r="R133" s="57">
        <f t="shared" si="340"/>
        <v>110.21000000000001</v>
      </c>
      <c r="S133" s="57">
        <f t="shared" si="341"/>
        <v>3.1913099999999996</v>
      </c>
      <c r="T133" s="56">
        <f t="shared" si="387"/>
        <v>10.554706335683813</v>
      </c>
      <c r="U133" s="57">
        <f t="shared" ref="U133:U139" si="395">K133*U$2*0.000001</f>
        <v>0.59519999999999995</v>
      </c>
      <c r="V133" s="57">
        <f t="shared" ref="V133" si="396">L133*V$2</f>
        <v>4</v>
      </c>
      <c r="W133" s="57">
        <f t="shared" si="374"/>
        <v>134.46561633568382</v>
      </c>
      <c r="X133" s="57">
        <f t="shared" si="375"/>
        <v>134.66587199999998</v>
      </c>
      <c r="Y133" s="16">
        <f t="shared" si="376"/>
        <v>-0.20025566431615971</v>
      </c>
      <c r="Z133" s="16"/>
      <c r="AA133">
        <v>333</v>
      </c>
      <c r="AB133" s="66">
        <f>P133-$AN124*P133-$AN122*P133-$AN123*P133+$AN128*P134</f>
        <v>2.5485372439999998</v>
      </c>
      <c r="AC133" s="66">
        <f t="shared" ref="AC133" si="397">Q133-$AN124*Q133-$AN122*Q133-$AN123*Q133+$AN128*Q134</f>
        <v>3.0637375999999996</v>
      </c>
      <c r="AD133" s="66">
        <f t="shared" ref="AD133" si="398">R133-$AN124*R133-$AN122*R133-$AN123*R133+$AN128*R134</f>
        <v>86.470560000000006</v>
      </c>
      <c r="AE133" s="66">
        <f t="shared" ref="AE133" si="399">S133-$AN124*S133-$AN122*S133-$AN123*S133+$AN128*S134</f>
        <v>2.2466822400000002</v>
      </c>
      <c r="AF133" s="66">
        <f t="shared" ref="AF133" si="400">T133-$AN124*T133-$AN122*T133-$AN123*T133+$AN128*T134</f>
        <v>14.514513260321404</v>
      </c>
      <c r="AG133" s="66">
        <f t="shared" ref="AG133" si="401">U133-$AN124*U133-$AN122*U133-$AN123*U133+$AN128*U134</f>
        <v>0.41902079999999997</v>
      </c>
      <c r="AH133" s="66">
        <f t="shared" ref="AH133" si="402">V133-$AN124*V133-$AN122*V133-$AN123*V133+$AN128*V134</f>
        <v>3.4319999999999999</v>
      </c>
      <c r="AI133" s="16">
        <f t="shared" si="349"/>
        <v>112.69505114432141</v>
      </c>
      <c r="AJ133" s="16">
        <f t="shared" si="350"/>
        <v>108.84403034432141</v>
      </c>
      <c r="AK133" s="16"/>
      <c r="AL133" s="16"/>
      <c r="AM133" s="64" t="s">
        <v>164</v>
      </c>
      <c r="AN133" s="68">
        <f>MECS_Total_Fuel!AQ151</f>
        <v>0.31000000000000005</v>
      </c>
      <c r="AP133" s="2"/>
      <c r="AQ133" s="4">
        <f>MECS_EnergyPrices!F115</f>
        <v>3.18</v>
      </c>
      <c r="AR133" s="4">
        <f>MECS_EnergyPrices!F84</f>
        <v>5.24</v>
      </c>
      <c r="AS133" s="5">
        <f>MECS_EnergyPrices!F26</f>
        <v>3.71</v>
      </c>
      <c r="AT133">
        <f>MECS_EnergyPrices!F55</f>
        <v>10.02</v>
      </c>
      <c r="AU133" s="48">
        <f>MECS_EnergyPrices!F144</f>
        <v>1.65</v>
      </c>
      <c r="AV133" s="47"/>
      <c r="AW133" s="41"/>
      <c r="AX133" s="34" t="str">
        <f t="shared" si="351"/>
        <v>333</v>
      </c>
      <c r="AY133" s="16">
        <f t="shared" si="352"/>
        <v>108.84403034432141</v>
      </c>
      <c r="AZ133">
        <f>MECS_Total_Fuel!S98</f>
        <v>112.92234511482371</v>
      </c>
      <c r="BA133">
        <f t="shared" si="385"/>
        <v>1.0374693472632426</v>
      </c>
      <c r="BD133" s="3">
        <f t="shared" si="377"/>
        <v>112.9223451148237</v>
      </c>
      <c r="BF133" t="str">
        <f t="shared" si="331"/>
        <v>333</v>
      </c>
      <c r="BG133" s="9" t="str">
        <f t="shared" si="332"/>
        <v>Machinery</v>
      </c>
      <c r="BH133" s="4">
        <f>'[6]Table 7.6'!BG119</f>
        <v>0</v>
      </c>
      <c r="BI133" s="4">
        <f>'[6]Table 7.6'!BH119</f>
        <v>0</v>
      </c>
      <c r="BJ133">
        <f t="shared" si="333"/>
        <v>0</v>
      </c>
      <c r="BK133" s="4">
        <f t="shared" si="354"/>
        <v>112.69505114432141</v>
      </c>
      <c r="BL133" s="14">
        <f t="shared" si="355"/>
        <v>391.42481398425031</v>
      </c>
      <c r="BM133" s="4">
        <f t="shared" si="378"/>
        <v>3.4733096973617532</v>
      </c>
      <c r="BN133" s="3">
        <f>'[13]3DNAICS'!AX187</f>
        <v>1017</v>
      </c>
      <c r="BP133" s="17">
        <f t="shared" si="379"/>
        <v>2.3414579889570963E-2</v>
      </c>
      <c r="BQ133" s="17">
        <f t="shared" si="380"/>
        <v>2.8147961723835966E-2</v>
      </c>
      <c r="BR133" s="17">
        <f t="shared" si="381"/>
        <v>0.7944446721281424</v>
      </c>
      <c r="BS133" s="17">
        <f t="shared" si="382"/>
        <v>2.0641299599920719E-2</v>
      </c>
      <c r="BT133" s="17">
        <f t="shared" si="383"/>
        <v>0.13335148665852994</v>
      </c>
      <c r="BU133" s="17">
        <v>0</v>
      </c>
      <c r="BV133" s="17">
        <v>0</v>
      </c>
      <c r="BW133">
        <f t="shared" si="358"/>
        <v>0.99999999999999989</v>
      </c>
    </row>
    <row r="134" spans="2:75" ht="15" x14ac:dyDescent="0.25">
      <c r="B134" s="6" t="s">
        <v>42</v>
      </c>
      <c r="C134" s="7" t="s">
        <v>43</v>
      </c>
      <c r="D134" s="57">
        <v>105</v>
      </c>
      <c r="E134" s="57">
        <v>13494</v>
      </c>
      <c r="F134" s="57">
        <v>589</v>
      </c>
      <c r="G134" s="57">
        <v>237</v>
      </c>
      <c r="H134" s="57">
        <v>28</v>
      </c>
      <c r="I134" s="56">
        <f>I78/$N78*$N134</f>
        <v>0</v>
      </c>
      <c r="J134" s="57">
        <v>1065</v>
      </c>
      <c r="K134" s="57">
        <v>0</v>
      </c>
      <c r="L134" s="56">
        <f>L78/$N78*$N134</f>
        <v>1.0746057447112389</v>
      </c>
      <c r="M134" s="14" t="e">
        <f>'[18]Table 4.2'!L172</f>
        <v>#REF!</v>
      </c>
      <c r="N134" s="16">
        <f t="shared" si="339"/>
        <v>58.958472</v>
      </c>
      <c r="P134" s="57">
        <f t="shared" si="384"/>
        <v>3.7030429999999996</v>
      </c>
      <c r="Q134" s="57">
        <v>1</v>
      </c>
      <c r="R134" s="57">
        <f t="shared" si="340"/>
        <v>28.84</v>
      </c>
      <c r="S134" s="56">
        <f t="shared" si="341"/>
        <v>0</v>
      </c>
      <c r="T134" s="57">
        <v>23</v>
      </c>
      <c r="U134" s="57">
        <f t="shared" si="395"/>
        <v>0</v>
      </c>
      <c r="V134" s="56">
        <v>2</v>
      </c>
      <c r="W134" s="57">
        <f t="shared" si="374"/>
        <v>58.543042999999997</v>
      </c>
      <c r="X134" s="57">
        <f t="shared" si="375"/>
        <v>58.958472</v>
      </c>
      <c r="Y134" s="16">
        <f t="shared" si="376"/>
        <v>-0.41542900000000316</v>
      </c>
      <c r="Z134" s="16"/>
      <c r="AA134">
        <v>334</v>
      </c>
      <c r="AB134" s="66">
        <f>$AN122*P133+$AN135*P134+$AN133*P135</f>
        <v>2.264730202</v>
      </c>
      <c r="AC134" s="66">
        <f t="shared" ref="AC134" si="403">$AN122*Q133+$AN135*Q134+$AN133*Q135</f>
        <v>1.0954336</v>
      </c>
      <c r="AD134" s="66">
        <f t="shared" ref="AD134" si="404">$AN122*R133+$AN135*R134+$AN133*R135</f>
        <v>43.270300000000006</v>
      </c>
      <c r="AE134" s="66">
        <f t="shared" ref="AE134" si="405">$AN122*S133+$AN135*S134+$AN133*S135</f>
        <v>0.86763966000000003</v>
      </c>
      <c r="AF134" s="66">
        <f t="shared" ref="AF134" si="406">$AN122*T133+$AN135*T134+$AN133*T135</f>
        <v>8.9419541421269262</v>
      </c>
      <c r="AG134" s="66">
        <f t="shared" ref="AG134" si="407">$AN122*U133+$AN135*U134+$AN133*U135</f>
        <v>3.2140799999999997E-2</v>
      </c>
      <c r="AH134" s="66">
        <f t="shared" ref="AH134" si="408">$AN122*V133+$AN135*V134+$AN133*V135</f>
        <v>8.0740000000000016</v>
      </c>
      <c r="AI134" s="16">
        <f t="shared" si="349"/>
        <v>64.54619840412694</v>
      </c>
      <c r="AJ134" s="16">
        <f t="shared" si="350"/>
        <v>56.440057604126949</v>
      </c>
      <c r="AK134" s="16"/>
      <c r="AL134" s="16"/>
      <c r="AM134" s="64" t="s">
        <v>165</v>
      </c>
      <c r="AN134" s="68">
        <f>MECS_Total_Fuel!AQ152</f>
        <v>0</v>
      </c>
      <c r="AP134" s="2"/>
      <c r="AQ134" s="4">
        <f>MECS_EnergyPrices!F116</f>
        <v>3.3330000000000002</v>
      </c>
      <c r="AR134" s="4">
        <f>MECS_EnergyPrices!F85</f>
        <v>5.2349999999999994</v>
      </c>
      <c r="AS134" s="5">
        <f>MECS_EnergyPrices!F27</f>
        <v>3.6230000000000002</v>
      </c>
      <c r="AT134">
        <f>MECS_EnergyPrices!F56</f>
        <v>5.5270000000000001</v>
      </c>
      <c r="AU134" s="48">
        <f>MECS_EnergyPrices!F145</f>
        <v>1.4909999999999999</v>
      </c>
      <c r="AV134" s="47"/>
      <c r="AW134" s="41"/>
      <c r="AX134" s="34" t="str">
        <f t="shared" si="351"/>
        <v>334</v>
      </c>
      <c r="AY134" s="16">
        <f t="shared" si="352"/>
        <v>56.440057604126949</v>
      </c>
      <c r="AZ134">
        <f>MECS_Total_Fuel!S99</f>
        <v>66.930484972733723</v>
      </c>
      <c r="BA134">
        <f t="shared" si="385"/>
        <v>1.1858684738096317</v>
      </c>
      <c r="BD134" s="3">
        <f t="shared" si="377"/>
        <v>66.930484972733723</v>
      </c>
      <c r="BF134" t="str">
        <f t="shared" si="331"/>
        <v>334</v>
      </c>
      <c r="BG134" s="9" t="str">
        <f t="shared" si="332"/>
        <v>Computer and Electronic Products</v>
      </c>
      <c r="BH134" s="4">
        <f>'[6]Table 7.6'!BG120</f>
        <v>0</v>
      </c>
      <c r="BI134" s="4">
        <f>'[6]Table 7.6'!BH120</f>
        <v>0</v>
      </c>
      <c r="BJ134">
        <f t="shared" si="333"/>
        <v>0</v>
      </c>
      <c r="BK134" s="4">
        <f t="shared" si="354"/>
        <v>64.54619840412694</v>
      </c>
      <c r="BL134" s="14">
        <f t="shared" si="355"/>
        <v>188.17913558599727</v>
      </c>
      <c r="BM134" s="4">
        <f t="shared" si="378"/>
        <v>2.9154177974634292</v>
      </c>
      <c r="BN134" s="3">
        <f>'[13]3DNAICS'!AX188</f>
        <v>2296</v>
      </c>
      <c r="BP134" s="17">
        <f t="shared" si="379"/>
        <v>4.0126291469879734E-2</v>
      </c>
      <c r="BQ134" s="17">
        <f t="shared" si="380"/>
        <v>1.9408796633118619E-2</v>
      </c>
      <c r="BR134" s="17">
        <f t="shared" si="381"/>
        <v>0.76665938761969021</v>
      </c>
      <c r="BS134" s="17">
        <f t="shared" si="382"/>
        <v>1.5372763544744459E-2</v>
      </c>
      <c r="BT134" s="17">
        <f t="shared" si="383"/>
        <v>0.15843276073256668</v>
      </c>
      <c r="BU134" s="17">
        <v>0</v>
      </c>
      <c r="BV134" s="17">
        <v>0</v>
      </c>
      <c r="BW134">
        <f t="shared" si="358"/>
        <v>0.99999999999999978</v>
      </c>
    </row>
    <row r="135" spans="2:75" ht="15" x14ac:dyDescent="0.25">
      <c r="B135" s="6" t="s">
        <v>44</v>
      </c>
      <c r="C135" s="7" t="s">
        <v>45</v>
      </c>
      <c r="D135" s="57">
        <v>230</v>
      </c>
      <c r="E135" s="57">
        <v>33152</v>
      </c>
      <c r="F135" s="57">
        <v>415</v>
      </c>
      <c r="G135" s="57">
        <v>288</v>
      </c>
      <c r="H135" s="57">
        <v>84</v>
      </c>
      <c r="I135" s="57">
        <v>622</v>
      </c>
      <c r="J135" s="56">
        <v>0</v>
      </c>
      <c r="K135" s="56">
        <v>0</v>
      </c>
      <c r="L135" s="56">
        <v>0</v>
      </c>
      <c r="M135" s="14" t="e">
        <f>'[18]Table 4.2'!L173</f>
        <v>#REF!</v>
      </c>
      <c r="N135" s="16">
        <f t="shared" si="339"/>
        <v>116.88537599999999</v>
      </c>
      <c r="P135" s="57">
        <f t="shared" si="384"/>
        <v>2.609105</v>
      </c>
      <c r="Q135" s="57">
        <f t="shared" ref="Q135:Q137" si="409">G135*Q$2*0.000001</f>
        <v>1.6776</v>
      </c>
      <c r="R135" s="57">
        <f t="shared" si="340"/>
        <v>86.52</v>
      </c>
      <c r="S135" s="57">
        <f t="shared" si="341"/>
        <v>2.2429319999999997</v>
      </c>
      <c r="T135" s="56">
        <f t="shared" ref="T135:T139" si="410">J135*T$2*0.000001</f>
        <v>0</v>
      </c>
      <c r="U135" s="56">
        <f t="shared" si="395"/>
        <v>0</v>
      </c>
      <c r="V135" s="29">
        <v>23</v>
      </c>
      <c r="W135" s="57">
        <f t="shared" si="374"/>
        <v>116.04963699999999</v>
      </c>
      <c r="X135" s="57">
        <f t="shared" si="375"/>
        <v>116.88537599999999</v>
      </c>
      <c r="Y135" s="16">
        <f t="shared" si="376"/>
        <v>-0.83573900000000378</v>
      </c>
      <c r="Z135" s="16"/>
      <c r="AA135">
        <v>335</v>
      </c>
      <c r="AB135" s="66">
        <f>(1-$AN132-$AN133)*P135</f>
        <v>1.6959182499999998</v>
      </c>
      <c r="AC135" s="66">
        <f t="shared" ref="AC135" si="411">(1-$AN132-$AN133)*Q135</f>
        <v>1.0904399999999999</v>
      </c>
      <c r="AD135" s="66">
        <f t="shared" ref="AD135" si="412">(1-$AN132-$AN133)*R135</f>
        <v>56.237999999999992</v>
      </c>
      <c r="AE135" s="66">
        <f t="shared" ref="AE135" si="413">(1-$AN132-$AN133)*S135</f>
        <v>1.4579057999999996</v>
      </c>
      <c r="AF135" s="66">
        <f t="shared" ref="AF135" si="414">(1-$AN132-$AN133)*T135</f>
        <v>0</v>
      </c>
      <c r="AG135" s="66">
        <f t="shared" ref="AG135" si="415">(1-$AN132-$AN133)*U135</f>
        <v>0</v>
      </c>
      <c r="AH135" s="66">
        <f t="shared" ref="AH135" si="416">(1-$AN132-$AN133)*V135</f>
        <v>14.949999999999998</v>
      </c>
      <c r="AI135" s="16">
        <f t="shared" si="349"/>
        <v>75.432264049999986</v>
      </c>
      <c r="AJ135" s="16">
        <f t="shared" si="350"/>
        <v>60.482264049999991</v>
      </c>
      <c r="AK135" s="16"/>
      <c r="AL135" s="16"/>
      <c r="AM135" s="64" t="s">
        <v>166</v>
      </c>
      <c r="AN135" s="68">
        <f>MECS_Total_Fuel!AQ153</f>
        <v>0.36399999999999999</v>
      </c>
      <c r="AP135" s="2"/>
      <c r="AQ135" s="4">
        <f>MECS_EnergyPrices!F117</f>
        <v>3.48</v>
      </c>
      <c r="AR135" s="4">
        <f>MECS_EnergyPrices!F86</f>
        <v>5.25</v>
      </c>
      <c r="AS135" s="5">
        <f>MECS_EnergyPrices!F28</f>
        <v>3.56</v>
      </c>
      <c r="AT135">
        <f>MECS_EnergyPrices!F57</f>
        <v>6.28</v>
      </c>
      <c r="AU135" s="48">
        <f>MECS_EnergyPrices!F146</f>
        <v>2.13</v>
      </c>
      <c r="AV135" s="47"/>
      <c r="AW135" s="41"/>
      <c r="AX135" s="34" t="str">
        <f t="shared" si="351"/>
        <v>335</v>
      </c>
      <c r="AY135" s="16">
        <f t="shared" si="352"/>
        <v>60.482264049999991</v>
      </c>
      <c r="AZ135">
        <f>MECS_Total_Fuel!S100</f>
        <v>67.848599515192888</v>
      </c>
      <c r="BA135">
        <f t="shared" si="385"/>
        <v>1.1217933154602684</v>
      </c>
      <c r="BD135" s="3">
        <f t="shared" si="377"/>
        <v>67.848599515192888</v>
      </c>
      <c r="BF135" t="str">
        <f t="shared" si="331"/>
        <v>335</v>
      </c>
      <c r="BG135" s="9" t="str">
        <f t="shared" si="332"/>
        <v>Electrical Equip., Appliances, and Components</v>
      </c>
      <c r="BH135" s="4">
        <f>'[6]Table 7.6'!BG121</f>
        <v>0</v>
      </c>
      <c r="BI135" s="4">
        <f>'[6]Table 7.6'!BH121</f>
        <v>0</v>
      </c>
      <c r="BJ135">
        <f t="shared" si="333"/>
        <v>0</v>
      </c>
      <c r="BK135" s="4">
        <f t="shared" si="354"/>
        <v>75.432264049999986</v>
      </c>
      <c r="BL135" s="14">
        <f t="shared" si="355"/>
        <v>220.98953393399995</v>
      </c>
      <c r="BM135" s="4">
        <f t="shared" si="378"/>
        <v>2.9296420665236549</v>
      </c>
      <c r="BN135" s="3">
        <f>'[13]3DNAICS'!AX189</f>
        <v>2729</v>
      </c>
      <c r="BP135" s="17">
        <f t="shared" si="379"/>
        <v>2.8039926689880586E-2</v>
      </c>
      <c r="BQ135" s="17">
        <f t="shared" si="380"/>
        <v>1.8029086991494657E-2</v>
      </c>
      <c r="BR135" s="17">
        <f t="shared" si="381"/>
        <v>0.9298263033524784</v>
      </c>
      <c r="BS135" s="17">
        <f t="shared" si="382"/>
        <v>2.4104682966146335E-2</v>
      </c>
      <c r="BT135" s="17">
        <f t="shared" si="383"/>
        <v>0</v>
      </c>
      <c r="BU135" s="17">
        <v>0</v>
      </c>
      <c r="BV135" s="17">
        <v>0</v>
      </c>
      <c r="BW135">
        <f t="shared" si="358"/>
        <v>1</v>
      </c>
    </row>
    <row r="136" spans="2:75" ht="15" x14ac:dyDescent="0.25">
      <c r="B136" s="6" t="s">
        <v>46</v>
      </c>
      <c r="C136" s="7" t="s">
        <v>47</v>
      </c>
      <c r="D136" s="57">
        <v>356</v>
      </c>
      <c r="E136" s="57">
        <v>38998</v>
      </c>
      <c r="F136" s="57">
        <v>1781</v>
      </c>
      <c r="G136" s="57">
        <v>1103</v>
      </c>
      <c r="H136" s="57">
        <v>150</v>
      </c>
      <c r="I136" s="56">
        <f>I80/$N80*$N136</f>
        <v>594.61872240618789</v>
      </c>
      <c r="J136" s="57">
        <v>1245</v>
      </c>
      <c r="K136" s="56">
        <v>0</v>
      </c>
      <c r="L136" s="57">
        <v>19</v>
      </c>
      <c r="M136" s="14" t="e">
        <f>'[18]Table 4.2'!L174</f>
        <v>#REF!</v>
      </c>
      <c r="N136" s="16">
        <f t="shared" si="339"/>
        <v>222.93882399999998</v>
      </c>
      <c r="P136" s="57">
        <f t="shared" si="384"/>
        <v>11.197146999999999</v>
      </c>
      <c r="Q136" s="57">
        <f t="shared" si="409"/>
        <v>6.4249749999999999</v>
      </c>
      <c r="R136" s="57">
        <f t="shared" si="340"/>
        <v>154.5</v>
      </c>
      <c r="S136" s="56">
        <f t="shared" si="341"/>
        <v>2.1441951129967136</v>
      </c>
      <c r="T136" s="57">
        <f t="shared" si="410"/>
        <v>27.40494</v>
      </c>
      <c r="U136" s="60">
        <v>2</v>
      </c>
      <c r="V136" s="57">
        <f t="shared" ref="V136:V137" si="417">L136*V$2</f>
        <v>19</v>
      </c>
      <c r="W136" s="57">
        <f t="shared" si="374"/>
        <v>222.67125711299673</v>
      </c>
      <c r="X136" s="57">
        <f t="shared" si="375"/>
        <v>222.93882399999998</v>
      </c>
      <c r="Y136" s="16">
        <f t="shared" si="376"/>
        <v>-0.26756688700325526</v>
      </c>
      <c r="Z136" s="16"/>
      <c r="AA136">
        <v>336</v>
      </c>
      <c r="AB136" s="66">
        <f>P136+$AN131*P132+$AN123*P133+$AN132*P135</f>
        <v>11.551874219999998</v>
      </c>
      <c r="AC136" s="66">
        <f t="shared" ref="AC136" si="418">Q136+$AN131*Q132+$AN123*Q133+$AN132*Q135</f>
        <v>6.8749562499999994</v>
      </c>
      <c r="AD136" s="66">
        <f t="shared" ref="AD136" si="419">R136+$AN131*R132+$AN123*R133+$AN132*R135</f>
        <v>175.52230000000003</v>
      </c>
      <c r="AE136" s="66">
        <f t="shared" ref="AE136" si="420">S136+$AN131*S132+$AN123*S133+$AN132*S135</f>
        <v>2.6344668729967133</v>
      </c>
      <c r="AF136" s="66">
        <f t="shared" ref="AF136" si="421">T136+$AN131*T132+$AN123*T133+$AN132*T135</f>
        <v>28.079200697946316</v>
      </c>
      <c r="AG136" s="66">
        <f t="shared" ref="AG136" si="422">U136+$AN131*U132+$AN123*U133+$AN132*U135</f>
        <v>2.0819039999999998</v>
      </c>
      <c r="AH136" s="66">
        <f t="shared" ref="AH136" si="423">V136+$AN131*V132+$AN123*V133+$AN132*V135</f>
        <v>20.63</v>
      </c>
      <c r="AI136" s="16">
        <f t="shared" si="349"/>
        <v>247.37470204094305</v>
      </c>
      <c r="AJ136" s="16">
        <f t="shared" si="350"/>
        <v>224.66279804094304</v>
      </c>
      <c r="AK136" s="16"/>
      <c r="AL136" s="16"/>
      <c r="AM136" s="16"/>
      <c r="AN136" s="16"/>
      <c r="AP136" s="2"/>
      <c r="AQ136" s="4">
        <f>MECS_EnergyPrices!F118</f>
        <v>2.68</v>
      </c>
      <c r="AR136" s="4">
        <f>MECS_EnergyPrices!F87</f>
        <v>4.12</v>
      </c>
      <c r="AS136" s="5">
        <f>MECS_EnergyPrices!F29</f>
        <v>3.31</v>
      </c>
      <c r="AT136">
        <f>MECS_EnergyPrices!F58</f>
        <v>8.67</v>
      </c>
      <c r="AU136" s="48">
        <f>MECS_EnergyPrices!F147</f>
        <v>1.87</v>
      </c>
      <c r="AV136" s="47"/>
      <c r="AW136" s="41"/>
      <c r="AX136" s="34" t="str">
        <f t="shared" si="351"/>
        <v>336</v>
      </c>
      <c r="AY136" s="16">
        <f t="shared" si="352"/>
        <v>224.66279804094304</v>
      </c>
      <c r="AZ136">
        <f>MECS_Total_Fuel!S101</f>
        <v>260.23443301298028</v>
      </c>
      <c r="BA136">
        <f t="shared" si="385"/>
        <v>1.1583334458674133</v>
      </c>
      <c r="BD136" s="3">
        <f t="shared" si="377"/>
        <v>260.23443301298028</v>
      </c>
      <c r="BF136" t="str">
        <f t="shared" si="331"/>
        <v>336</v>
      </c>
      <c r="BG136" s="9" t="str">
        <f t="shared" si="332"/>
        <v>Transportation Equipment</v>
      </c>
      <c r="BH136" s="4">
        <f>'[6]Table 7.6'!BG122</f>
        <v>0</v>
      </c>
      <c r="BI136" s="4">
        <f>'[6]Table 7.6'!BH122</f>
        <v>0</v>
      </c>
      <c r="BJ136">
        <f t="shared" si="333"/>
        <v>0</v>
      </c>
      <c r="BK136" s="4">
        <f t="shared" si="354"/>
        <v>247.37470204094305</v>
      </c>
      <c r="BL136" s="14">
        <f t="shared" si="355"/>
        <v>715.61158875364117</v>
      </c>
      <c r="BM136" s="4">
        <f t="shared" si="378"/>
        <v>2.892824459613498</v>
      </c>
      <c r="BN136" s="3">
        <f>'[13]3DNAICS'!AX190</f>
        <v>543</v>
      </c>
      <c r="BP136" s="17">
        <f t="shared" si="379"/>
        <v>5.1418723174162372E-2</v>
      </c>
      <c r="BQ136" s="17">
        <f t="shared" si="380"/>
        <v>3.0601222409537925E-2</v>
      </c>
      <c r="BR136" s="17">
        <f t="shared" si="381"/>
        <v>0.78126998119204616</v>
      </c>
      <c r="BS136" s="17">
        <f t="shared" si="382"/>
        <v>1.1726315598173056E-2</v>
      </c>
      <c r="BT136" s="17">
        <f t="shared" si="383"/>
        <v>0.12498375762608058</v>
      </c>
      <c r="BU136" s="17">
        <v>0</v>
      </c>
      <c r="BV136" s="17">
        <v>0</v>
      </c>
      <c r="BW136">
        <f t="shared" si="358"/>
        <v>1</v>
      </c>
    </row>
    <row r="137" spans="2:75" ht="15" x14ac:dyDescent="0.25">
      <c r="B137" s="6" t="s">
        <v>48</v>
      </c>
      <c r="C137" s="7" t="s">
        <v>49</v>
      </c>
      <c r="D137" s="57">
        <v>54</v>
      </c>
      <c r="E137" s="57">
        <v>6678</v>
      </c>
      <c r="F137" s="57">
        <v>60</v>
      </c>
      <c r="G137" s="57">
        <v>153</v>
      </c>
      <c r="H137" s="57">
        <v>23</v>
      </c>
      <c r="I137" s="57">
        <v>211</v>
      </c>
      <c r="J137" s="57">
        <v>115</v>
      </c>
      <c r="K137" s="57">
        <v>0</v>
      </c>
      <c r="L137" s="57">
        <v>3</v>
      </c>
      <c r="M137" s="14" t="e">
        <f>'[18]Table 4.2'!L175</f>
        <v>#REF!</v>
      </c>
      <c r="N137" s="16">
        <f t="shared" si="339"/>
        <v>31.214663999999999</v>
      </c>
      <c r="P137" s="57">
        <f t="shared" si="384"/>
        <v>0.37722</v>
      </c>
      <c r="Q137" s="57">
        <f t="shared" si="409"/>
        <v>0.89122499999999993</v>
      </c>
      <c r="R137" s="57">
        <f t="shared" si="340"/>
        <v>23.69</v>
      </c>
      <c r="S137" s="57">
        <f t="shared" si="341"/>
        <v>0.76086599999999993</v>
      </c>
      <c r="T137" s="57">
        <f t="shared" si="410"/>
        <v>2.53138</v>
      </c>
      <c r="U137" s="57">
        <f t="shared" si="395"/>
        <v>0</v>
      </c>
      <c r="V137" s="57">
        <f t="shared" si="417"/>
        <v>3</v>
      </c>
      <c r="W137" s="57">
        <f t="shared" si="374"/>
        <v>31.250691</v>
      </c>
      <c r="X137" s="57">
        <f t="shared" si="375"/>
        <v>31.214663999999999</v>
      </c>
      <c r="Y137" s="16">
        <f t="shared" si="376"/>
        <v>3.6027000000000697E-2</v>
      </c>
      <c r="Z137" s="16"/>
      <c r="AA137">
        <v>337</v>
      </c>
      <c r="AB137" s="66">
        <f>P137</f>
        <v>0.37722</v>
      </c>
      <c r="AC137" s="66">
        <f t="shared" ref="AC137" si="424">Q137</f>
        <v>0.89122499999999993</v>
      </c>
      <c r="AD137" s="66">
        <f t="shared" ref="AD137" si="425">R137</f>
        <v>23.69</v>
      </c>
      <c r="AE137" s="66">
        <f t="shared" ref="AE137" si="426">S137</f>
        <v>0.76086599999999993</v>
      </c>
      <c r="AF137" s="66">
        <f t="shared" ref="AF137" si="427">T137</f>
        <v>2.53138</v>
      </c>
      <c r="AG137" s="66">
        <f t="shared" ref="AG137" si="428">U137</f>
        <v>0</v>
      </c>
      <c r="AH137" s="66">
        <f t="shared" ref="AH137" si="429">V137</f>
        <v>3</v>
      </c>
      <c r="AI137" s="16">
        <f t="shared" si="349"/>
        <v>31.250691</v>
      </c>
      <c r="AJ137" s="16">
        <f t="shared" si="350"/>
        <v>28.250691</v>
      </c>
      <c r="AK137" s="16"/>
      <c r="AL137" s="16"/>
      <c r="AM137" s="16"/>
      <c r="AN137" s="16"/>
      <c r="AP137" s="2"/>
      <c r="AQ137" s="4">
        <f>MECS_EnergyPrices!F119</f>
        <v>3.48</v>
      </c>
      <c r="AR137" s="4">
        <f>MECS_EnergyPrices!F88</f>
        <v>5.57</v>
      </c>
      <c r="AS137" s="5">
        <f>MECS_EnergyPrices!F30</f>
        <v>3.88</v>
      </c>
      <c r="AT137">
        <f>MECS_EnergyPrices!F59</f>
        <v>9.42</v>
      </c>
      <c r="AU137" s="48">
        <f>MECS_EnergyPrices!F148</f>
        <v>2.27</v>
      </c>
      <c r="AV137" s="47"/>
      <c r="AW137" s="41"/>
      <c r="AX137" s="34" t="str">
        <f t="shared" si="351"/>
        <v>337</v>
      </c>
      <c r="AY137" s="16">
        <f t="shared" si="352"/>
        <v>28.250691</v>
      </c>
      <c r="AZ137">
        <f>MECS_Total_Fuel!S102</f>
        <v>47.300771088826892</v>
      </c>
      <c r="BA137">
        <f t="shared" si="385"/>
        <v>1.6743226241378271</v>
      </c>
      <c r="BD137" s="3">
        <f t="shared" si="377"/>
        <v>47.300771088826892</v>
      </c>
      <c r="BF137" t="str">
        <f t="shared" si="331"/>
        <v>337</v>
      </c>
      <c r="BG137" s="9" t="str">
        <f t="shared" si="332"/>
        <v>Furniture and Related Products</v>
      </c>
      <c r="BH137" s="4">
        <f>'[6]Table 7.6'!BG123</f>
        <v>0</v>
      </c>
      <c r="BI137" s="4">
        <f>'[6]Table 7.6'!BH123</f>
        <v>0</v>
      </c>
      <c r="BJ137">
        <f t="shared" si="333"/>
        <v>0</v>
      </c>
      <c r="BK137" s="4">
        <f t="shared" si="354"/>
        <v>31.250691</v>
      </c>
      <c r="BL137" s="14">
        <f t="shared" si="355"/>
        <v>111.10763917</v>
      </c>
      <c r="BM137" s="4">
        <f t="shared" si="378"/>
        <v>3.5553658371906081</v>
      </c>
      <c r="BN137" s="3">
        <f>'[13]3DNAICS'!AX191</f>
        <v>436</v>
      </c>
      <c r="BP137" s="17">
        <f t="shared" si="379"/>
        <v>1.3352593747175954E-2</v>
      </c>
      <c r="BQ137" s="17">
        <f t="shared" si="380"/>
        <v>3.1547015965025418E-2</v>
      </c>
      <c r="BR137" s="17">
        <f t="shared" si="381"/>
        <v>0.83856355938337934</v>
      </c>
      <c r="BS137" s="17">
        <f t="shared" si="382"/>
        <v>2.693265095710402E-2</v>
      </c>
      <c r="BT137" s="17">
        <f t="shared" si="383"/>
        <v>8.9604179947315274E-2</v>
      </c>
      <c r="BU137" s="17">
        <v>0</v>
      </c>
      <c r="BV137" s="17">
        <v>0</v>
      </c>
      <c r="BW137">
        <f t="shared" si="358"/>
        <v>1</v>
      </c>
    </row>
    <row r="138" spans="2:75" ht="15" x14ac:dyDescent="0.25">
      <c r="B138" s="6" t="s">
        <v>50</v>
      </c>
      <c r="C138" s="7" t="s">
        <v>51</v>
      </c>
      <c r="D138" s="57">
        <v>50</v>
      </c>
      <c r="E138" s="57">
        <v>5575</v>
      </c>
      <c r="F138" s="57">
        <v>142</v>
      </c>
      <c r="G138" s="57">
        <v>209</v>
      </c>
      <c r="H138" s="57">
        <v>19</v>
      </c>
      <c r="I138" s="56">
        <f>I82/$N82*$N138</f>
        <v>0</v>
      </c>
      <c r="J138" s="57">
        <v>37</v>
      </c>
      <c r="K138" s="57">
        <v>0</v>
      </c>
      <c r="L138" s="56">
        <v>0</v>
      </c>
      <c r="M138" s="14" t="e">
        <f>'[18]Table 4.2'!L176</f>
        <v>#REF!</v>
      </c>
      <c r="N138" s="16">
        <f t="shared" si="339"/>
        <v>30.978099999999998</v>
      </c>
      <c r="P138" s="57">
        <f t="shared" si="384"/>
        <v>0.89275399999999994</v>
      </c>
      <c r="Q138" s="57">
        <v>1</v>
      </c>
      <c r="R138" s="57">
        <f t="shared" si="340"/>
        <v>19.57</v>
      </c>
      <c r="S138" s="56">
        <f t="shared" si="341"/>
        <v>0</v>
      </c>
      <c r="T138" s="57">
        <f t="shared" si="410"/>
        <v>0.81444399999999995</v>
      </c>
      <c r="U138" s="57">
        <f t="shared" si="395"/>
        <v>0</v>
      </c>
      <c r="V138" s="56">
        <v>9</v>
      </c>
      <c r="W138" s="58">
        <f t="shared" si="374"/>
        <v>31.277197999999999</v>
      </c>
      <c r="X138" s="58">
        <f t="shared" si="375"/>
        <v>30.978099999999998</v>
      </c>
      <c r="Y138" s="16">
        <f t="shared" si="376"/>
        <v>0.29909800000000075</v>
      </c>
      <c r="Z138" s="16"/>
      <c r="AA138">
        <v>339</v>
      </c>
      <c r="AB138" s="66">
        <f>P138+$AN129*P134</f>
        <v>2.1073521039999998</v>
      </c>
      <c r="AC138" s="66">
        <f t="shared" ref="AC138" si="430">Q138+$AN129*Q134</f>
        <v>1.3280000000000001</v>
      </c>
      <c r="AD138" s="66">
        <f t="shared" ref="AD138" si="431">R138+$AN129*R134</f>
        <v>29.029519999999998</v>
      </c>
      <c r="AE138" s="66">
        <f t="shared" ref="AE138" si="432">S138+$AN129*S134</f>
        <v>0</v>
      </c>
      <c r="AF138" s="66">
        <f t="shared" ref="AF138" si="433">T138+$AN129*T134</f>
        <v>8.3584440000000004</v>
      </c>
      <c r="AG138" s="66">
        <f t="shared" ref="AG138" si="434">U138+$AN129*U134</f>
        <v>0</v>
      </c>
      <c r="AH138" s="66">
        <f t="shared" ref="AH138" si="435">V138+$AN129*V134</f>
        <v>9.6560000000000006</v>
      </c>
      <c r="AI138" s="16">
        <f t="shared" si="349"/>
        <v>50.479316103999992</v>
      </c>
      <c r="AJ138" s="16">
        <f t="shared" si="350"/>
        <v>40.823316103999993</v>
      </c>
      <c r="AK138" s="16"/>
      <c r="AL138" s="16"/>
      <c r="AM138" s="16"/>
      <c r="AN138" s="16"/>
      <c r="AP138" s="2"/>
      <c r="AQ138" s="4">
        <f>MECS_EnergyPrices!F120</f>
        <v>3</v>
      </c>
      <c r="AR138" s="4">
        <f>MECS_EnergyPrices!F89</f>
        <v>3.88</v>
      </c>
      <c r="AS138" s="5">
        <f>MECS_EnergyPrices!F31</f>
        <v>4.42</v>
      </c>
      <c r="AT138">
        <f>MECS_EnergyPrices!F60</f>
        <v>7.38</v>
      </c>
      <c r="AU138" s="48">
        <f>MECS_EnergyPrices!F149</f>
        <v>2</v>
      </c>
      <c r="AV138" s="47"/>
      <c r="AW138" s="41"/>
      <c r="AX138" s="34" t="str">
        <f t="shared" si="351"/>
        <v>339</v>
      </c>
      <c r="AY138" s="16">
        <f t="shared" si="352"/>
        <v>40.823316103999993</v>
      </c>
      <c r="AZ138">
        <f>MECS_Total_Fuel!S103</f>
        <v>48.376910834473634</v>
      </c>
      <c r="BA138">
        <f t="shared" si="385"/>
        <v>1.185031385280666</v>
      </c>
      <c r="BD138" s="3">
        <f t="shared" si="377"/>
        <v>48.376910834473634</v>
      </c>
      <c r="BF138" t="str">
        <f t="shared" si="331"/>
        <v>339</v>
      </c>
      <c r="BG138" s="9" t="str">
        <f t="shared" si="332"/>
        <v>Miscellaneous</v>
      </c>
      <c r="BH138" s="4">
        <f>'[6]Table 7.6'!BG124</f>
        <v>0</v>
      </c>
      <c r="BI138" s="4">
        <f>'[6]Table 7.6'!BH124</f>
        <v>0</v>
      </c>
      <c r="BJ138">
        <f t="shared" si="333"/>
        <v>0</v>
      </c>
      <c r="BK138" s="4">
        <f t="shared" si="354"/>
        <v>50.479316103999992</v>
      </c>
      <c r="BL138" s="14">
        <f t="shared" si="355"/>
        <v>156.502062712</v>
      </c>
      <c r="BM138" s="4">
        <f t="shared" si="378"/>
        <v>3.100320582584096</v>
      </c>
      <c r="BN138" s="3">
        <f>'[13]3DNAICS'!AX506</f>
        <v>162</v>
      </c>
      <c r="BP138" s="17">
        <f t="shared" si="379"/>
        <v>5.162128668409461E-2</v>
      </c>
      <c r="BQ138" s="17">
        <f t="shared" si="380"/>
        <v>3.2530429341331206E-2</v>
      </c>
      <c r="BR138" s="17">
        <f t="shared" si="381"/>
        <v>0.71110146775057304</v>
      </c>
      <c r="BS138" s="17">
        <f t="shared" si="382"/>
        <v>0</v>
      </c>
      <c r="BT138" s="17">
        <f t="shared" si="383"/>
        <v>0.20474681622400132</v>
      </c>
      <c r="BU138" s="17">
        <v>0</v>
      </c>
      <c r="BV138" s="17">
        <v>0</v>
      </c>
      <c r="BW138">
        <f t="shared" si="358"/>
        <v>1.0000000000000002</v>
      </c>
    </row>
    <row r="139" spans="2:75" ht="15" x14ac:dyDescent="0.25">
      <c r="B139" s="6"/>
      <c r="C139" s="8" t="s">
        <v>0</v>
      </c>
      <c r="D139" s="58">
        <v>12066</v>
      </c>
      <c r="E139" s="58">
        <v>803603</v>
      </c>
      <c r="F139" s="58">
        <v>63291</v>
      </c>
      <c r="G139" s="58">
        <v>25298</v>
      </c>
      <c r="H139" s="58">
        <v>5929</v>
      </c>
      <c r="I139" s="58">
        <v>18443</v>
      </c>
      <c r="J139" s="58">
        <v>54143</v>
      </c>
      <c r="K139" s="58">
        <v>17294</v>
      </c>
      <c r="L139" s="58">
        <v>978</v>
      </c>
      <c r="M139" s="14" t="e">
        <f>'[18]Table 4.2'!L177</f>
        <v>#REF!</v>
      </c>
      <c r="N139" s="16">
        <f t="shared" si="339"/>
        <v>9324.1065639999997</v>
      </c>
      <c r="O139" s="16" t="s">
        <v>0</v>
      </c>
      <c r="P139" s="58">
        <f t="shared" si="384"/>
        <v>397.91051699999997</v>
      </c>
      <c r="Q139" s="58">
        <f t="shared" ref="Q139" si="436">G139*Q$2*0.000001</f>
        <v>147.36085</v>
      </c>
      <c r="R139" s="58">
        <f t="shared" si="340"/>
        <v>6106.87</v>
      </c>
      <c r="S139" s="58">
        <f t="shared" si="341"/>
        <v>66.50545799999999</v>
      </c>
      <c r="T139" s="58">
        <f t="shared" si="410"/>
        <v>1191.7957159999999</v>
      </c>
      <c r="U139" s="58">
        <f t="shared" si="395"/>
        <v>428.89119999999997</v>
      </c>
      <c r="V139" s="58">
        <f t="shared" ref="V139" si="437">L139*V$2</f>
        <v>978</v>
      </c>
      <c r="W139" s="53">
        <f t="shared" si="374"/>
        <v>9317.3337409999986</v>
      </c>
      <c r="X139" s="53">
        <f t="shared" si="375"/>
        <v>9324.1065639999997</v>
      </c>
      <c r="Y139" s="16">
        <f t="shared" si="376"/>
        <v>-6.7728230000011536</v>
      </c>
      <c r="Z139" s="16"/>
      <c r="AA139" s="16"/>
      <c r="AB139" s="61"/>
      <c r="AG139" s="16"/>
      <c r="AH139" s="16"/>
      <c r="AI139" s="16"/>
      <c r="AJ139" s="16"/>
      <c r="AK139" s="16"/>
      <c r="AL139" s="16"/>
      <c r="AM139" s="16"/>
      <c r="AN139" s="16"/>
      <c r="AP139" s="2"/>
      <c r="AQ139" s="4">
        <f>MECS_EnergyPrices!F121</f>
        <v>2.58</v>
      </c>
      <c r="AR139" s="4">
        <f>MECS_EnergyPrices!F90</f>
        <v>5.14</v>
      </c>
      <c r="AS139" s="5">
        <f>MECS_EnergyPrices!F32</f>
        <v>0</v>
      </c>
      <c r="AT139">
        <f>MECS_EnergyPrices!F61</f>
        <v>4.82</v>
      </c>
      <c r="AU139" s="48">
        <f>MECS_EnergyPrices!F150</f>
        <v>1.75</v>
      </c>
      <c r="AV139" s="47"/>
      <c r="AW139" s="41"/>
      <c r="AX139" s="34"/>
      <c r="AZ139">
        <f>MECS_Total_Fuel!S104</f>
        <v>13805.955934019132</v>
      </c>
    </row>
    <row r="140" spans="2:75" ht="15" x14ac:dyDescent="0.25">
      <c r="B140" s="6"/>
      <c r="C140" s="8" t="s">
        <v>52</v>
      </c>
      <c r="D140" s="53">
        <f>SUM(D118:D138)</f>
        <v>12065</v>
      </c>
      <c r="E140" s="53">
        <f t="shared" ref="E140:L140" si="438">SUM(E118:E138)</f>
        <v>803600</v>
      </c>
      <c r="F140" s="53">
        <f t="shared" si="438"/>
        <v>63075.673621947535</v>
      </c>
      <c r="G140" s="53">
        <f t="shared" si="438"/>
        <v>25470.374843059144</v>
      </c>
      <c r="H140" s="53">
        <f t="shared" si="438"/>
        <v>5928.0476052157082</v>
      </c>
      <c r="I140" s="53">
        <f t="shared" si="438"/>
        <v>20209.610883763653</v>
      </c>
      <c r="J140" s="53">
        <f t="shared" si="438"/>
        <v>53694.085056393757</v>
      </c>
      <c r="K140" s="53">
        <f t="shared" si="438"/>
        <v>17244.05010699619</v>
      </c>
      <c r="L140" s="53">
        <f t="shared" si="438"/>
        <v>935.9724940200939</v>
      </c>
      <c r="M140" s="14"/>
      <c r="N140" s="16"/>
      <c r="O140" s="16" t="s">
        <v>144</v>
      </c>
      <c r="P140" s="53">
        <f t="shared" ref="P140:Y140" si="439">SUM(P118:P138)</f>
        <v>398.47935294812288</v>
      </c>
      <c r="Q140" s="53">
        <f t="shared" si="439"/>
        <v>147.76698346081949</v>
      </c>
      <c r="R140" s="53">
        <f t="shared" si="439"/>
        <v>6105.8890333721802</v>
      </c>
      <c r="S140" s="53">
        <f t="shared" si="341"/>
        <v>72.875856846851732</v>
      </c>
      <c r="T140" s="53">
        <f t="shared" si="439"/>
        <v>1185.4714202613393</v>
      </c>
      <c r="U140" s="53">
        <f t="shared" si="439"/>
        <v>431.25324265350542</v>
      </c>
      <c r="V140" s="53">
        <f t="shared" si="439"/>
        <v>977.89788827538268</v>
      </c>
      <c r="W140" s="53">
        <f t="shared" si="439"/>
        <v>9316.7324184584704</v>
      </c>
      <c r="X140" s="53">
        <f t="shared" si="439"/>
        <v>9323.116799999998</v>
      </c>
      <c r="Y140" s="21">
        <f t="shared" si="439"/>
        <v>-6.3843815415298781</v>
      </c>
      <c r="Z140" s="21"/>
      <c r="AA140" s="21"/>
      <c r="AB140" s="21">
        <f>SUM(AB118:AB139)</f>
        <v>398.47935294812288</v>
      </c>
      <c r="AC140" s="21">
        <f>SUM(AC118:AC139)</f>
        <v>147.76698346081949</v>
      </c>
      <c r="AD140" s="21">
        <f>SUM(AD118:AD139)</f>
        <v>6105.8890333721793</v>
      </c>
      <c r="AE140" s="21">
        <f t="shared" ref="AE140" si="440">SUM(AE118:AE139)</f>
        <v>69.974497487120658</v>
      </c>
      <c r="AF140" s="21">
        <f t="shared" ref="AF140" si="441">SUM(AF118:AF139)</f>
        <v>1185.4714202613391</v>
      </c>
      <c r="AG140" s="21">
        <f t="shared" ref="AG140" si="442">SUM(AG118:AG139)</f>
        <v>431.25324265350542</v>
      </c>
      <c r="AH140" s="21">
        <f t="shared" ref="AH140" si="443">SUM(AH118:AH139)</f>
        <v>977.89788827538268</v>
      </c>
      <c r="AI140" s="21">
        <f t="shared" ref="AI140" si="444">SUM(AI118:AI139)</f>
        <v>9316.7324184584686</v>
      </c>
      <c r="AJ140" s="21"/>
      <c r="AK140" s="21"/>
      <c r="AL140" s="21"/>
      <c r="AM140" s="21"/>
      <c r="AN140" s="21"/>
      <c r="AV140" s="34"/>
      <c r="AW140" s="34"/>
      <c r="AX140" s="34"/>
    </row>
    <row r="141" spans="2:75" x14ac:dyDescent="0.2">
      <c r="D141" s="34"/>
      <c r="E141" s="34"/>
      <c r="F141" s="34"/>
      <c r="G141" s="34"/>
      <c r="H141" s="34"/>
      <c r="I141" s="34"/>
      <c r="J141" s="34"/>
      <c r="K141" s="34"/>
      <c r="L141" s="34"/>
      <c r="P141" s="34"/>
      <c r="Q141" s="34"/>
      <c r="R141" s="34"/>
      <c r="S141" s="34"/>
      <c r="T141" s="34"/>
      <c r="U141" s="34"/>
      <c r="V141" s="34"/>
    </row>
    <row r="142" spans="2:75" ht="15" x14ac:dyDescent="0.25">
      <c r="C142" s="8" t="s">
        <v>142</v>
      </c>
      <c r="D142" s="57">
        <v>51</v>
      </c>
      <c r="E142" s="57">
        <v>2323</v>
      </c>
      <c r="F142" s="56">
        <f>F86/$N86*$N142</f>
        <v>0</v>
      </c>
      <c r="G142" s="57">
        <v>21</v>
      </c>
      <c r="H142" s="57">
        <v>21</v>
      </c>
      <c r="I142" s="56">
        <f>I86/$N86*$N142</f>
        <v>0</v>
      </c>
      <c r="J142" s="57">
        <v>789</v>
      </c>
      <c r="K142" s="57">
        <v>0</v>
      </c>
      <c r="L142" s="57">
        <v>0.5</v>
      </c>
      <c r="P142" s="56"/>
      <c r="Q142" s="57"/>
      <c r="R142" s="57"/>
      <c r="S142" s="56"/>
      <c r="T142" s="57"/>
      <c r="U142" s="57"/>
      <c r="V142" s="57"/>
    </row>
    <row r="144" spans="2:75" x14ac:dyDescent="0.2">
      <c r="AY144" s="33">
        <v>1998</v>
      </c>
    </row>
    <row r="146" spans="2:56" ht="51" x14ac:dyDescent="0.2">
      <c r="B146" s="33">
        <v>1998</v>
      </c>
      <c r="AY146" s="77" t="s">
        <v>171</v>
      </c>
      <c r="AZ146" s="77" t="s">
        <v>186</v>
      </c>
      <c r="BA146" s="77" t="s">
        <v>187</v>
      </c>
      <c r="BB146" s="35"/>
      <c r="BC146" s="77" t="s">
        <v>192</v>
      </c>
      <c r="BD146" s="77" t="s">
        <v>190</v>
      </c>
    </row>
    <row r="147" spans="2:56" x14ac:dyDescent="0.2">
      <c r="AX147" t="str">
        <f>AX5</f>
        <v>311</v>
      </c>
      <c r="AY147">
        <f>MECS_data!O5</f>
        <v>732</v>
      </c>
      <c r="BA147">
        <f>BC147/(AY147+AY148)</f>
        <v>1.1277391516646116</v>
      </c>
      <c r="BB147">
        <f>MECS_Total_Fuel!I114</f>
        <v>887.77871200000004</v>
      </c>
      <c r="BC147" s="3">
        <f>MECS_Total_Fuel!AH114</f>
        <v>914.596452</v>
      </c>
      <c r="BD147" s="3">
        <f>BA147*AY147</f>
        <v>825.50505901849567</v>
      </c>
    </row>
    <row r="148" spans="2:56" x14ac:dyDescent="0.2">
      <c r="AX148" t="str">
        <f t="shared" ref="AX148:AX167" si="445">AX6</f>
        <v>312</v>
      </c>
      <c r="AY148">
        <f>MECS_data!O6</f>
        <v>79</v>
      </c>
      <c r="BA148">
        <f>BA147</f>
        <v>1.1277391516646116</v>
      </c>
      <c r="BB148">
        <f>MECS_Total_Fuel!I115</f>
        <v>21.045776</v>
      </c>
      <c r="BC148" s="3">
        <f>MECS_Total_Fuel!AH115</f>
        <v>183.883668</v>
      </c>
      <c r="BD148" s="3">
        <f t="shared" ref="BD148:BD149" si="446">BA148*AY148</f>
        <v>89.091392981504313</v>
      </c>
    </row>
    <row r="149" spans="2:56" x14ac:dyDescent="0.2">
      <c r="AX149" t="str">
        <f t="shared" si="445"/>
        <v>313</v>
      </c>
      <c r="AY149">
        <f>MECS_data!O7</f>
        <v>140</v>
      </c>
      <c r="BA149">
        <f>BC148/AY149</f>
        <v>1.3134547714285714</v>
      </c>
      <c r="BB149">
        <f>MECS_Total_Fuel!I116</f>
        <v>189.38949600000001</v>
      </c>
      <c r="BC149" s="3">
        <f>MECS_Total_Fuel!AH116</f>
        <v>35.487056000000003</v>
      </c>
      <c r="BD149" s="3">
        <f t="shared" si="446"/>
        <v>183.883668</v>
      </c>
    </row>
    <row r="150" spans="2:56" x14ac:dyDescent="0.2">
      <c r="AX150" t="str">
        <f t="shared" si="445"/>
        <v>314</v>
      </c>
      <c r="AY150">
        <f>MECS_data!O8</f>
        <v>31.8</v>
      </c>
      <c r="BA150">
        <f>BA149</f>
        <v>1.3134547714285714</v>
      </c>
      <c r="BB150">
        <f>MECS_Total_Fuel!I117</f>
        <v>0</v>
      </c>
      <c r="BD150" s="3"/>
    </row>
    <row r="151" spans="2:56" x14ac:dyDescent="0.2">
      <c r="AX151" t="str">
        <f t="shared" si="445"/>
        <v>315</v>
      </c>
      <c r="AY151">
        <f>MECS_data!O9</f>
        <v>28</v>
      </c>
      <c r="AZ151">
        <f>BB151</f>
        <v>26.383844</v>
      </c>
      <c r="BA151">
        <f>AZ151/AY151*$BB$13</f>
        <v>1.0744138571428572</v>
      </c>
      <c r="BB151">
        <f>MECS_Total_Fuel!I118</f>
        <v>26.383844</v>
      </c>
      <c r="BD151" s="3">
        <f t="shared" ref="BD151:BD167" si="447">BA151*AY151</f>
        <v>30.083588000000002</v>
      </c>
    </row>
    <row r="152" spans="2:56" x14ac:dyDescent="0.2">
      <c r="AX152" t="str">
        <f t="shared" si="445"/>
        <v>316</v>
      </c>
      <c r="AY152">
        <f>MECS_data!O10</f>
        <v>4.8999999999999995</v>
      </c>
      <c r="AZ152">
        <f>BB152</f>
        <v>6.2840480000000003</v>
      </c>
      <c r="BA152">
        <f>AZ152/AY152*$BB$14</f>
        <v>1.1027485714285716</v>
      </c>
      <c r="BB152">
        <f>MECS_Total_Fuel!I119</f>
        <v>6.2840480000000003</v>
      </c>
      <c r="BD152" s="3">
        <f t="shared" si="447"/>
        <v>5.4034680000000002</v>
      </c>
    </row>
    <row r="153" spans="2:56" x14ac:dyDescent="0.2">
      <c r="AX153" t="str">
        <f t="shared" si="445"/>
        <v>321</v>
      </c>
      <c r="AY153">
        <f>MECS_data!O11</f>
        <v>92</v>
      </c>
      <c r="AZ153" s="3">
        <f>MECS_Total_Fuel!AH117</f>
        <v>431.76796000000002</v>
      </c>
      <c r="BA153">
        <f>AZ153/AY153</f>
        <v>4.69313</v>
      </c>
      <c r="BD153" s="3">
        <f t="shared" si="447"/>
        <v>431.76796000000002</v>
      </c>
    </row>
    <row r="154" spans="2:56" x14ac:dyDescent="0.2">
      <c r="AX154" t="str">
        <f t="shared" si="445"/>
        <v>322</v>
      </c>
      <c r="AY154">
        <f>MECS_data!O12</f>
        <v>1028</v>
      </c>
      <c r="AZ154" s="3">
        <f>MECS_Total_Fuel!AH118</f>
        <v>2503.918032</v>
      </c>
      <c r="BA154">
        <f t="shared" ref="BA154:BA167" si="448">AZ154/AY154</f>
        <v>2.4357179299610894</v>
      </c>
      <c r="BD154" s="3">
        <f t="shared" si="447"/>
        <v>2503.918032</v>
      </c>
    </row>
    <row r="155" spans="2:56" x14ac:dyDescent="0.2">
      <c r="AX155" t="str">
        <f t="shared" si="445"/>
        <v>323</v>
      </c>
      <c r="AY155">
        <f>MECS_data!O13</f>
        <v>44.949999999999996</v>
      </c>
      <c r="AZ155" s="3">
        <f>MECS_Total_Fuel!AH119</f>
        <v>47.004247999999997</v>
      </c>
      <c r="BA155">
        <f t="shared" si="448"/>
        <v>1.0457007341490545</v>
      </c>
      <c r="BD155" s="3">
        <f t="shared" si="447"/>
        <v>47.004247999999997</v>
      </c>
    </row>
    <row r="156" spans="2:56" x14ac:dyDescent="0.2">
      <c r="AX156" t="str">
        <f t="shared" si="445"/>
        <v>324</v>
      </c>
      <c r="AY156">
        <f>MECS_data!O14</f>
        <v>1060.0999999999999</v>
      </c>
      <c r="AZ156" s="3">
        <f>MECS_Total_Fuel!AH120</f>
        <v>3495.5546920000002</v>
      </c>
      <c r="BA156">
        <f t="shared" si="448"/>
        <v>3.2973820318837852</v>
      </c>
      <c r="BD156" s="3">
        <f t="shared" si="447"/>
        <v>3495.5546920000006</v>
      </c>
    </row>
    <row r="157" spans="2:56" x14ac:dyDescent="0.2">
      <c r="AX157" t="str">
        <f t="shared" si="445"/>
        <v>325</v>
      </c>
      <c r="AY157">
        <f>MECS_data!O15</f>
        <v>2366</v>
      </c>
      <c r="AZ157" s="3">
        <f>MECS_Total_Fuel!AH121</f>
        <v>3126.5770039999998</v>
      </c>
      <c r="BA157">
        <f t="shared" si="448"/>
        <v>1.3214611174978865</v>
      </c>
      <c r="BD157" s="3">
        <f t="shared" si="447"/>
        <v>3126.5770039999993</v>
      </c>
    </row>
    <row r="158" spans="2:56" x14ac:dyDescent="0.2">
      <c r="AX158" t="str">
        <f t="shared" si="445"/>
        <v>326</v>
      </c>
      <c r="AY158">
        <f>MECS_data!O16</f>
        <v>139</v>
      </c>
      <c r="AZ158" s="3">
        <f>MECS_Total_Fuel!AH122</f>
        <v>144.39999600000002</v>
      </c>
      <c r="BA158">
        <f t="shared" si="448"/>
        <v>1.038848892086331</v>
      </c>
      <c r="BD158" s="3">
        <f t="shared" si="447"/>
        <v>144.39999600000002</v>
      </c>
    </row>
    <row r="159" spans="2:56" x14ac:dyDescent="0.2">
      <c r="AX159" t="str">
        <f t="shared" si="445"/>
        <v>327</v>
      </c>
      <c r="AY159">
        <f>MECS_data!O17</f>
        <v>744</v>
      </c>
      <c r="AZ159" s="3">
        <f>MECS_Total_Fuel!AH123</f>
        <v>834.98687599999994</v>
      </c>
      <c r="BA159">
        <f t="shared" si="448"/>
        <v>1.122294188172043</v>
      </c>
      <c r="BD159" s="3">
        <f t="shared" si="447"/>
        <v>834.98687599999994</v>
      </c>
    </row>
    <row r="160" spans="2:56" x14ac:dyDescent="0.2">
      <c r="AX160" t="str">
        <f t="shared" si="445"/>
        <v>331</v>
      </c>
      <c r="AY160">
        <f>MECS_data!O18</f>
        <v>1422</v>
      </c>
      <c r="AZ160" s="3">
        <f>MECS_Total_Fuel!AH124</f>
        <v>2031.356088</v>
      </c>
      <c r="BA160">
        <f t="shared" si="448"/>
        <v>1.4285204556962026</v>
      </c>
      <c r="BD160" s="3">
        <f t="shared" si="447"/>
        <v>2031.356088</v>
      </c>
    </row>
    <row r="161" spans="50:56" x14ac:dyDescent="0.2">
      <c r="AX161" t="str">
        <f t="shared" si="445"/>
        <v>332</v>
      </c>
      <c r="AY161">
        <f>MECS_data!O19</f>
        <v>257</v>
      </c>
      <c r="AZ161" s="3">
        <f>MECS_Total_Fuel!AH125</f>
        <v>265.28541200000001</v>
      </c>
      <c r="BA161">
        <f t="shared" si="448"/>
        <v>1.0322389571984436</v>
      </c>
      <c r="BD161" s="3">
        <f t="shared" si="447"/>
        <v>265.28541200000001</v>
      </c>
    </row>
    <row r="162" spans="50:56" x14ac:dyDescent="0.2">
      <c r="AX162" t="str">
        <f t="shared" si="445"/>
        <v>333</v>
      </c>
      <c r="AY162">
        <f>MECS_data!O20</f>
        <v>112</v>
      </c>
      <c r="AZ162" s="3">
        <f>MECS_Total_Fuel!AH126</f>
        <v>116.85666400000001</v>
      </c>
      <c r="BA162">
        <f t="shared" si="448"/>
        <v>1.0433630714285715</v>
      </c>
      <c r="BD162" s="3">
        <f t="shared" si="447"/>
        <v>116.85666400000001</v>
      </c>
    </row>
    <row r="163" spans="50:56" x14ac:dyDescent="0.2">
      <c r="AX163" t="str">
        <f t="shared" si="445"/>
        <v>334</v>
      </c>
      <c r="AY163">
        <f>MECS_data!O21</f>
        <v>66.600000000000009</v>
      </c>
      <c r="AZ163" s="3">
        <f>MECS_Total_Fuel!AH127</f>
        <v>67.813715999999999</v>
      </c>
      <c r="BA163">
        <f t="shared" si="448"/>
        <v>1.0182239639639639</v>
      </c>
      <c r="BD163" s="3">
        <f t="shared" si="447"/>
        <v>67.813715999999999</v>
      </c>
    </row>
    <row r="164" spans="50:56" x14ac:dyDescent="0.2">
      <c r="AX164" t="str">
        <f t="shared" si="445"/>
        <v>335</v>
      </c>
      <c r="AY164">
        <f>MECS_data!O22</f>
        <v>56.2</v>
      </c>
      <c r="AZ164" s="3">
        <f>MECS_Total_Fuel!AH128</f>
        <v>60.671008</v>
      </c>
      <c r="BA164">
        <f t="shared" si="448"/>
        <v>1.0795553024911031</v>
      </c>
      <c r="BD164" s="3">
        <f t="shared" si="447"/>
        <v>60.671008</v>
      </c>
    </row>
    <row r="165" spans="50:56" x14ac:dyDescent="0.2">
      <c r="AX165" t="str">
        <f t="shared" si="445"/>
        <v>336</v>
      </c>
      <c r="AY165">
        <f>MECS_data!O23</f>
        <v>264</v>
      </c>
      <c r="AZ165" s="3">
        <f>MECS_Total_Fuel!AH129</f>
        <v>292.75512400000002</v>
      </c>
      <c r="BA165">
        <f t="shared" si="448"/>
        <v>1.1089209242424243</v>
      </c>
      <c r="BD165" s="3">
        <f t="shared" si="447"/>
        <v>292.75512400000002</v>
      </c>
    </row>
    <row r="166" spans="50:56" x14ac:dyDescent="0.2">
      <c r="AX166" t="str">
        <f t="shared" si="445"/>
        <v>337</v>
      </c>
      <c r="AY166">
        <f>MECS_data!O24</f>
        <v>31.4</v>
      </c>
      <c r="AZ166" s="3">
        <f>MECS_Total_Fuel!AH130</f>
        <v>58.499848</v>
      </c>
      <c r="BA166">
        <f t="shared" si="448"/>
        <v>1.8630524840764333</v>
      </c>
      <c r="BD166" s="3">
        <f t="shared" si="447"/>
        <v>58.499848</v>
      </c>
    </row>
    <row r="167" spans="50:56" x14ac:dyDescent="0.2">
      <c r="AX167" t="str">
        <f t="shared" si="445"/>
        <v>339</v>
      </c>
      <c r="AY167">
        <f>MECS_data!O25</f>
        <v>44.1</v>
      </c>
      <c r="AZ167" s="3">
        <f>MECS_Total_Fuel!AH131</f>
        <v>47.700868</v>
      </c>
      <c r="BA167">
        <f t="shared" si="448"/>
        <v>1.0816523356009069</v>
      </c>
      <c r="BD167" s="3">
        <f t="shared" si="447"/>
        <v>47.700867999999993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BG348"/>
  <sheetViews>
    <sheetView topLeftCell="A295" workbookViewId="0">
      <selection activeCell="A306" sqref="A306"/>
    </sheetView>
  </sheetViews>
  <sheetFormatPr defaultColWidth="8.85546875" defaultRowHeight="12.75" x14ac:dyDescent="0.2"/>
  <cols>
    <col min="1" max="15" width="8.85546875" style="79"/>
    <col min="16" max="17" width="10.5703125" style="79" bestFit="1" customWidth="1"/>
    <col min="18" max="16384" width="8.85546875" style="79"/>
  </cols>
  <sheetData>
    <row r="6" spans="4:19" x14ac:dyDescent="0.2">
      <c r="D6" s="79">
        <v>1985</v>
      </c>
      <c r="E6" s="79" t="s">
        <v>205</v>
      </c>
      <c r="F6" s="79" t="s">
        <v>206</v>
      </c>
      <c r="G6" s="79" t="s">
        <v>207</v>
      </c>
      <c r="O6" s="79" t="s">
        <v>208</v>
      </c>
      <c r="Q6" s="79" t="s">
        <v>209</v>
      </c>
    </row>
    <row r="7" spans="4:19" ht="57" thickBot="1" x14ac:dyDescent="0.25">
      <c r="E7" s="80"/>
      <c r="F7" s="81" t="s">
        <v>210</v>
      </c>
      <c r="G7" s="82" t="s">
        <v>211</v>
      </c>
      <c r="H7" s="82" t="s">
        <v>212</v>
      </c>
      <c r="I7" s="82" t="s">
        <v>213</v>
      </c>
      <c r="J7" s="82" t="s">
        <v>214</v>
      </c>
      <c r="K7" s="83"/>
      <c r="L7" s="83"/>
      <c r="M7" s="83"/>
      <c r="P7" s="82" t="s">
        <v>212</v>
      </c>
      <c r="Q7" s="84" t="s">
        <v>215</v>
      </c>
      <c r="R7" s="85" t="s">
        <v>187</v>
      </c>
      <c r="S7" s="85" t="s">
        <v>216</v>
      </c>
    </row>
    <row r="8" spans="4:19" x14ac:dyDescent="0.2">
      <c r="D8" s="86">
        <v>311</v>
      </c>
      <c r="E8" s="79">
        <v>20</v>
      </c>
      <c r="F8" s="79">
        <v>946</v>
      </c>
      <c r="G8" s="79">
        <v>44417</v>
      </c>
      <c r="H8" s="87">
        <f>G8*3.412*0.001</f>
        <v>151.550804</v>
      </c>
      <c r="I8" s="87">
        <f>F8-H8</f>
        <v>794.44919600000003</v>
      </c>
      <c r="O8" s="79" t="s">
        <v>217</v>
      </c>
      <c r="P8" s="88">
        <f>H8+H9</f>
        <v>155.730504</v>
      </c>
      <c r="Q8" s="88">
        <f>I8+I9</f>
        <v>809.269496</v>
      </c>
      <c r="R8" s="89">
        <f>$AG$114</f>
        <v>1.0063510216507281</v>
      </c>
      <c r="S8" s="90">
        <f>R8*Q8</f>
        <v>814.40918409036976</v>
      </c>
    </row>
    <row r="9" spans="4:19" x14ac:dyDescent="0.2">
      <c r="D9" s="86">
        <v>312</v>
      </c>
      <c r="E9" s="79">
        <v>21</v>
      </c>
      <c r="F9" s="79">
        <v>19</v>
      </c>
      <c r="G9" s="79">
        <v>1225</v>
      </c>
      <c r="H9" s="87">
        <f>G9*3.412*0.001</f>
        <v>4.1796999999999995</v>
      </c>
      <c r="I9" s="87">
        <f>F9-H9</f>
        <v>14.8203</v>
      </c>
      <c r="O9" s="79" t="s">
        <v>218</v>
      </c>
      <c r="P9" s="88">
        <f>H10</f>
        <v>87.183424000000002</v>
      </c>
      <c r="Q9" s="88">
        <f>I10+I11</f>
        <v>160.816576</v>
      </c>
      <c r="R9" s="89">
        <f>$AG$115</f>
        <v>0.97092854611113166</v>
      </c>
      <c r="S9" s="90">
        <f t="shared" ref="S9:S25" si="0">R9*Q9</f>
        <v>156.1414043262503</v>
      </c>
    </row>
    <row r="10" spans="4:19" x14ac:dyDescent="0.2">
      <c r="D10" s="86">
        <v>313</v>
      </c>
      <c r="E10" s="79">
        <v>22</v>
      </c>
      <c r="F10" s="79">
        <v>248</v>
      </c>
      <c r="G10" s="79">
        <v>25552</v>
      </c>
      <c r="H10" s="87">
        <f>G10*3.412*0.001</f>
        <v>87.183424000000002</v>
      </c>
      <c r="I10" s="87">
        <f>F10-H10</f>
        <v>160.816576</v>
      </c>
      <c r="O10" s="79" t="s">
        <v>219</v>
      </c>
      <c r="P10" s="88">
        <f>H12+H13</f>
        <v>17.343195999999999</v>
      </c>
      <c r="Q10" s="88">
        <f>I12+I13</f>
        <v>25.656804000000001</v>
      </c>
      <c r="R10" s="89">
        <f>$AG$116</f>
        <v>1.0862977017311064</v>
      </c>
      <c r="S10" s="90">
        <f t="shared" si="0"/>
        <v>27.870927218965459</v>
      </c>
    </row>
    <row r="11" spans="4:19" x14ac:dyDescent="0.2">
      <c r="D11" s="79">
        <v>314</v>
      </c>
      <c r="O11" s="79">
        <v>321</v>
      </c>
      <c r="P11" s="88">
        <f t="shared" ref="P11:Q18" si="1">H14</f>
        <v>46.925235999999998</v>
      </c>
      <c r="Q11" s="88">
        <f t="shared" si="1"/>
        <v>286.07476400000002</v>
      </c>
      <c r="R11" s="89">
        <f>$AG$117</f>
        <v>0.86970227612053164</v>
      </c>
      <c r="S11" s="90">
        <f t="shared" si="0"/>
        <v>248.79987339144392</v>
      </c>
    </row>
    <row r="12" spans="4:19" x14ac:dyDescent="0.2">
      <c r="D12" s="79">
        <v>315</v>
      </c>
      <c r="E12" s="79">
        <v>23</v>
      </c>
      <c r="F12" s="79">
        <v>30</v>
      </c>
      <c r="G12" s="79">
        <v>4030</v>
      </c>
      <c r="H12" s="87">
        <f>G12*3.412*0.001</f>
        <v>13.750360000000001</v>
      </c>
      <c r="I12" s="87">
        <f>F12-H12</f>
        <v>16.249639999999999</v>
      </c>
      <c r="O12" s="79">
        <f>D15</f>
        <v>322</v>
      </c>
      <c r="P12" s="88">
        <f t="shared" si="1"/>
        <v>177.246576</v>
      </c>
      <c r="Q12" s="88">
        <f t="shared" si="1"/>
        <v>2020.753424</v>
      </c>
      <c r="R12" s="89">
        <f>$AG$118</f>
        <v>0.99832231546260719</v>
      </c>
      <c r="S12" s="90">
        <f t="shared" si="0"/>
        <v>2017.3632372266716</v>
      </c>
    </row>
    <row r="13" spans="4:19" x14ac:dyDescent="0.2">
      <c r="D13" s="79">
        <v>316</v>
      </c>
      <c r="E13" s="79">
        <v>31</v>
      </c>
      <c r="F13" s="79">
        <v>13</v>
      </c>
      <c r="G13" s="79">
        <v>1053</v>
      </c>
      <c r="H13" s="87">
        <f t="shared" ref="H13:H28" si="2">G13*3.412*0.001</f>
        <v>3.5928359999999997</v>
      </c>
      <c r="I13" s="87">
        <f t="shared" ref="I13:I28" si="3">F13-H13</f>
        <v>9.4071639999999999</v>
      </c>
      <c r="O13" s="79">
        <f t="shared" ref="O13:O25" si="4">D16</f>
        <v>323</v>
      </c>
      <c r="P13" s="88">
        <f t="shared" si="1"/>
        <v>38.159807999999998</v>
      </c>
      <c r="Q13" s="88">
        <f t="shared" si="1"/>
        <v>37.840192000000002</v>
      </c>
      <c r="R13" s="89">
        <f>$AG$119</f>
        <v>0.70557464070883003</v>
      </c>
      <c r="S13" s="90">
        <f t="shared" si="0"/>
        <v>26.699079874753146</v>
      </c>
    </row>
    <row r="14" spans="4:19" x14ac:dyDescent="0.2">
      <c r="D14" s="79">
        <v>321</v>
      </c>
      <c r="E14" s="79">
        <v>24</v>
      </c>
      <c r="F14" s="79">
        <v>333</v>
      </c>
      <c r="G14" s="79">
        <v>13753</v>
      </c>
      <c r="H14" s="87">
        <f t="shared" si="2"/>
        <v>46.925235999999998</v>
      </c>
      <c r="I14" s="87">
        <f t="shared" si="3"/>
        <v>286.07476400000002</v>
      </c>
      <c r="O14" s="79">
        <f t="shared" si="4"/>
        <v>324</v>
      </c>
      <c r="P14" s="88">
        <f t="shared" si="1"/>
        <v>113.462648</v>
      </c>
      <c r="Q14" s="88">
        <f t="shared" si="1"/>
        <v>2517.5373519999998</v>
      </c>
      <c r="R14" s="89">
        <f>$AG$120</f>
        <v>1.0008325708705155</v>
      </c>
      <c r="S14" s="90">
        <f t="shared" si="0"/>
        <v>2519.6333802647096</v>
      </c>
    </row>
    <row r="15" spans="4:19" x14ac:dyDescent="0.2">
      <c r="D15" s="79">
        <v>322</v>
      </c>
      <c r="E15" s="79">
        <v>26</v>
      </c>
      <c r="F15" s="79">
        <v>2198</v>
      </c>
      <c r="G15" s="79">
        <v>51948</v>
      </c>
      <c r="H15" s="87">
        <f t="shared" si="2"/>
        <v>177.246576</v>
      </c>
      <c r="I15" s="87">
        <f t="shared" si="3"/>
        <v>2020.753424</v>
      </c>
      <c r="O15" s="79">
        <f t="shared" si="4"/>
        <v>325</v>
      </c>
      <c r="P15" s="88">
        <f t="shared" si="1"/>
        <v>407.55657600000001</v>
      </c>
      <c r="Q15" s="88">
        <f t="shared" si="1"/>
        <v>1999.4434240000001</v>
      </c>
      <c r="R15" s="89">
        <f>$AG$121</f>
        <v>0.99144124267556832</v>
      </c>
      <c r="S15" s="90">
        <f t="shared" si="0"/>
        <v>1982.3306729500532</v>
      </c>
    </row>
    <row r="16" spans="4:19" x14ac:dyDescent="0.2">
      <c r="D16" s="79">
        <v>323</v>
      </c>
      <c r="E16" s="79">
        <v>27</v>
      </c>
      <c r="F16" s="79">
        <v>76</v>
      </c>
      <c r="G16" s="79">
        <v>11184</v>
      </c>
      <c r="H16" s="87">
        <f t="shared" si="2"/>
        <v>38.159807999999998</v>
      </c>
      <c r="I16" s="87">
        <f t="shared" si="3"/>
        <v>37.840192000000002</v>
      </c>
      <c r="O16" s="79">
        <f t="shared" si="4"/>
        <v>326</v>
      </c>
      <c r="P16" s="88">
        <f t="shared" si="1"/>
        <v>87.975008000000003</v>
      </c>
      <c r="Q16" s="88">
        <f t="shared" si="1"/>
        <v>124.024992</v>
      </c>
      <c r="R16" s="89">
        <f>$AG$122</f>
        <v>1.0355216047246407</v>
      </c>
      <c r="S16" s="90">
        <f t="shared" si="0"/>
        <v>128.43055874180072</v>
      </c>
    </row>
    <row r="17" spans="4:19" x14ac:dyDescent="0.2">
      <c r="D17" s="79">
        <v>324</v>
      </c>
      <c r="F17" s="79">
        <v>2631</v>
      </c>
      <c r="G17" s="79">
        <v>33254</v>
      </c>
      <c r="H17" s="87">
        <f t="shared" si="2"/>
        <v>113.462648</v>
      </c>
      <c r="I17" s="87">
        <f t="shared" si="3"/>
        <v>2517.5373519999998</v>
      </c>
      <c r="O17" s="79">
        <f t="shared" si="4"/>
        <v>327</v>
      </c>
      <c r="P17" s="88">
        <f t="shared" si="1"/>
        <v>104.93606</v>
      </c>
      <c r="Q17" s="88">
        <f t="shared" si="1"/>
        <v>791.06394</v>
      </c>
      <c r="R17" s="89">
        <f>$AG$123</f>
        <v>0.99993870938021057</v>
      </c>
      <c r="S17" s="90">
        <f t="shared" si="0"/>
        <v>791.01545520082436</v>
      </c>
    </row>
    <row r="18" spans="4:19" x14ac:dyDescent="0.2">
      <c r="D18" s="79">
        <v>325</v>
      </c>
      <c r="F18" s="79">
        <v>2407</v>
      </c>
      <c r="G18" s="79">
        <v>119448</v>
      </c>
      <c r="H18" s="87">
        <f t="shared" si="2"/>
        <v>407.55657600000001</v>
      </c>
      <c r="I18" s="87">
        <f t="shared" si="3"/>
        <v>1999.4434240000001</v>
      </c>
      <c r="O18" s="79">
        <f t="shared" si="4"/>
        <v>331</v>
      </c>
      <c r="P18" s="88">
        <f t="shared" si="1"/>
        <v>479.30411199999998</v>
      </c>
      <c r="Q18" s="88">
        <f t="shared" si="1"/>
        <v>1911.695888</v>
      </c>
      <c r="R18" s="89">
        <f>$AG$124</f>
        <v>1.010397468376462</v>
      </c>
      <c r="S18" s="90">
        <f t="shared" si="0"/>
        <v>1931.5726855408925</v>
      </c>
    </row>
    <row r="19" spans="4:19" x14ac:dyDescent="0.2">
      <c r="D19" s="79">
        <v>326</v>
      </c>
      <c r="F19" s="79">
        <v>212</v>
      </c>
      <c r="G19" s="79">
        <v>25784</v>
      </c>
      <c r="H19" s="87">
        <f t="shared" si="2"/>
        <v>87.975008000000003</v>
      </c>
      <c r="I19" s="87">
        <f t="shared" si="3"/>
        <v>124.024992</v>
      </c>
      <c r="O19" s="79">
        <f t="shared" si="4"/>
        <v>332</v>
      </c>
      <c r="P19" s="88">
        <f>H22</f>
        <v>91.455247999999997</v>
      </c>
      <c r="Q19" s="88">
        <f>I22+$AM$142*I23-$AM$149*I22</f>
        <v>217.52751768000002</v>
      </c>
      <c r="R19" s="89">
        <f>$AG$125</f>
        <v>1.0050318572657224</v>
      </c>
      <c r="S19" s="90">
        <f t="shared" si="0"/>
        <v>218.6220851003327</v>
      </c>
    </row>
    <row r="20" spans="4:19" x14ac:dyDescent="0.2">
      <c r="D20" s="79">
        <v>327</v>
      </c>
      <c r="F20" s="79">
        <v>896</v>
      </c>
      <c r="G20" s="79">
        <v>30755</v>
      </c>
      <c r="H20" s="87">
        <f t="shared" si="2"/>
        <v>104.93606</v>
      </c>
      <c r="I20" s="87">
        <f t="shared" si="3"/>
        <v>791.06394</v>
      </c>
      <c r="O20" s="79">
        <f t="shared" si="4"/>
        <v>333</v>
      </c>
      <c r="P20" s="88">
        <f>0.9*H23</f>
        <v>87.895508399999997</v>
      </c>
      <c r="Q20" s="88">
        <f>I23-$AM$142*I23-$AM$140*I23-$AM$141*I23+$AM$146*I24</f>
        <v>119.68513096</v>
      </c>
      <c r="R20" s="89">
        <f>$AG$126</f>
        <v>0.99057294439314503</v>
      </c>
      <c r="S20" s="90">
        <f t="shared" si="0"/>
        <v>118.55685257512636</v>
      </c>
    </row>
    <row r="21" spans="4:19" x14ac:dyDescent="0.2">
      <c r="D21" s="79">
        <v>331</v>
      </c>
      <c r="F21" s="79">
        <v>2391</v>
      </c>
      <c r="G21" s="79">
        <v>140476</v>
      </c>
      <c r="H21" s="87">
        <f t="shared" si="2"/>
        <v>479.30411199999998</v>
      </c>
      <c r="I21" s="87">
        <f t="shared" si="3"/>
        <v>1911.695888</v>
      </c>
      <c r="O21" s="79">
        <f t="shared" si="4"/>
        <v>334</v>
      </c>
      <c r="P21" s="79">
        <f>0.1*H23+0.35*H25+0.5*H24</f>
        <v>59.5622604</v>
      </c>
      <c r="Q21" s="79">
        <f>$AM$140*I23+$AM$153*I24+$AM$151*I25</f>
        <v>53.533155600000001</v>
      </c>
      <c r="R21" s="89">
        <f>$AG$127</f>
        <v>1.0234677016554385</v>
      </c>
      <c r="S21" s="90">
        <f t="shared" si="0"/>
        <v>54.789455724294967</v>
      </c>
    </row>
    <row r="22" spans="4:19" x14ac:dyDescent="0.2">
      <c r="D22" s="79">
        <v>332</v>
      </c>
      <c r="F22" s="79">
        <v>298</v>
      </c>
      <c r="G22" s="79">
        <v>26804</v>
      </c>
      <c r="H22" s="87">
        <f t="shared" si="2"/>
        <v>91.455247999999997</v>
      </c>
      <c r="I22" s="87">
        <f t="shared" si="3"/>
        <v>206.54475200000002</v>
      </c>
      <c r="O22" s="79">
        <f t="shared" si="4"/>
        <v>335</v>
      </c>
      <c r="P22" s="79">
        <f>0.65*H25</f>
        <v>68.494535200000001</v>
      </c>
      <c r="Q22" s="79">
        <f>(1-$AM$150-$AM$151)*I25</f>
        <v>70.464178559999993</v>
      </c>
      <c r="R22" s="89">
        <f>$AG$128</f>
        <v>0.8929284199379155</v>
      </c>
      <c r="S22" s="90">
        <f t="shared" si="0"/>
        <v>62.919467623803939</v>
      </c>
    </row>
    <row r="23" spans="4:19" x14ac:dyDescent="0.2">
      <c r="D23" s="79">
        <v>333</v>
      </c>
      <c r="F23" s="79">
        <v>239</v>
      </c>
      <c r="G23" s="79">
        <v>28623</v>
      </c>
      <c r="H23" s="87">
        <f t="shared" si="2"/>
        <v>97.661676</v>
      </c>
      <c r="I23" s="87">
        <f t="shared" si="3"/>
        <v>141.338324</v>
      </c>
      <c r="O23" s="79">
        <f t="shared" si="4"/>
        <v>336</v>
      </c>
      <c r="P23" s="88">
        <f>H26</f>
        <v>111.80100400000001</v>
      </c>
      <c r="Q23" s="88">
        <f>I26+$AM$149*I22+S$141*I23+$AM$150*I25</f>
        <v>223.80208031999999</v>
      </c>
      <c r="R23" s="89">
        <f>$AG$129</f>
        <v>1.0499456144576871</v>
      </c>
      <c r="S23" s="90">
        <f t="shared" si="0"/>
        <v>234.98001273849101</v>
      </c>
    </row>
    <row r="24" spans="4:19" x14ac:dyDescent="0.2">
      <c r="D24" s="79">
        <v>334</v>
      </c>
      <c r="E24" s="79">
        <v>38</v>
      </c>
      <c r="F24" s="79">
        <v>73</v>
      </c>
      <c r="G24" s="79">
        <v>7570</v>
      </c>
      <c r="H24" s="87">
        <f t="shared" si="2"/>
        <v>25.82884</v>
      </c>
      <c r="I24" s="87">
        <f t="shared" si="3"/>
        <v>47.17116</v>
      </c>
      <c r="O24" s="79">
        <f t="shared" si="4"/>
        <v>337</v>
      </c>
      <c r="P24" s="88">
        <f>H27</f>
        <v>14.39864</v>
      </c>
      <c r="Q24" s="88">
        <f>I27</f>
        <v>33.60136</v>
      </c>
      <c r="R24" s="89">
        <f>$AG$130</f>
        <v>1.1125687426632083</v>
      </c>
      <c r="S24" s="90">
        <f t="shared" si="0"/>
        <v>37.383822846973821</v>
      </c>
    </row>
    <row r="25" spans="4:19" ht="13.5" thickBot="1" x14ac:dyDescent="0.25">
      <c r="D25" s="79">
        <v>335</v>
      </c>
      <c r="E25" s="79">
        <v>36</v>
      </c>
      <c r="F25" s="79">
        <v>209</v>
      </c>
      <c r="G25" s="79">
        <v>30884</v>
      </c>
      <c r="H25" s="87">
        <f t="shared" si="2"/>
        <v>105.37620800000001</v>
      </c>
      <c r="I25" s="87">
        <f t="shared" si="3"/>
        <v>103.62379199999999</v>
      </c>
      <c r="O25" s="79">
        <f t="shared" si="4"/>
        <v>339</v>
      </c>
      <c r="P25" s="79">
        <f>H28+0.5*H24</f>
        <v>23.7987</v>
      </c>
      <c r="Q25" s="80">
        <f>I28+$AM$147*I24</f>
        <v>36.153914400000005</v>
      </c>
      <c r="R25" s="91">
        <f>$AG$131</f>
        <v>0.93664838905802084</v>
      </c>
      <c r="S25" s="92">
        <f t="shared" si="0"/>
        <v>33.863505680901589</v>
      </c>
    </row>
    <row r="26" spans="4:19" x14ac:dyDescent="0.2">
      <c r="D26" s="79">
        <v>336</v>
      </c>
      <c r="E26" s="79">
        <v>37</v>
      </c>
      <c r="F26" s="79">
        <v>317</v>
      </c>
      <c r="G26" s="79">
        <v>32767</v>
      </c>
      <c r="H26" s="87">
        <f t="shared" si="2"/>
        <v>111.80100400000001</v>
      </c>
      <c r="I26" s="87">
        <f t="shared" si="3"/>
        <v>205.19899599999999</v>
      </c>
      <c r="P26" s="88">
        <f>SUM(P8:P25)</f>
        <v>2173.2290439999992</v>
      </c>
      <c r="Q26" s="88">
        <f>SUM(Q8:Q25)</f>
        <v>11438.94418952</v>
      </c>
      <c r="R26" s="88"/>
      <c r="S26" s="88">
        <f>SUM(S8:S25)</f>
        <v>11405.381661116657</v>
      </c>
    </row>
    <row r="27" spans="4:19" x14ac:dyDescent="0.2">
      <c r="D27" s="79">
        <v>337</v>
      </c>
      <c r="F27" s="79">
        <v>48</v>
      </c>
      <c r="G27" s="79">
        <v>4220</v>
      </c>
      <c r="H27" s="87">
        <f t="shared" si="2"/>
        <v>14.39864</v>
      </c>
      <c r="I27" s="87">
        <f t="shared" si="3"/>
        <v>33.60136</v>
      </c>
    </row>
    <row r="28" spans="4:19" x14ac:dyDescent="0.2">
      <c r="D28" s="79">
        <v>339</v>
      </c>
      <c r="F28" s="79">
        <v>31</v>
      </c>
      <c r="G28" s="79">
        <v>3190</v>
      </c>
      <c r="H28" s="87">
        <f t="shared" si="2"/>
        <v>10.88428</v>
      </c>
      <c r="I28" s="87">
        <f t="shared" si="3"/>
        <v>20.11572</v>
      </c>
    </row>
    <row r="29" spans="4:19" x14ac:dyDescent="0.2">
      <c r="F29" s="88">
        <f>SUM(F8:F28)</f>
        <v>13615</v>
      </c>
      <c r="G29" s="88">
        <f>SUM(G8:G28)</f>
        <v>636937</v>
      </c>
      <c r="H29" s="88">
        <f>SUM(H8:H28)</f>
        <v>2173.2290439999997</v>
      </c>
      <c r="I29" s="88">
        <f>SUM(I8:I28)</f>
        <v>11441.770955999998</v>
      </c>
    </row>
    <row r="32" spans="4:19" x14ac:dyDescent="0.2">
      <c r="D32" s="79">
        <v>1988</v>
      </c>
      <c r="E32" s="79" t="s">
        <v>205</v>
      </c>
      <c r="K32" s="93"/>
      <c r="L32" s="93"/>
      <c r="M32" s="93"/>
      <c r="O32" s="79" t="s">
        <v>208</v>
      </c>
    </row>
    <row r="33" spans="4:19" ht="57" thickBot="1" x14ac:dyDescent="0.25">
      <c r="F33" s="94" t="s">
        <v>210</v>
      </c>
      <c r="G33" s="95" t="s">
        <v>211</v>
      </c>
      <c r="H33" s="95" t="s">
        <v>212</v>
      </c>
      <c r="I33" s="95" t="s">
        <v>213</v>
      </c>
      <c r="J33" s="96" t="s">
        <v>214</v>
      </c>
      <c r="K33" s="97"/>
      <c r="L33" s="97"/>
      <c r="M33" s="97"/>
      <c r="P33" s="82" t="s">
        <v>212</v>
      </c>
      <c r="Q33" s="84" t="s">
        <v>215</v>
      </c>
      <c r="R33" s="85" t="s">
        <v>187</v>
      </c>
      <c r="S33" s="85" t="s">
        <v>216</v>
      </c>
    </row>
    <row r="34" spans="4:19" x14ac:dyDescent="0.2">
      <c r="D34" s="86">
        <v>311</v>
      </c>
      <c r="E34" s="79">
        <v>20</v>
      </c>
      <c r="F34" s="87">
        <v>996</v>
      </c>
      <c r="G34" s="87">
        <v>50206</v>
      </c>
      <c r="H34" s="87">
        <f>G34*3.412*0.001</f>
        <v>171.30287200000001</v>
      </c>
      <c r="I34" s="87">
        <f>F34-H34</f>
        <v>824.69712800000002</v>
      </c>
      <c r="J34" s="98" t="e">
        <f>F34-G34-#REF!-#REF!-#REF!</f>
        <v>#REF!</v>
      </c>
      <c r="K34" s="99"/>
      <c r="L34" s="99"/>
      <c r="M34" s="99"/>
      <c r="O34" s="79" t="s">
        <v>217</v>
      </c>
      <c r="P34" s="88">
        <f>H34+H35</f>
        <v>174.25084000000001</v>
      </c>
      <c r="Q34" s="88">
        <f>I34+I35</f>
        <v>845.74916000000007</v>
      </c>
      <c r="R34" s="89">
        <f>$AG$114</f>
        <v>1.0063510216507281</v>
      </c>
      <c r="S34" s="90">
        <f>R34*Q34</f>
        <v>851.12053122624513</v>
      </c>
    </row>
    <row r="35" spans="4:19" x14ac:dyDescent="0.2">
      <c r="D35" s="86">
        <v>312</v>
      </c>
      <c r="E35" s="79">
        <v>21</v>
      </c>
      <c r="F35" s="87">
        <v>24</v>
      </c>
      <c r="G35" s="87">
        <v>864</v>
      </c>
      <c r="H35" s="87">
        <f>G35*3.412*0.001</f>
        <v>2.9479679999999999</v>
      </c>
      <c r="I35" s="87">
        <f>F35-H35</f>
        <v>21.052032000000001</v>
      </c>
      <c r="J35" s="98" t="e">
        <f>F35-G35-#REF!-#REF!-#REF!</f>
        <v>#REF!</v>
      </c>
      <c r="K35" s="99"/>
      <c r="L35" s="99"/>
      <c r="M35" s="99"/>
      <c r="O35" s="79" t="s">
        <v>218</v>
      </c>
      <c r="P35" s="88">
        <f>H36</f>
        <v>101.46605599999999</v>
      </c>
      <c r="Q35" s="88">
        <f>I36+I37</f>
        <v>173.53394400000002</v>
      </c>
      <c r="R35" s="89">
        <f>$AG$115</f>
        <v>0.97092854611113166</v>
      </c>
      <c r="S35" s="90">
        <f t="shared" ref="S35:S51" si="5">R35*Q35</f>
        <v>168.48905994885055</v>
      </c>
    </row>
    <row r="36" spans="4:19" x14ac:dyDescent="0.2">
      <c r="D36" s="86">
        <v>313</v>
      </c>
      <c r="E36" s="79">
        <v>22</v>
      </c>
      <c r="F36" s="87">
        <v>275</v>
      </c>
      <c r="G36" s="87">
        <f>29738</f>
        <v>29738</v>
      </c>
      <c r="H36" s="87">
        <f>G36*3.412*0.001</f>
        <v>101.46605599999999</v>
      </c>
      <c r="I36" s="87">
        <f>F36-H36</f>
        <v>173.53394400000002</v>
      </c>
      <c r="J36" s="98" t="e">
        <f>F36-H36-#REF!-#REF!-#REF!</f>
        <v>#REF!</v>
      </c>
      <c r="K36" s="99"/>
      <c r="L36" s="99"/>
      <c r="M36" s="99"/>
      <c r="O36" s="79" t="s">
        <v>219</v>
      </c>
      <c r="P36" s="88">
        <f>H38+H39</f>
        <v>27.4666</v>
      </c>
      <c r="Q36" s="88">
        <f>I38+I39</f>
        <v>42.5334</v>
      </c>
      <c r="R36" s="89">
        <f>$AG$116</f>
        <v>1.0862977017311064</v>
      </c>
      <c r="S36" s="90">
        <f t="shared" si="5"/>
        <v>46.203934666809843</v>
      </c>
    </row>
    <row r="37" spans="4:19" x14ac:dyDescent="0.2">
      <c r="D37" s="79">
        <v>314</v>
      </c>
      <c r="J37" s="100"/>
      <c r="K37" s="93"/>
      <c r="L37" s="93"/>
      <c r="M37" s="93"/>
      <c r="O37" s="79">
        <v>321</v>
      </c>
      <c r="P37" s="88">
        <f t="shared" ref="P37:Q44" si="6">H40</f>
        <v>56.062572000000003</v>
      </c>
      <c r="Q37" s="88">
        <f t="shared" si="6"/>
        <v>347.93742800000001</v>
      </c>
      <c r="R37" s="89">
        <f>$AG$117</f>
        <v>0.86970227612053164</v>
      </c>
      <c r="S37" s="90">
        <f t="shared" si="5"/>
        <v>302.60197307912358</v>
      </c>
    </row>
    <row r="38" spans="4:19" x14ac:dyDescent="0.2">
      <c r="D38" s="79">
        <v>315</v>
      </c>
      <c r="E38" s="79">
        <v>23</v>
      </c>
      <c r="F38" s="79">
        <v>54</v>
      </c>
      <c r="G38" s="79">
        <v>6659</v>
      </c>
      <c r="H38" s="87">
        <f>G38*3.412*0.001</f>
        <v>22.720507999999999</v>
      </c>
      <c r="I38" s="87">
        <f>F38-H38</f>
        <v>31.279492000000001</v>
      </c>
      <c r="J38" s="98" t="e">
        <f>F38-H38-#REF!-#REF!-#REF!</f>
        <v>#REF!</v>
      </c>
      <c r="K38" s="99"/>
      <c r="L38" s="99"/>
      <c r="M38" s="99"/>
      <c r="O38" s="79">
        <f t="shared" ref="O38:O51" si="7">D40</f>
        <v>321</v>
      </c>
      <c r="P38" s="88">
        <f t="shared" si="6"/>
        <v>189.424004</v>
      </c>
      <c r="Q38" s="88">
        <f t="shared" si="6"/>
        <v>2157.575996</v>
      </c>
      <c r="R38" s="89">
        <f>$AG$118</f>
        <v>0.99832231546260719</v>
      </c>
      <c r="S38" s="90">
        <f t="shared" si="5"/>
        <v>2153.9562641132611</v>
      </c>
    </row>
    <row r="39" spans="4:19" x14ac:dyDescent="0.2">
      <c r="D39" s="79">
        <v>316</v>
      </c>
      <c r="E39" s="79">
        <v>31</v>
      </c>
      <c r="F39" s="87">
        <v>16</v>
      </c>
      <c r="G39" s="79">
        <v>1391</v>
      </c>
      <c r="H39" s="87">
        <f t="shared" ref="H39:H54" si="8">G39*3.412*0.001</f>
        <v>4.746092</v>
      </c>
      <c r="I39" s="87">
        <f t="shared" ref="I39:I54" si="9">F39-H39</f>
        <v>11.253907999999999</v>
      </c>
      <c r="K39" s="93"/>
      <c r="L39" s="93"/>
      <c r="M39" s="93"/>
      <c r="O39" s="79">
        <f t="shared" si="7"/>
        <v>322</v>
      </c>
      <c r="P39" s="88">
        <f t="shared" si="6"/>
        <v>58.181424</v>
      </c>
      <c r="Q39" s="88">
        <f t="shared" si="6"/>
        <v>56.818576</v>
      </c>
      <c r="R39" s="89">
        <f>$AG$119</f>
        <v>0.70557464070883003</v>
      </c>
      <c r="S39" s="90">
        <f t="shared" si="5"/>
        <v>40.089746346787351</v>
      </c>
    </row>
    <row r="40" spans="4:19" x14ac:dyDescent="0.2">
      <c r="D40" s="79">
        <f>D14</f>
        <v>321</v>
      </c>
      <c r="E40" s="79">
        <v>24</v>
      </c>
      <c r="F40" s="87">
        <v>404</v>
      </c>
      <c r="G40" s="79">
        <v>16431</v>
      </c>
      <c r="H40" s="87">
        <f t="shared" si="8"/>
        <v>56.062572000000003</v>
      </c>
      <c r="I40" s="87">
        <f t="shared" si="9"/>
        <v>347.93742800000001</v>
      </c>
      <c r="K40" s="93"/>
      <c r="L40" s="93"/>
      <c r="M40" s="93"/>
      <c r="O40" s="79">
        <f t="shared" si="7"/>
        <v>323</v>
      </c>
      <c r="P40" s="88">
        <f t="shared" si="6"/>
        <v>106.19508800000001</v>
      </c>
      <c r="Q40" s="88">
        <f t="shared" si="6"/>
        <v>3015.8049120000001</v>
      </c>
      <c r="R40" s="89">
        <f>$AG$120</f>
        <v>1.0008325708705155</v>
      </c>
      <c r="S40" s="90">
        <f t="shared" si="5"/>
        <v>3018.3157833208888</v>
      </c>
    </row>
    <row r="41" spans="4:19" x14ac:dyDescent="0.2">
      <c r="D41" s="79">
        <f t="shared" ref="D41:D54" si="10">D15</f>
        <v>322</v>
      </c>
      <c r="E41" s="79">
        <v>26</v>
      </c>
      <c r="F41" s="87">
        <v>2347</v>
      </c>
      <c r="G41" s="79">
        <v>55517</v>
      </c>
      <c r="H41" s="87">
        <f t="shared" si="8"/>
        <v>189.424004</v>
      </c>
      <c r="I41" s="87">
        <f t="shared" si="9"/>
        <v>2157.575996</v>
      </c>
      <c r="K41" s="93"/>
      <c r="L41" s="93"/>
      <c r="M41" s="93"/>
      <c r="O41" s="79">
        <f t="shared" si="7"/>
        <v>324</v>
      </c>
      <c r="P41" s="88">
        <f t="shared" si="6"/>
        <v>415.76584800000001</v>
      </c>
      <c r="Q41" s="88">
        <f t="shared" si="6"/>
        <v>2446.234152</v>
      </c>
      <c r="R41" s="89">
        <f>$AG$121</f>
        <v>0.99144124267556832</v>
      </c>
      <c r="S41" s="90">
        <f t="shared" si="5"/>
        <v>2425.2974275342949</v>
      </c>
    </row>
    <row r="42" spans="4:19" x14ac:dyDescent="0.2">
      <c r="D42" s="79">
        <f t="shared" si="10"/>
        <v>323</v>
      </c>
      <c r="E42" s="79">
        <v>27</v>
      </c>
      <c r="F42" s="87">
        <v>115</v>
      </c>
      <c r="G42" s="79">
        <v>17052</v>
      </c>
      <c r="H42" s="87">
        <f t="shared" si="8"/>
        <v>58.181424</v>
      </c>
      <c r="I42" s="87">
        <f t="shared" si="9"/>
        <v>56.818576</v>
      </c>
      <c r="K42" s="93"/>
      <c r="L42" s="93"/>
      <c r="M42" s="93"/>
      <c r="O42" s="79">
        <f t="shared" si="7"/>
        <v>325</v>
      </c>
      <c r="P42" s="88">
        <f t="shared" si="6"/>
        <v>106.792188</v>
      </c>
      <c r="Q42" s="88">
        <f t="shared" si="6"/>
        <v>145.20781199999999</v>
      </c>
      <c r="R42" s="89">
        <f>$AG$122</f>
        <v>1.0355216047246407</v>
      </c>
      <c r="S42" s="90">
        <f t="shared" si="5"/>
        <v>150.36582650079393</v>
      </c>
    </row>
    <row r="43" spans="4:19" x14ac:dyDescent="0.2">
      <c r="D43" s="79">
        <f t="shared" si="10"/>
        <v>324</v>
      </c>
      <c r="F43" s="87">
        <v>3122</v>
      </c>
      <c r="G43" s="79">
        <v>31124</v>
      </c>
      <c r="H43" s="87">
        <f t="shared" si="8"/>
        <v>106.19508800000001</v>
      </c>
      <c r="I43" s="87">
        <f t="shared" si="9"/>
        <v>3015.8049120000001</v>
      </c>
      <c r="K43" s="93"/>
      <c r="L43" s="93"/>
      <c r="M43" s="93"/>
      <c r="O43" s="79">
        <f t="shared" si="7"/>
        <v>326</v>
      </c>
      <c r="P43" s="88">
        <f t="shared" si="6"/>
        <v>115.301716</v>
      </c>
      <c r="Q43" s="88">
        <f t="shared" si="6"/>
        <v>884.69828400000006</v>
      </c>
      <c r="R43" s="89">
        <f>$AG$123</f>
        <v>0.99993870938021057</v>
      </c>
      <c r="S43" s="90">
        <f t="shared" si="5"/>
        <v>884.64406029384702</v>
      </c>
    </row>
    <row r="44" spans="4:19" x14ac:dyDescent="0.2">
      <c r="D44" s="79">
        <f t="shared" si="10"/>
        <v>325</v>
      </c>
      <c r="F44" s="87">
        <v>2862</v>
      </c>
      <c r="G44" s="79">
        <v>121854</v>
      </c>
      <c r="H44" s="87">
        <f t="shared" si="8"/>
        <v>415.76584800000001</v>
      </c>
      <c r="I44" s="87">
        <f t="shared" si="9"/>
        <v>2446.234152</v>
      </c>
      <c r="K44" s="93"/>
      <c r="L44" s="93"/>
      <c r="M44" s="93"/>
      <c r="O44" s="79">
        <f t="shared" si="7"/>
        <v>327</v>
      </c>
      <c r="P44" s="88">
        <f t="shared" si="6"/>
        <v>509.077224</v>
      </c>
      <c r="Q44" s="88">
        <f t="shared" si="6"/>
        <v>2112.9227759999999</v>
      </c>
      <c r="R44" s="89">
        <f>$AG$124</f>
        <v>1.010397468376462</v>
      </c>
      <c r="S44" s="90">
        <f t="shared" si="5"/>
        <v>2134.8918237453663</v>
      </c>
    </row>
    <row r="45" spans="4:19" x14ac:dyDescent="0.2">
      <c r="D45" s="79">
        <f t="shared" si="10"/>
        <v>326</v>
      </c>
      <c r="F45" s="87">
        <v>252</v>
      </c>
      <c r="G45" s="79">
        <v>31299</v>
      </c>
      <c r="H45" s="87">
        <f t="shared" si="8"/>
        <v>106.792188</v>
      </c>
      <c r="I45" s="87">
        <f t="shared" si="9"/>
        <v>145.20781199999999</v>
      </c>
      <c r="K45" s="93"/>
      <c r="L45" s="93"/>
      <c r="M45" s="93"/>
      <c r="O45" s="79">
        <f t="shared" si="7"/>
        <v>331</v>
      </c>
      <c r="P45" s="88">
        <f>H48</f>
        <v>105.60822400000001</v>
      </c>
      <c r="Q45" s="88">
        <f>I48+$AM$142*I49-$AM$149*I48</f>
        <v>249.89227488</v>
      </c>
      <c r="R45" s="89">
        <f>$AG$125</f>
        <v>1.0050318572657224</v>
      </c>
      <c r="S45" s="90">
        <f t="shared" si="5"/>
        <v>251.14969713900282</v>
      </c>
    </row>
    <row r="46" spans="4:19" x14ac:dyDescent="0.2">
      <c r="D46" s="79">
        <f t="shared" si="10"/>
        <v>327</v>
      </c>
      <c r="F46" s="87">
        <v>1000</v>
      </c>
      <c r="G46" s="79">
        <v>33793</v>
      </c>
      <c r="H46" s="87">
        <f t="shared" si="8"/>
        <v>115.301716</v>
      </c>
      <c r="I46" s="87">
        <f t="shared" si="9"/>
        <v>884.69828400000006</v>
      </c>
      <c r="K46" s="93"/>
      <c r="L46" s="93"/>
      <c r="M46" s="93"/>
      <c r="O46" s="79">
        <f t="shared" si="7"/>
        <v>332</v>
      </c>
      <c r="P46" s="88">
        <f>0.9*H49</f>
        <v>102.810384</v>
      </c>
      <c r="Q46" s="88">
        <f>I49-$AM$142*I49-$AM$140*I49-$AM$141*I49+$AM$146*I50</f>
        <v>140.20566463999998</v>
      </c>
      <c r="R46" s="89">
        <f>$AG$126</f>
        <v>0.99057294439314503</v>
      </c>
      <c r="S46" s="90">
        <f t="shared" si="5"/>
        <v>138.88393804304263</v>
      </c>
    </row>
    <row r="47" spans="4:19" x14ac:dyDescent="0.2">
      <c r="D47" s="79">
        <f t="shared" si="10"/>
        <v>331</v>
      </c>
      <c r="F47" s="87">
        <v>2622</v>
      </c>
      <c r="G47" s="79">
        <v>149202</v>
      </c>
      <c r="H47" s="87">
        <f t="shared" si="8"/>
        <v>509.077224</v>
      </c>
      <c r="I47" s="87">
        <f t="shared" si="9"/>
        <v>2112.9227759999999</v>
      </c>
      <c r="K47" s="93"/>
      <c r="L47" s="93"/>
      <c r="M47" s="93"/>
      <c r="O47" s="79">
        <f t="shared" si="7"/>
        <v>333</v>
      </c>
      <c r="P47" s="79">
        <f>0.1*H49+0.35*H51+0.5*H50</f>
        <v>73.931898399999994</v>
      </c>
      <c r="Q47" s="79">
        <f>$AM$140*I49+$AM$153*I50+$AM$151*I51</f>
        <v>61.255660160000005</v>
      </c>
      <c r="R47" s="89">
        <f>$AG$127</f>
        <v>1.0234677016554385</v>
      </c>
      <c r="S47" s="90">
        <f t="shared" si="5"/>
        <v>62.693189717341816</v>
      </c>
    </row>
    <row r="48" spans="4:19" x14ac:dyDescent="0.2">
      <c r="D48" s="79">
        <f t="shared" si="10"/>
        <v>332</v>
      </c>
      <c r="F48" s="87">
        <v>343</v>
      </c>
      <c r="G48" s="79">
        <v>30952</v>
      </c>
      <c r="H48" s="87">
        <f t="shared" si="8"/>
        <v>105.60822400000001</v>
      </c>
      <c r="I48" s="87">
        <f t="shared" si="9"/>
        <v>237.39177599999999</v>
      </c>
      <c r="K48" s="93"/>
      <c r="L48" s="93"/>
      <c r="M48" s="93"/>
      <c r="O48" s="79">
        <f t="shared" si="7"/>
        <v>334</v>
      </c>
      <c r="P48" s="79">
        <f>0.65*H51</f>
        <v>70.6413656</v>
      </c>
      <c r="Q48" s="79">
        <f>(1-$AM$150-$AM$151)*I51</f>
        <v>72.298263679999991</v>
      </c>
      <c r="R48" s="89">
        <f>$AG$128</f>
        <v>0.8929284199379155</v>
      </c>
      <c r="S48" s="90">
        <f t="shared" si="5"/>
        <v>64.55717435203718</v>
      </c>
    </row>
    <row r="49" spans="4:34" x14ac:dyDescent="0.2">
      <c r="D49" s="79">
        <f t="shared" si="10"/>
        <v>333</v>
      </c>
      <c r="F49" s="87">
        <v>276</v>
      </c>
      <c r="G49" s="79">
        <v>33480</v>
      </c>
      <c r="H49" s="87">
        <f t="shared" si="8"/>
        <v>114.23376</v>
      </c>
      <c r="I49" s="87">
        <f t="shared" si="9"/>
        <v>161.76623999999998</v>
      </c>
      <c r="K49" s="93"/>
      <c r="L49" s="93"/>
      <c r="M49" s="93"/>
      <c r="O49" s="79">
        <f t="shared" si="7"/>
        <v>335</v>
      </c>
      <c r="P49" s="88">
        <f>H52</f>
        <v>127.20959599999999</v>
      </c>
      <c r="Q49" s="88">
        <f>I52+$AM$149*I48+S$141*I49+$AM$150*I51</f>
        <v>242.66066736000002</v>
      </c>
      <c r="R49" s="89">
        <f>$AG$129</f>
        <v>1.0499456144576871</v>
      </c>
      <c r="S49" s="90">
        <f t="shared" si="5"/>
        <v>254.78050349600764</v>
      </c>
    </row>
    <row r="50" spans="4:34" x14ac:dyDescent="0.2">
      <c r="D50" s="79">
        <f t="shared" si="10"/>
        <v>334</v>
      </c>
      <c r="E50" s="79">
        <v>38</v>
      </c>
      <c r="F50" s="87">
        <v>113</v>
      </c>
      <c r="G50" s="79">
        <v>14344</v>
      </c>
      <c r="H50" s="87">
        <f t="shared" si="8"/>
        <v>48.941727999999998</v>
      </c>
      <c r="I50" s="87">
        <f t="shared" si="9"/>
        <v>64.058272000000002</v>
      </c>
      <c r="K50" s="93"/>
      <c r="L50" s="93"/>
      <c r="M50" s="93"/>
      <c r="O50" s="79">
        <f t="shared" si="7"/>
        <v>336</v>
      </c>
      <c r="P50" s="88">
        <f>H53</f>
        <v>19.281212</v>
      </c>
      <c r="Q50" s="88">
        <f>I53</f>
        <v>43.718788000000004</v>
      </c>
      <c r="R50" s="89">
        <f>$AG$130</f>
        <v>1.1125687426632083</v>
      </c>
      <c r="S50" s="90">
        <f t="shared" si="5"/>
        <v>48.640156995919362</v>
      </c>
    </row>
    <row r="51" spans="4:34" ht="13.5" thickBot="1" x14ac:dyDescent="0.25">
      <c r="D51" s="79">
        <f t="shared" si="10"/>
        <v>335</v>
      </c>
      <c r="F51" s="79">
        <v>215</v>
      </c>
      <c r="G51" s="79">
        <v>31852</v>
      </c>
      <c r="H51" s="87">
        <f t="shared" si="8"/>
        <v>108.679024</v>
      </c>
      <c r="I51" s="87">
        <f t="shared" si="9"/>
        <v>106.320976</v>
      </c>
      <c r="K51" s="93"/>
      <c r="L51" s="93"/>
      <c r="M51" s="93"/>
      <c r="O51" s="79">
        <f t="shared" si="7"/>
        <v>337</v>
      </c>
      <c r="P51" s="79">
        <f>H54+0.5*H50</f>
        <v>38.743259999999999</v>
      </c>
      <c r="Q51" s="80">
        <f>I54+$AM$147*I50</f>
        <v>48.507416480000003</v>
      </c>
      <c r="R51" s="91">
        <f>$AG$131</f>
        <v>0.93664838905802084</v>
      </c>
      <c r="S51" s="92">
        <f t="shared" si="5"/>
        <v>45.434393503358493</v>
      </c>
    </row>
    <row r="52" spans="4:34" x14ac:dyDescent="0.2">
      <c r="D52" s="79">
        <f t="shared" si="10"/>
        <v>336</v>
      </c>
      <c r="F52" s="87">
        <v>349</v>
      </c>
      <c r="G52" s="79">
        <v>37283</v>
      </c>
      <c r="H52" s="87">
        <f t="shared" si="8"/>
        <v>127.20959599999999</v>
      </c>
      <c r="I52" s="87">
        <f t="shared" si="9"/>
        <v>221.79040400000002</v>
      </c>
      <c r="K52" s="93"/>
      <c r="L52" s="93"/>
      <c r="M52" s="93"/>
      <c r="P52" s="88">
        <f>SUM(P34:P51)</f>
        <v>2398.2095000000004</v>
      </c>
      <c r="Q52" s="88">
        <f>SUM(Q34:Q51)</f>
        <v>13087.555175200003</v>
      </c>
      <c r="R52" s="88"/>
      <c r="S52" s="88">
        <f>SUM(S34:S51)</f>
        <v>13042.115484022981</v>
      </c>
    </row>
    <row r="53" spans="4:34" x14ac:dyDescent="0.2">
      <c r="D53" s="79">
        <f t="shared" si="10"/>
        <v>337</v>
      </c>
      <c r="F53" s="87">
        <v>63</v>
      </c>
      <c r="G53" s="79">
        <v>5651</v>
      </c>
      <c r="H53" s="87">
        <f t="shared" si="8"/>
        <v>19.281212</v>
      </c>
      <c r="I53" s="87">
        <f t="shared" si="9"/>
        <v>43.718788000000004</v>
      </c>
      <c r="K53" s="93"/>
      <c r="L53" s="93"/>
      <c r="M53" s="93"/>
    </row>
    <row r="54" spans="4:34" x14ac:dyDescent="0.2">
      <c r="D54" s="79">
        <f t="shared" si="10"/>
        <v>339</v>
      </c>
      <c r="F54" s="87">
        <v>41</v>
      </c>
      <c r="G54" s="79">
        <v>4183</v>
      </c>
      <c r="H54" s="87">
        <f t="shared" si="8"/>
        <v>14.272395999999999</v>
      </c>
      <c r="I54" s="87">
        <f t="shared" si="9"/>
        <v>26.727603999999999</v>
      </c>
      <c r="K54" s="93"/>
      <c r="L54" s="93"/>
      <c r="M54" s="93"/>
    </row>
    <row r="55" spans="4:34" x14ac:dyDescent="0.2">
      <c r="F55" s="88">
        <f>SUM(F34:F54)</f>
        <v>15489</v>
      </c>
      <c r="G55" s="88">
        <f>SUM(G34:G54)</f>
        <v>702875</v>
      </c>
      <c r="H55" s="88">
        <f>SUM(H34:H54)</f>
        <v>2398.2094999999999</v>
      </c>
      <c r="I55" s="88">
        <f>SUM(I34:I54)</f>
        <v>13090.790500000003</v>
      </c>
      <c r="K55" s="93"/>
      <c r="L55" s="93"/>
      <c r="M55" s="93"/>
    </row>
    <row r="56" spans="4:34" x14ac:dyDescent="0.2">
      <c r="K56" s="93"/>
      <c r="L56" s="93"/>
      <c r="M56" s="93"/>
    </row>
    <row r="57" spans="4:34" x14ac:dyDescent="0.2">
      <c r="K57" s="93"/>
      <c r="L57" s="93"/>
      <c r="M57" s="93"/>
    </row>
    <row r="58" spans="4:34" x14ac:dyDescent="0.2">
      <c r="D58" s="79">
        <v>1991</v>
      </c>
      <c r="E58" s="79" t="s">
        <v>205</v>
      </c>
      <c r="F58" s="79" t="s">
        <v>220</v>
      </c>
      <c r="K58" s="93"/>
      <c r="L58" s="93"/>
      <c r="M58" s="93"/>
      <c r="O58" s="79" t="s">
        <v>208</v>
      </c>
    </row>
    <row r="59" spans="4:34" ht="57" thickBot="1" x14ac:dyDescent="0.25">
      <c r="F59" s="94" t="s">
        <v>210</v>
      </c>
      <c r="G59" s="95" t="s">
        <v>211</v>
      </c>
      <c r="H59" s="95" t="s">
        <v>212</v>
      </c>
      <c r="I59" s="95" t="s">
        <v>213</v>
      </c>
      <c r="J59" s="96" t="s">
        <v>214</v>
      </c>
      <c r="K59" s="97"/>
      <c r="L59" s="97"/>
      <c r="M59" s="97"/>
      <c r="P59" s="82" t="s">
        <v>212</v>
      </c>
      <c r="Q59" s="84" t="s">
        <v>215</v>
      </c>
      <c r="R59" s="85" t="s">
        <v>187</v>
      </c>
      <c r="S59" s="85" t="s">
        <v>216</v>
      </c>
    </row>
    <row r="60" spans="4:34" x14ac:dyDescent="0.2">
      <c r="D60" s="86">
        <v>311</v>
      </c>
      <c r="E60" s="79">
        <v>20</v>
      </c>
      <c r="F60" s="87">
        <v>953</v>
      </c>
      <c r="G60" s="87">
        <v>49536</v>
      </c>
      <c r="H60" s="87">
        <f>G60*3.412*0.001</f>
        <v>169.01683199999999</v>
      </c>
      <c r="I60" s="87">
        <f>F60-H60</f>
        <v>783.98316799999998</v>
      </c>
      <c r="J60" s="98" t="e">
        <f>F60-G60-#REF!-#REF!-#REF!</f>
        <v>#REF!</v>
      </c>
      <c r="K60" s="99"/>
      <c r="L60" s="99"/>
      <c r="M60" s="99"/>
      <c r="O60" s="79" t="s">
        <v>217</v>
      </c>
      <c r="P60" s="88">
        <f>H60+H61</f>
        <v>172.43565599999999</v>
      </c>
      <c r="Q60" s="88">
        <f>I60+I61</f>
        <v>804.56434400000001</v>
      </c>
      <c r="R60" s="89">
        <f>$AG$114</f>
        <v>1.0063510216507281</v>
      </c>
      <c r="S60" s="90">
        <f>R60*Q60</f>
        <v>809.67414956814787</v>
      </c>
    </row>
    <row r="61" spans="4:34" x14ac:dyDescent="0.2">
      <c r="D61" s="86">
        <v>312</v>
      </c>
      <c r="E61" s="79">
        <v>21</v>
      </c>
      <c r="F61" s="87">
        <v>24</v>
      </c>
      <c r="G61" s="87">
        <v>1002</v>
      </c>
      <c r="H61" s="87">
        <f>G61*3.412*0.001</f>
        <v>3.4188240000000003</v>
      </c>
      <c r="I61" s="87">
        <f>F61-H61</f>
        <v>20.581175999999999</v>
      </c>
      <c r="J61" s="98" t="e">
        <f>F61-G61-#REF!-#REF!-#REF!</f>
        <v>#REF!</v>
      </c>
      <c r="K61" s="99"/>
      <c r="L61" s="99"/>
      <c r="M61" s="99"/>
      <c r="O61" s="79" t="s">
        <v>218</v>
      </c>
      <c r="P61" s="88">
        <f>H62</f>
        <v>100.763184</v>
      </c>
      <c r="Q61" s="88">
        <f>I62+I63</f>
        <v>172.236816</v>
      </c>
      <c r="R61" s="89">
        <f>$AG$115</f>
        <v>0.97092854611113166</v>
      </c>
      <c r="S61" s="90">
        <f t="shared" ref="S61:S77" si="11">R61*Q61</f>
        <v>167.22964134569051</v>
      </c>
    </row>
    <row r="62" spans="4:34" x14ac:dyDescent="0.2">
      <c r="D62" s="86">
        <v>313</v>
      </c>
      <c r="E62" s="79">
        <v>22</v>
      </c>
      <c r="F62" s="87">
        <v>273</v>
      </c>
      <c r="G62" s="87">
        <v>29532</v>
      </c>
      <c r="H62" s="87">
        <f>G62*3.412*0.001</f>
        <v>100.763184</v>
      </c>
      <c r="I62" s="87">
        <f>F62-H62</f>
        <v>172.236816</v>
      </c>
      <c r="J62" s="98" t="e">
        <f>F62-H62-#REF!-#REF!-#REF!</f>
        <v>#REF!</v>
      </c>
      <c r="K62" s="99"/>
      <c r="L62" s="99"/>
      <c r="M62" s="99"/>
      <c r="O62" s="79" t="s">
        <v>219</v>
      </c>
      <c r="P62" s="88">
        <f>H64+H65</f>
        <v>21.973279999999999</v>
      </c>
      <c r="Q62" s="88">
        <f>I64+I65</f>
        <v>34.026719999999997</v>
      </c>
      <c r="R62" s="89">
        <f>$AG$116</f>
        <v>1.0862977017311064</v>
      </c>
      <c r="S62" s="90">
        <f t="shared" si="11"/>
        <v>36.963147733447869</v>
      </c>
    </row>
    <row r="63" spans="4:34" x14ac:dyDescent="0.2">
      <c r="D63" s="79">
        <v>314</v>
      </c>
      <c r="J63" s="100"/>
      <c r="K63" s="93"/>
      <c r="L63" s="93"/>
      <c r="M63" s="93"/>
      <c r="O63" s="79">
        <v>321</v>
      </c>
      <c r="P63" s="88">
        <f t="shared" ref="P63:Q70" si="12">H66</f>
        <v>60.999735999999999</v>
      </c>
      <c r="Q63" s="88">
        <f t="shared" si="12"/>
        <v>362.00026400000002</v>
      </c>
      <c r="R63" s="89">
        <f>$AG$117</f>
        <v>0.86970227612053164</v>
      </c>
      <c r="S63" s="90">
        <f t="shared" si="11"/>
        <v>314.83245355703338</v>
      </c>
      <c r="AH63" s="101"/>
    </row>
    <row r="64" spans="4:34" x14ac:dyDescent="0.2">
      <c r="D64" s="79">
        <v>315</v>
      </c>
      <c r="E64" s="79">
        <v>23</v>
      </c>
      <c r="F64" s="79">
        <v>44</v>
      </c>
      <c r="G64" s="79">
        <v>5645</v>
      </c>
      <c r="H64" s="87">
        <f>G64*3.412*0.001</f>
        <v>19.260739999999998</v>
      </c>
      <c r="I64" s="87">
        <f>F64-H64</f>
        <v>24.739260000000002</v>
      </c>
      <c r="J64" s="98" t="e">
        <f>F64-H64-#REF!-#REF!-#REF!</f>
        <v>#REF!</v>
      </c>
      <c r="K64" s="99"/>
      <c r="L64" s="99"/>
      <c r="M64" s="99"/>
      <c r="O64" s="79">
        <f>D67</f>
        <v>322</v>
      </c>
      <c r="P64" s="88">
        <f t="shared" si="12"/>
        <v>200.95315200000002</v>
      </c>
      <c r="Q64" s="88">
        <f t="shared" si="12"/>
        <v>2271.046848</v>
      </c>
      <c r="R64" s="89">
        <f>$AG$118</f>
        <v>0.99832231546260719</v>
      </c>
      <c r="S64" s="90">
        <f t="shared" si="11"/>
        <v>2267.2367478194155</v>
      </c>
    </row>
    <row r="65" spans="4:19" x14ac:dyDescent="0.2">
      <c r="D65" s="79">
        <v>316</v>
      </c>
      <c r="E65" s="79">
        <v>31</v>
      </c>
      <c r="F65" s="87">
        <v>12</v>
      </c>
      <c r="G65" s="79">
        <v>795</v>
      </c>
      <c r="H65" s="87">
        <f t="shared" ref="H65:H80" si="13">G65*3.412*0.001</f>
        <v>2.7125400000000002</v>
      </c>
      <c r="I65" s="87">
        <f t="shared" ref="I65:I80" si="14">F65-H65</f>
        <v>9.2874599999999994</v>
      </c>
      <c r="K65" s="93"/>
      <c r="L65" s="93"/>
      <c r="M65" s="93"/>
      <c r="O65" s="79">
        <f t="shared" ref="O65:O77" si="15">D68</f>
        <v>323</v>
      </c>
      <c r="P65" s="88">
        <f t="shared" si="12"/>
        <v>53.326148000000003</v>
      </c>
      <c r="Q65" s="88">
        <f t="shared" si="12"/>
        <v>54.673851999999997</v>
      </c>
      <c r="R65" s="89">
        <f>$AG$119</f>
        <v>0.70557464070883003</v>
      </c>
      <c r="S65" s="90">
        <f t="shared" si="11"/>
        <v>38.576483481067747</v>
      </c>
    </row>
    <row r="66" spans="4:19" x14ac:dyDescent="0.2">
      <c r="D66" s="79">
        <f>D14</f>
        <v>321</v>
      </c>
      <c r="E66" s="79">
        <v>24</v>
      </c>
      <c r="F66" s="87">
        <v>423</v>
      </c>
      <c r="G66" s="79">
        <v>17878</v>
      </c>
      <c r="H66" s="87">
        <f t="shared" si="13"/>
        <v>60.999735999999999</v>
      </c>
      <c r="I66" s="87">
        <f t="shared" si="14"/>
        <v>362.00026400000002</v>
      </c>
      <c r="K66" s="93"/>
      <c r="L66" s="93"/>
      <c r="M66" s="93"/>
      <c r="O66" s="79">
        <f t="shared" si="15"/>
        <v>324</v>
      </c>
      <c r="P66" s="88">
        <f t="shared" si="12"/>
        <v>105.028184</v>
      </c>
      <c r="Q66" s="88">
        <f t="shared" si="12"/>
        <v>2881.9718160000002</v>
      </c>
      <c r="R66" s="89">
        <f>$AG$120</f>
        <v>1.0008325708705155</v>
      </c>
      <c r="S66" s="90">
        <f t="shared" si="11"/>
        <v>2884.3712617836486</v>
      </c>
    </row>
    <row r="67" spans="4:19" x14ac:dyDescent="0.2">
      <c r="D67" s="79">
        <f t="shared" ref="D67:D80" si="16">D15</f>
        <v>322</v>
      </c>
      <c r="E67" s="79">
        <v>26</v>
      </c>
      <c r="F67" s="87">
        <v>2472</v>
      </c>
      <c r="G67" s="79">
        <v>58896</v>
      </c>
      <c r="H67" s="87">
        <f t="shared" si="13"/>
        <v>200.95315200000002</v>
      </c>
      <c r="I67" s="87">
        <f t="shared" si="14"/>
        <v>2271.046848</v>
      </c>
      <c r="K67" s="93"/>
      <c r="L67" s="93"/>
      <c r="M67" s="93"/>
      <c r="O67" s="79">
        <f t="shared" si="15"/>
        <v>325</v>
      </c>
      <c r="P67" s="88">
        <f t="shared" si="12"/>
        <v>440.46531599999997</v>
      </c>
      <c r="Q67" s="88">
        <f t="shared" si="12"/>
        <v>2599.5346840000002</v>
      </c>
      <c r="R67" s="89">
        <f>$AG$121</f>
        <v>0.99144124267556832</v>
      </c>
      <c r="S67" s="90">
        <f t="shared" si="11"/>
        <v>2577.2858974832011</v>
      </c>
    </row>
    <row r="68" spans="4:19" x14ac:dyDescent="0.2">
      <c r="D68" s="79">
        <f t="shared" si="16"/>
        <v>323</v>
      </c>
      <c r="E68" s="79">
        <v>27</v>
      </c>
      <c r="F68" s="87">
        <v>108</v>
      </c>
      <c r="G68" s="79">
        <v>15629</v>
      </c>
      <c r="H68" s="87">
        <f t="shared" si="13"/>
        <v>53.326148000000003</v>
      </c>
      <c r="I68" s="87">
        <f t="shared" si="14"/>
        <v>54.673851999999997</v>
      </c>
      <c r="K68" s="93"/>
      <c r="L68" s="93"/>
      <c r="M68" s="93"/>
      <c r="O68" s="79">
        <f t="shared" si="15"/>
        <v>326</v>
      </c>
      <c r="P68" s="88">
        <f t="shared" si="12"/>
        <v>115.69409599999999</v>
      </c>
      <c r="Q68" s="88">
        <f t="shared" si="12"/>
        <v>121.30590400000001</v>
      </c>
      <c r="R68" s="89">
        <f>$AG$122</f>
        <v>1.0355216047246407</v>
      </c>
      <c r="S68" s="90">
        <f t="shared" si="11"/>
        <v>125.61488437265322</v>
      </c>
    </row>
    <row r="69" spans="4:19" x14ac:dyDescent="0.2">
      <c r="D69" s="79">
        <f t="shared" si="16"/>
        <v>324</v>
      </c>
      <c r="E69" s="79">
        <v>29</v>
      </c>
      <c r="F69" s="87">
        <v>2987</v>
      </c>
      <c r="G69" s="79">
        <v>30782</v>
      </c>
      <c r="H69" s="87">
        <f t="shared" si="13"/>
        <v>105.028184</v>
      </c>
      <c r="I69" s="87">
        <f t="shared" si="14"/>
        <v>2881.9718160000002</v>
      </c>
      <c r="K69" s="93"/>
      <c r="L69" s="93"/>
      <c r="M69" s="93"/>
      <c r="O69" s="79">
        <f t="shared" si="15"/>
        <v>327</v>
      </c>
      <c r="P69" s="88">
        <f t="shared" si="12"/>
        <v>105.13736800000001</v>
      </c>
      <c r="Q69" s="88">
        <f t="shared" si="12"/>
        <v>788.86263199999996</v>
      </c>
      <c r="R69" s="89">
        <f>$AG$123</f>
        <v>0.99993870938021057</v>
      </c>
      <c r="S69" s="90">
        <f t="shared" si="11"/>
        <v>788.81428212035598</v>
      </c>
    </row>
    <row r="70" spans="4:19" x14ac:dyDescent="0.2">
      <c r="D70" s="79">
        <f t="shared" si="16"/>
        <v>325</v>
      </c>
      <c r="E70" s="79">
        <v>28</v>
      </c>
      <c r="F70" s="87">
        <v>3040</v>
      </c>
      <c r="G70" s="79">
        <v>129093</v>
      </c>
      <c r="H70" s="87">
        <f t="shared" si="13"/>
        <v>440.46531599999997</v>
      </c>
      <c r="I70" s="87">
        <f t="shared" si="14"/>
        <v>2599.5346840000002</v>
      </c>
      <c r="K70" s="93"/>
      <c r="L70" s="93"/>
      <c r="M70" s="93"/>
      <c r="O70" s="79">
        <f t="shared" si="15"/>
        <v>331</v>
      </c>
      <c r="P70" s="88">
        <f t="shared" si="12"/>
        <v>499.09371199999998</v>
      </c>
      <c r="Q70" s="88">
        <f t="shared" si="12"/>
        <v>1792.9062880000001</v>
      </c>
      <c r="R70" s="89">
        <f>$AG$124</f>
        <v>1.010397468376462</v>
      </c>
      <c r="S70" s="90">
        <f t="shared" si="11"/>
        <v>1811.54797443144</v>
      </c>
    </row>
    <row r="71" spans="4:19" x14ac:dyDescent="0.2">
      <c r="D71" s="79">
        <f t="shared" si="16"/>
        <v>326</v>
      </c>
      <c r="E71" s="79">
        <v>30</v>
      </c>
      <c r="F71" s="87">
        <v>237</v>
      </c>
      <c r="G71" s="79">
        <v>33908</v>
      </c>
      <c r="H71" s="87">
        <f t="shared" si="13"/>
        <v>115.69409599999999</v>
      </c>
      <c r="I71" s="87">
        <f t="shared" si="14"/>
        <v>121.30590400000001</v>
      </c>
      <c r="K71" s="93"/>
      <c r="L71" s="93"/>
      <c r="M71" s="93"/>
      <c r="O71" s="79">
        <f t="shared" si="15"/>
        <v>332</v>
      </c>
      <c r="P71" s="88">
        <f>H74</f>
        <v>101.582064</v>
      </c>
      <c r="Q71" s="88">
        <f>I74+$AO$142*I75-$AO$149*I74</f>
        <v>216.193199472</v>
      </c>
      <c r="R71" s="89">
        <f>$AG$125</f>
        <v>1.0050318572657224</v>
      </c>
      <c r="S71" s="90">
        <f t="shared" si="11"/>
        <v>217.28105279356296</v>
      </c>
    </row>
    <row r="72" spans="4:19" x14ac:dyDescent="0.2">
      <c r="D72" s="79">
        <f t="shared" si="16"/>
        <v>327</v>
      </c>
      <c r="E72" s="79">
        <v>32</v>
      </c>
      <c r="F72" s="87">
        <v>894</v>
      </c>
      <c r="G72" s="79">
        <v>30814</v>
      </c>
      <c r="H72" s="87">
        <f t="shared" si="13"/>
        <v>105.13736800000001</v>
      </c>
      <c r="I72" s="87">
        <f t="shared" si="14"/>
        <v>788.86263199999996</v>
      </c>
      <c r="K72" s="93"/>
      <c r="L72" s="93"/>
      <c r="M72" s="93"/>
      <c r="O72" s="79">
        <f t="shared" si="15"/>
        <v>333</v>
      </c>
      <c r="P72" s="88">
        <f>0.9*H75</f>
        <v>90.539467200000004</v>
      </c>
      <c r="Q72" s="88">
        <f>I75-$AO$142*I75-$AO$140*I75-$AO$141*I75+$AO$146*I76</f>
        <v>114.559619368</v>
      </c>
      <c r="R72" s="89">
        <f>$AG$126</f>
        <v>0.99057294439314503</v>
      </c>
      <c r="S72" s="90">
        <f t="shared" si="11"/>
        <v>113.47965946591772</v>
      </c>
    </row>
    <row r="73" spans="4:19" x14ac:dyDescent="0.2">
      <c r="D73" s="79">
        <f t="shared" si="16"/>
        <v>331</v>
      </c>
      <c r="E73" s="79">
        <v>33</v>
      </c>
      <c r="F73" s="87">
        <v>2292</v>
      </c>
      <c r="G73" s="79">
        <v>146276</v>
      </c>
      <c r="H73" s="87">
        <f t="shared" si="13"/>
        <v>499.09371199999998</v>
      </c>
      <c r="I73" s="87">
        <f t="shared" si="14"/>
        <v>1792.9062880000001</v>
      </c>
      <c r="K73" s="93"/>
      <c r="L73" s="93"/>
      <c r="M73" s="93"/>
      <c r="O73" s="79">
        <f t="shared" si="15"/>
        <v>334</v>
      </c>
      <c r="P73" s="90">
        <f>0.1*H75+0.35*H77+0.5*H76</f>
        <v>66.979265999999996</v>
      </c>
      <c r="Q73" s="90">
        <f>$AO$140*I75+$AO$153*I76+$AO$151*I77</f>
        <v>54.931596096000007</v>
      </c>
      <c r="R73" s="89">
        <f>$AG$127</f>
        <v>1.0234677016554385</v>
      </c>
      <c r="S73" s="90">
        <f t="shared" si="11"/>
        <v>56.220714404637988</v>
      </c>
    </row>
    <row r="74" spans="4:19" x14ac:dyDescent="0.2">
      <c r="D74" s="79">
        <f t="shared" si="16"/>
        <v>332</v>
      </c>
      <c r="E74" s="79">
        <v>34</v>
      </c>
      <c r="F74" s="87">
        <v>305</v>
      </c>
      <c r="G74" s="79">
        <v>29772</v>
      </c>
      <c r="H74" s="87">
        <f t="shared" si="13"/>
        <v>101.582064</v>
      </c>
      <c r="I74" s="87">
        <f t="shared" si="14"/>
        <v>203.417936</v>
      </c>
      <c r="K74" s="93"/>
      <c r="L74" s="93"/>
      <c r="M74" s="93"/>
      <c r="O74" s="79">
        <f t="shared" si="15"/>
        <v>335</v>
      </c>
      <c r="P74" s="90">
        <f>0.65*H77</f>
        <v>66.525128800000005</v>
      </c>
      <c r="Q74" s="90">
        <f>(1-$AO$150-$AO$151)*I77</f>
        <v>62.279675919999995</v>
      </c>
      <c r="R74" s="89">
        <f>$AG$128</f>
        <v>0.8929284199379155</v>
      </c>
      <c r="S74" s="90">
        <f t="shared" si="11"/>
        <v>55.611292613491038</v>
      </c>
    </row>
    <row r="75" spans="4:19" x14ac:dyDescent="0.2">
      <c r="D75" s="79">
        <f t="shared" si="16"/>
        <v>333</v>
      </c>
      <c r="E75" s="79">
        <v>35</v>
      </c>
      <c r="F75" s="87">
        <v>235</v>
      </c>
      <c r="G75" s="79">
        <v>29484</v>
      </c>
      <c r="H75" s="87">
        <f t="shared" si="13"/>
        <v>100.599408</v>
      </c>
      <c r="I75" s="87">
        <f t="shared" si="14"/>
        <v>134.40059200000002</v>
      </c>
      <c r="K75" s="93"/>
      <c r="L75" s="93"/>
      <c r="M75" s="93"/>
      <c r="O75" s="79">
        <f t="shared" si="15"/>
        <v>336</v>
      </c>
      <c r="P75" s="90">
        <f>H78</f>
        <v>118.468052</v>
      </c>
      <c r="Q75" s="90">
        <f>I78+$AO$149*I74+S$141*I75+$AO$150*I77</f>
        <v>232.51734944</v>
      </c>
      <c r="R75" s="89">
        <f>$AG$129</f>
        <v>1.0499456144576871</v>
      </c>
      <c r="S75" s="90">
        <f t="shared" si="11"/>
        <v>244.13057132985355</v>
      </c>
    </row>
    <row r="76" spans="4:19" x14ac:dyDescent="0.2">
      <c r="D76" s="79">
        <f t="shared" si="16"/>
        <v>334</v>
      </c>
      <c r="E76" s="100">
        <v>38</v>
      </c>
      <c r="F76" s="87">
        <v>98</v>
      </c>
      <c r="G76" s="79">
        <v>12367</v>
      </c>
      <c r="H76" s="87">
        <f t="shared" si="13"/>
        <v>42.196204000000002</v>
      </c>
      <c r="I76" s="87">
        <f t="shared" si="14"/>
        <v>55.803795999999998</v>
      </c>
      <c r="K76" s="93"/>
      <c r="L76" s="93"/>
      <c r="M76" s="93"/>
      <c r="O76" s="79">
        <f t="shared" si="15"/>
        <v>337</v>
      </c>
      <c r="P76" s="90">
        <f>H79</f>
        <v>16.76998</v>
      </c>
      <c r="Q76" s="90">
        <f>I79</f>
        <v>50.230019999999996</v>
      </c>
      <c r="R76" s="89">
        <f>$AG$130</f>
        <v>1.1125687426632083</v>
      </c>
      <c r="S76" s="90">
        <f t="shared" si="11"/>
        <v>55.8843501953478</v>
      </c>
    </row>
    <row r="77" spans="4:19" ht="13.5" thickBot="1" x14ac:dyDescent="0.25">
      <c r="D77" s="79">
        <f t="shared" si="16"/>
        <v>335</v>
      </c>
      <c r="E77" s="79">
        <v>36</v>
      </c>
      <c r="F77" s="79">
        <v>196</v>
      </c>
      <c r="G77" s="79">
        <v>29996</v>
      </c>
      <c r="H77" s="87">
        <f t="shared" si="13"/>
        <v>102.346352</v>
      </c>
      <c r="I77" s="87">
        <f t="shared" si="14"/>
        <v>93.653648000000004</v>
      </c>
      <c r="K77" s="93"/>
      <c r="L77" s="93"/>
      <c r="M77" s="93"/>
      <c r="O77" s="79">
        <f t="shared" si="15"/>
        <v>339</v>
      </c>
      <c r="P77" s="90">
        <f>H80+0.5*H76</f>
        <v>33.589433999999997</v>
      </c>
      <c r="Q77" s="92">
        <f>I80+$AO$147*I76</f>
        <v>37.147135863999999</v>
      </c>
      <c r="R77" s="91">
        <f>$AG$131</f>
        <v>0.93664838905802084</v>
      </c>
      <c r="S77" s="92">
        <f t="shared" si="11"/>
        <v>34.793804965135031</v>
      </c>
    </row>
    <row r="78" spans="4:19" x14ac:dyDescent="0.2">
      <c r="D78" s="79">
        <f t="shared" si="16"/>
        <v>336</v>
      </c>
      <c r="E78" s="79">
        <v>37</v>
      </c>
      <c r="F78" s="87">
        <v>333</v>
      </c>
      <c r="G78" s="79">
        <v>34721</v>
      </c>
      <c r="H78" s="87">
        <f t="shared" si="13"/>
        <v>118.468052</v>
      </c>
      <c r="I78" s="87">
        <f t="shared" si="14"/>
        <v>214.531948</v>
      </c>
      <c r="K78" s="93"/>
      <c r="L78" s="93"/>
      <c r="M78" s="93"/>
      <c r="P78" s="88">
        <f>SUM(P60:P77)</f>
        <v>2370.3232239999998</v>
      </c>
      <c r="Q78" s="88">
        <f>SUM(Q60:Q77)</f>
        <v>12650.98876416</v>
      </c>
      <c r="R78" s="88"/>
      <c r="S78" s="88">
        <f>SUM(S60:S77)</f>
        <v>12599.548369464048</v>
      </c>
    </row>
    <row r="79" spans="4:19" x14ac:dyDescent="0.2">
      <c r="D79" s="79">
        <f t="shared" si="16"/>
        <v>337</v>
      </c>
      <c r="E79" s="79">
        <v>25</v>
      </c>
      <c r="F79" s="87">
        <v>67</v>
      </c>
      <c r="G79" s="79">
        <v>4915</v>
      </c>
      <c r="H79" s="87">
        <f t="shared" si="13"/>
        <v>16.76998</v>
      </c>
      <c r="I79" s="87">
        <f t="shared" si="14"/>
        <v>50.230019999999996</v>
      </c>
      <c r="K79" s="93"/>
      <c r="L79" s="93"/>
      <c r="M79" s="93"/>
    </row>
    <row r="80" spans="4:19" x14ac:dyDescent="0.2">
      <c r="D80" s="79">
        <f t="shared" si="16"/>
        <v>339</v>
      </c>
      <c r="E80" s="79">
        <v>39</v>
      </c>
      <c r="F80" s="87">
        <v>31</v>
      </c>
      <c r="G80" s="79">
        <v>3661</v>
      </c>
      <c r="H80" s="87">
        <f t="shared" si="13"/>
        <v>12.491332</v>
      </c>
      <c r="I80" s="87">
        <f t="shared" si="14"/>
        <v>18.508668</v>
      </c>
      <c r="K80" s="93"/>
      <c r="L80" s="93"/>
      <c r="M80" s="93"/>
    </row>
    <row r="81" spans="4:19" x14ac:dyDescent="0.2">
      <c r="F81" s="88">
        <f>SUM(F60:F80)</f>
        <v>15024</v>
      </c>
      <c r="G81" s="88">
        <f>SUM(G60:G80)</f>
        <v>694702</v>
      </c>
      <c r="H81" s="88">
        <f>SUM(H60:H80)</f>
        <v>2370.3232239999998</v>
      </c>
      <c r="I81" s="88">
        <f>SUM(I60:I80)</f>
        <v>12653.676776000002</v>
      </c>
      <c r="K81" s="93"/>
      <c r="L81" s="93"/>
      <c r="M81" s="93"/>
    </row>
    <row r="82" spans="4:19" x14ac:dyDescent="0.2">
      <c r="K82" s="93"/>
      <c r="L82" s="93"/>
      <c r="M82" s="93"/>
    </row>
    <row r="83" spans="4:19" x14ac:dyDescent="0.2">
      <c r="K83" s="93"/>
      <c r="L83" s="93"/>
      <c r="M83" s="93"/>
    </row>
    <row r="84" spans="4:19" x14ac:dyDescent="0.2">
      <c r="D84" s="79">
        <v>1994</v>
      </c>
      <c r="E84" s="79" t="s">
        <v>205</v>
      </c>
      <c r="F84" s="79" t="s">
        <v>221</v>
      </c>
      <c r="K84" s="93"/>
      <c r="L84" s="93"/>
      <c r="M84" s="93"/>
      <c r="O84" s="79" t="s">
        <v>208</v>
      </c>
    </row>
    <row r="85" spans="4:19" ht="57" thickBot="1" x14ac:dyDescent="0.25">
      <c r="F85" s="94" t="s">
        <v>210</v>
      </c>
      <c r="G85" s="95" t="s">
        <v>211</v>
      </c>
      <c r="H85" s="95" t="s">
        <v>212</v>
      </c>
      <c r="I85" s="95" t="s">
        <v>213</v>
      </c>
      <c r="J85" s="96" t="s">
        <v>214</v>
      </c>
      <c r="K85" s="97"/>
      <c r="L85" s="97"/>
      <c r="M85" s="97"/>
      <c r="P85" s="82" t="s">
        <v>222</v>
      </c>
      <c r="Q85" s="84" t="s">
        <v>223</v>
      </c>
      <c r="R85" s="85" t="s">
        <v>187</v>
      </c>
      <c r="S85" s="85" t="s">
        <v>216</v>
      </c>
    </row>
    <row r="86" spans="4:19" x14ac:dyDescent="0.2">
      <c r="D86" s="86">
        <v>311</v>
      </c>
      <c r="E86" s="79">
        <v>20</v>
      </c>
      <c r="F86" s="87">
        <v>1183</v>
      </c>
      <c r="G86" s="87">
        <v>58004</v>
      </c>
      <c r="H86" s="87">
        <f>G86*3.412*0.001</f>
        <v>197.909648</v>
      </c>
      <c r="I86" s="87">
        <f>F86-H86</f>
        <v>985.09035199999994</v>
      </c>
      <c r="J86" s="98" t="e">
        <f>F86-G86-#REF!-#REF!-#REF!</f>
        <v>#REF!</v>
      </c>
      <c r="K86" s="99"/>
      <c r="L86" s="99"/>
      <c r="M86" s="99"/>
      <c r="O86" s="79" t="s">
        <v>217</v>
      </c>
      <c r="P86" s="88">
        <f>H86+H87</f>
        <v>200.78255200000001</v>
      </c>
      <c r="Q86" s="88">
        <f>I86+I87</f>
        <v>1002.217448</v>
      </c>
      <c r="R86" s="89">
        <f>$AG$114</f>
        <v>1.0063510216507281</v>
      </c>
      <c r="S86" s="90">
        <f>R86*Q86</f>
        <v>1008.5825527109854</v>
      </c>
    </row>
    <row r="87" spans="4:19" x14ac:dyDescent="0.2">
      <c r="D87" s="86">
        <v>312</v>
      </c>
      <c r="E87" s="79">
        <v>21</v>
      </c>
      <c r="F87" s="98">
        <v>20</v>
      </c>
      <c r="G87" s="87">
        <v>842</v>
      </c>
      <c r="H87" s="87">
        <f>G87*3.412*0.001</f>
        <v>2.8729040000000001</v>
      </c>
      <c r="I87" s="87">
        <f>F87-H87</f>
        <v>17.127096000000002</v>
      </c>
      <c r="J87" s="98" t="e">
        <f>F87-G87-#REF!-#REF!-#REF!</f>
        <v>#REF!</v>
      </c>
      <c r="K87" s="99"/>
      <c r="L87" s="99"/>
      <c r="M87" s="99"/>
      <c r="O87" s="79" t="s">
        <v>218</v>
      </c>
      <c r="P87" s="88">
        <f>H88</f>
        <v>111.27896799999999</v>
      </c>
      <c r="Q87" s="88">
        <f>I88+I89</f>
        <v>198.72103200000001</v>
      </c>
      <c r="R87" s="89">
        <f>$AG$115</f>
        <v>0.97092854611113166</v>
      </c>
      <c r="S87" s="90">
        <f t="shared" ref="S87:S103" si="17">R87*Q87</f>
        <v>192.94392268146368</v>
      </c>
    </row>
    <row r="88" spans="4:19" x14ac:dyDescent="0.2">
      <c r="D88" s="86">
        <v>313</v>
      </c>
      <c r="E88" s="79">
        <v>22</v>
      </c>
      <c r="F88" s="87">
        <v>310</v>
      </c>
      <c r="G88" s="87">
        <v>32614</v>
      </c>
      <c r="H88" s="87">
        <f>G88*3.412*0.001</f>
        <v>111.27896799999999</v>
      </c>
      <c r="I88" s="87">
        <f>F88-H88</f>
        <v>198.72103200000001</v>
      </c>
      <c r="J88" s="98" t="e">
        <f>F88-H88-#REF!-#REF!-#REF!</f>
        <v>#REF!</v>
      </c>
      <c r="K88" s="99"/>
      <c r="L88" s="99"/>
      <c r="M88" s="99"/>
      <c r="O88" s="79" t="s">
        <v>219</v>
      </c>
      <c r="P88" s="88">
        <f>H90+H91</f>
        <v>29.216956</v>
      </c>
      <c r="Q88" s="88">
        <f>I90+I91</f>
        <v>36.783044000000004</v>
      </c>
      <c r="R88" s="89">
        <f>$AG$116</f>
        <v>1.0862977017311064</v>
      </c>
      <c r="S88" s="90">
        <f t="shared" si="17"/>
        <v>39.957336159874167</v>
      </c>
    </row>
    <row r="89" spans="4:19" x14ac:dyDescent="0.2">
      <c r="D89" s="79">
        <v>314</v>
      </c>
      <c r="J89" s="100"/>
      <c r="K89" s="93"/>
      <c r="L89" s="93"/>
      <c r="M89" s="93"/>
      <c r="O89" s="79">
        <v>321</v>
      </c>
      <c r="P89" s="88">
        <f t="shared" ref="P89:Q96" si="18">H92</f>
        <v>67.680431999999996</v>
      </c>
      <c r="Q89" s="88">
        <f t="shared" si="18"/>
        <v>367.319568</v>
      </c>
      <c r="R89" s="89">
        <f>$AG$117</f>
        <v>0.86970227612053164</v>
      </c>
      <c r="S89" s="90">
        <f t="shared" si="17"/>
        <v>319.45866435321039</v>
      </c>
    </row>
    <row r="90" spans="4:19" x14ac:dyDescent="0.2">
      <c r="D90" s="79">
        <v>315</v>
      </c>
      <c r="E90" s="79">
        <v>23</v>
      </c>
      <c r="F90" s="79">
        <v>56</v>
      </c>
      <c r="G90" s="79">
        <v>7735</v>
      </c>
      <c r="H90" s="87">
        <f>G90*3.412*0.001</f>
        <v>26.391819999999999</v>
      </c>
      <c r="I90" s="87">
        <f>F90-H90</f>
        <v>29.608180000000001</v>
      </c>
      <c r="J90" s="98" t="e">
        <f>F90-H90-#REF!-#REF!-#REF!</f>
        <v>#REF!</v>
      </c>
      <c r="K90" s="99"/>
      <c r="L90" s="99"/>
      <c r="M90" s="99"/>
      <c r="O90" s="79">
        <f>D93</f>
        <v>322</v>
      </c>
      <c r="P90" s="88">
        <f t="shared" si="18"/>
        <v>223.41434799999999</v>
      </c>
      <c r="Q90" s="88">
        <f t="shared" si="18"/>
        <v>2410.5856520000002</v>
      </c>
      <c r="R90" s="89">
        <f>$AG$118</f>
        <v>0.99832231546260719</v>
      </c>
      <c r="S90" s="90">
        <f t="shared" si="17"/>
        <v>2406.5414497255788</v>
      </c>
    </row>
    <row r="91" spans="4:19" x14ac:dyDescent="0.2">
      <c r="D91" s="79">
        <v>316</v>
      </c>
      <c r="E91" s="79">
        <v>31</v>
      </c>
      <c r="F91" s="98">
        <v>10</v>
      </c>
      <c r="G91" s="79">
        <v>828</v>
      </c>
      <c r="H91" s="87">
        <f t="shared" ref="H91:H106" si="19">G91*3.412*0.001</f>
        <v>2.8251360000000001</v>
      </c>
      <c r="I91" s="87">
        <f>F91-H91</f>
        <v>7.1748639999999995</v>
      </c>
      <c r="K91" s="93"/>
      <c r="L91" s="93"/>
      <c r="M91" s="93"/>
      <c r="O91" s="79">
        <f t="shared" ref="O91:O103" si="20">D94</f>
        <v>323</v>
      </c>
      <c r="P91" s="88">
        <f t="shared" si="18"/>
        <v>59.399508000000004</v>
      </c>
      <c r="Q91" s="88">
        <f t="shared" si="18"/>
        <v>52.600491999999996</v>
      </c>
      <c r="R91" s="89">
        <f>$AG$119</f>
        <v>0.70557464070883003</v>
      </c>
      <c r="S91" s="90">
        <f t="shared" si="17"/>
        <v>37.113573244007682</v>
      </c>
    </row>
    <row r="92" spans="4:19" x14ac:dyDescent="0.2">
      <c r="D92" s="79">
        <f>D40</f>
        <v>321</v>
      </c>
      <c r="E92" s="79">
        <v>24</v>
      </c>
      <c r="F92" s="99">
        <v>435</v>
      </c>
      <c r="G92" s="79">
        <v>19836</v>
      </c>
      <c r="H92" s="87">
        <f t="shared" si="19"/>
        <v>67.680431999999996</v>
      </c>
      <c r="I92" s="87">
        <f t="shared" ref="I92:I106" si="21">F92-H92</f>
        <v>367.319568</v>
      </c>
      <c r="K92" s="93"/>
      <c r="L92" s="93"/>
      <c r="M92" s="93"/>
      <c r="O92" s="79">
        <f t="shared" si="20"/>
        <v>324</v>
      </c>
      <c r="P92" s="88">
        <f t="shared" si="18"/>
        <v>120.92128</v>
      </c>
      <c r="Q92" s="88">
        <f t="shared" si="18"/>
        <v>3142.07872</v>
      </c>
      <c r="R92" s="89">
        <f>$AG$120</f>
        <v>1.0008325708705155</v>
      </c>
      <c r="S92" s="90">
        <f t="shared" si="17"/>
        <v>3144.6947232151383</v>
      </c>
    </row>
    <row r="93" spans="4:19" x14ac:dyDescent="0.2">
      <c r="D93" s="79">
        <f t="shared" ref="D93:D106" si="22">D41</f>
        <v>322</v>
      </c>
      <c r="E93" s="79">
        <v>26</v>
      </c>
      <c r="F93" s="87">
        <v>2634</v>
      </c>
      <c r="G93" s="79">
        <v>65479</v>
      </c>
      <c r="H93" s="87">
        <f t="shared" si="19"/>
        <v>223.41434799999999</v>
      </c>
      <c r="I93" s="87">
        <f t="shared" si="21"/>
        <v>2410.5856520000002</v>
      </c>
      <c r="K93" s="93"/>
      <c r="L93" s="93"/>
      <c r="M93" s="93"/>
      <c r="O93" s="79">
        <f t="shared" si="20"/>
        <v>325</v>
      </c>
      <c r="P93" s="88">
        <f t="shared" si="18"/>
        <v>520.26858400000003</v>
      </c>
      <c r="Q93" s="88">
        <f t="shared" si="18"/>
        <v>2752.7314160000001</v>
      </c>
      <c r="R93" s="89">
        <f>$AG$121</f>
        <v>0.99144124267556832</v>
      </c>
      <c r="S93" s="90">
        <f t="shared" si="17"/>
        <v>2729.1714558311169</v>
      </c>
    </row>
    <row r="94" spans="4:19" x14ac:dyDescent="0.2">
      <c r="D94" s="79">
        <f t="shared" si="22"/>
        <v>323</v>
      </c>
      <c r="E94" s="79">
        <v>27</v>
      </c>
      <c r="F94" s="87">
        <v>112</v>
      </c>
      <c r="G94" s="79">
        <v>17409</v>
      </c>
      <c r="H94" s="87">
        <f t="shared" si="19"/>
        <v>59.399508000000004</v>
      </c>
      <c r="I94" s="87">
        <f t="shared" si="21"/>
        <v>52.600491999999996</v>
      </c>
      <c r="K94" s="93"/>
      <c r="L94" s="93"/>
      <c r="M94" s="93"/>
      <c r="O94" s="79">
        <f t="shared" si="20"/>
        <v>326</v>
      </c>
      <c r="P94" s="88">
        <f t="shared" si="18"/>
        <v>149.27158799999998</v>
      </c>
      <c r="Q94" s="88">
        <f t="shared" si="18"/>
        <v>136.72841200000002</v>
      </c>
      <c r="R94" s="89">
        <f>$AG$122</f>
        <v>1.0355216047246407</v>
      </c>
      <c r="S94" s="90">
        <f t="shared" si="17"/>
        <v>141.58522460569185</v>
      </c>
    </row>
    <row r="95" spans="4:19" x14ac:dyDescent="0.2">
      <c r="D95" s="79">
        <f t="shared" si="22"/>
        <v>324</v>
      </c>
      <c r="E95" s="79">
        <v>29</v>
      </c>
      <c r="F95" s="87">
        <v>3263</v>
      </c>
      <c r="G95" s="79">
        <v>35440</v>
      </c>
      <c r="H95" s="87">
        <f t="shared" si="19"/>
        <v>120.92128</v>
      </c>
      <c r="I95" s="87">
        <f t="shared" si="21"/>
        <v>3142.07872</v>
      </c>
      <c r="K95" s="93"/>
      <c r="L95" s="93"/>
      <c r="M95" s="93"/>
      <c r="O95" s="79">
        <f t="shared" si="20"/>
        <v>327</v>
      </c>
      <c r="P95" s="88">
        <f t="shared" si="18"/>
        <v>122.893416</v>
      </c>
      <c r="Q95" s="88">
        <f t="shared" si="18"/>
        <v>822.106584</v>
      </c>
      <c r="R95" s="89">
        <f>$AG$123</f>
        <v>0.99993870938021057</v>
      </c>
      <c r="S95" s="90">
        <f t="shared" si="17"/>
        <v>822.05619657793363</v>
      </c>
    </row>
    <row r="96" spans="4:19" x14ac:dyDescent="0.2">
      <c r="D96" s="79">
        <f t="shared" si="22"/>
        <v>325</v>
      </c>
      <c r="E96" s="79">
        <v>28</v>
      </c>
      <c r="F96" s="87">
        <v>3273</v>
      </c>
      <c r="G96" s="79">
        <v>152482</v>
      </c>
      <c r="H96" s="87">
        <f t="shared" si="19"/>
        <v>520.26858400000003</v>
      </c>
      <c r="I96" s="87">
        <f t="shared" si="21"/>
        <v>2752.7314160000001</v>
      </c>
      <c r="K96" s="93"/>
      <c r="L96" s="93"/>
      <c r="M96" s="93"/>
      <c r="O96" s="79">
        <f t="shared" si="20"/>
        <v>331</v>
      </c>
      <c r="P96" s="88">
        <f t="shared" si="18"/>
        <v>492.91799199999997</v>
      </c>
      <c r="Q96" s="88">
        <f t="shared" si="18"/>
        <v>2075.0820079999999</v>
      </c>
      <c r="R96" s="89">
        <f>$AG$124</f>
        <v>1.010397468376462</v>
      </c>
      <c r="S96" s="90">
        <f t="shared" si="17"/>
        <v>2096.657607556745</v>
      </c>
    </row>
    <row r="97" spans="3:29" x14ac:dyDescent="0.2">
      <c r="D97" s="79">
        <f t="shared" si="22"/>
        <v>326</v>
      </c>
      <c r="E97" s="79">
        <v>30</v>
      </c>
      <c r="F97" s="87">
        <v>286</v>
      </c>
      <c r="G97" s="79">
        <v>43749</v>
      </c>
      <c r="H97" s="87">
        <f t="shared" si="19"/>
        <v>149.27158799999998</v>
      </c>
      <c r="I97" s="87">
        <f t="shared" si="21"/>
        <v>136.72841200000002</v>
      </c>
      <c r="K97" s="93"/>
      <c r="L97" s="93"/>
      <c r="M97" s="93"/>
      <c r="O97" s="79">
        <f t="shared" si="20"/>
        <v>332</v>
      </c>
      <c r="P97" s="88">
        <f>H100</f>
        <v>115.390428</v>
      </c>
      <c r="Q97" s="88">
        <f>I100+$AQ$142*I101-$AQ$149*I100</f>
        <v>262.26002779199996</v>
      </c>
      <c r="R97" s="89">
        <f>$AG$125</f>
        <v>1.0050318572657224</v>
      </c>
      <c r="S97" s="90">
        <f t="shared" si="17"/>
        <v>263.57968281835372</v>
      </c>
    </row>
    <row r="98" spans="3:29" x14ac:dyDescent="0.2">
      <c r="D98" s="79">
        <f t="shared" si="22"/>
        <v>327</v>
      </c>
      <c r="E98" s="79">
        <v>32</v>
      </c>
      <c r="F98" s="87">
        <v>945</v>
      </c>
      <c r="G98" s="79">
        <v>36018</v>
      </c>
      <c r="H98" s="87">
        <f t="shared" si="19"/>
        <v>122.893416</v>
      </c>
      <c r="I98" s="87">
        <f t="shared" si="21"/>
        <v>822.106584</v>
      </c>
      <c r="K98" s="93"/>
      <c r="L98" s="93"/>
      <c r="M98" s="93"/>
      <c r="O98" s="79">
        <f t="shared" si="20"/>
        <v>333</v>
      </c>
      <c r="P98" s="88">
        <f>0.9*H101</f>
        <v>98.379219599999999</v>
      </c>
      <c r="Q98" s="88">
        <f>I101-$AQ$142*I101-$AQ$140*I101-$AQ$141*I101+$AQ$146*I102</f>
        <v>113.997001184</v>
      </c>
      <c r="R98" s="89">
        <f>$AG$126</f>
        <v>0.99057294439314503</v>
      </c>
      <c r="S98" s="90">
        <f t="shared" si="17"/>
        <v>112.92234511482371</v>
      </c>
    </row>
    <row r="99" spans="3:29" x14ac:dyDescent="0.2">
      <c r="D99" s="79">
        <f t="shared" si="22"/>
        <v>331</v>
      </c>
      <c r="E99" s="79">
        <v>33</v>
      </c>
      <c r="F99" s="87">
        <v>2568</v>
      </c>
      <c r="G99" s="79">
        <v>144466</v>
      </c>
      <c r="H99" s="87">
        <f t="shared" si="19"/>
        <v>492.91799199999997</v>
      </c>
      <c r="I99" s="87">
        <f t="shared" si="21"/>
        <v>2075.0820079999999</v>
      </c>
      <c r="K99" s="93"/>
      <c r="L99" s="93"/>
      <c r="M99" s="93"/>
      <c r="O99" s="79">
        <f t="shared" si="20"/>
        <v>334</v>
      </c>
      <c r="P99" s="90">
        <f>0.1*H101+0.35*H103+0.5*H102</f>
        <v>73.530305999999996</v>
      </c>
      <c r="Q99" s="90">
        <f>$AQ$140*I101+$AQ$153*I102+$AQ$151*I103</f>
        <v>65.395795944</v>
      </c>
      <c r="R99" s="89">
        <f>$AG$127</f>
        <v>1.0234677016554385</v>
      </c>
      <c r="S99" s="90">
        <f t="shared" si="17"/>
        <v>66.930484972733723</v>
      </c>
    </row>
    <row r="100" spans="3:29" x14ac:dyDescent="0.2">
      <c r="D100" s="79">
        <f t="shared" si="22"/>
        <v>332</v>
      </c>
      <c r="E100" s="79">
        <v>34</v>
      </c>
      <c r="F100" s="87">
        <v>365</v>
      </c>
      <c r="G100" s="79">
        <v>33819</v>
      </c>
      <c r="H100" s="87">
        <f t="shared" si="19"/>
        <v>115.390428</v>
      </c>
      <c r="I100" s="87">
        <f t="shared" si="21"/>
        <v>249.60957200000001</v>
      </c>
      <c r="K100" s="93"/>
      <c r="L100" s="93"/>
      <c r="M100" s="93"/>
      <c r="O100" s="79">
        <f t="shared" si="20"/>
        <v>335</v>
      </c>
      <c r="P100" s="90">
        <f>0.65*H103</f>
        <v>73.51563440000001</v>
      </c>
      <c r="Q100" s="90">
        <f>(1-$AQ$150-$AQ$151)*I103</f>
        <v>75.98436559999999</v>
      </c>
      <c r="R100" s="89">
        <f>$AG$128</f>
        <v>0.8929284199379155</v>
      </c>
      <c r="S100" s="90">
        <f t="shared" si="17"/>
        <v>67.848599515192888</v>
      </c>
    </row>
    <row r="101" spans="3:29" x14ac:dyDescent="0.2">
      <c r="D101" s="79">
        <f t="shared" si="22"/>
        <v>333</v>
      </c>
      <c r="E101" s="79">
        <v>35</v>
      </c>
      <c r="F101" s="87">
        <v>245</v>
      </c>
      <c r="G101" s="79">
        <v>32037</v>
      </c>
      <c r="H101" s="87">
        <f t="shared" si="19"/>
        <v>109.310244</v>
      </c>
      <c r="I101" s="87">
        <f t="shared" si="21"/>
        <v>135.68975599999999</v>
      </c>
      <c r="K101" s="93"/>
      <c r="L101" s="93"/>
      <c r="M101" s="93"/>
      <c r="O101" s="79">
        <f t="shared" si="20"/>
        <v>336</v>
      </c>
      <c r="P101" s="90">
        <f>H104</f>
        <v>132.293476</v>
      </c>
      <c r="Q101" s="90">
        <f>I104+$AQ$149*I100+S$141*I101+$AQ$150*I103</f>
        <v>247.855155</v>
      </c>
      <c r="R101" s="89">
        <f>$AG$129</f>
        <v>1.0499456144576871</v>
      </c>
      <c r="S101" s="90">
        <f t="shared" si="17"/>
        <v>260.23443301298028</v>
      </c>
    </row>
    <row r="102" spans="3:29" x14ac:dyDescent="0.2">
      <c r="D102" s="79">
        <f t="shared" si="22"/>
        <v>334</v>
      </c>
      <c r="E102" s="100">
        <v>38</v>
      </c>
      <c r="F102" s="87">
        <v>106</v>
      </c>
      <c r="G102" s="79">
        <v>13490</v>
      </c>
      <c r="H102" s="87">
        <f t="shared" si="19"/>
        <v>46.027879999999996</v>
      </c>
      <c r="I102" s="87">
        <f t="shared" si="21"/>
        <v>59.972120000000004</v>
      </c>
      <c r="K102" s="93"/>
      <c r="L102" s="93"/>
      <c r="M102" s="93"/>
      <c r="O102" s="79">
        <f t="shared" si="20"/>
        <v>337</v>
      </c>
      <c r="P102" s="90">
        <f>H105</f>
        <v>22.48508</v>
      </c>
      <c r="Q102" s="90">
        <f>I105</f>
        <v>42.514920000000004</v>
      </c>
      <c r="R102" s="89">
        <f>$AG$130</f>
        <v>1.1125687426632083</v>
      </c>
      <c r="S102" s="90">
        <f t="shared" si="17"/>
        <v>47.300771088826892</v>
      </c>
    </row>
    <row r="103" spans="3:29" ht="13.5" thickBot="1" x14ac:dyDescent="0.25">
      <c r="D103" s="79">
        <f t="shared" si="22"/>
        <v>335</v>
      </c>
      <c r="E103" s="79">
        <v>36</v>
      </c>
      <c r="F103" s="79">
        <v>230</v>
      </c>
      <c r="G103" s="79">
        <v>33148</v>
      </c>
      <c r="H103" s="87">
        <f t="shared" si="19"/>
        <v>113.100976</v>
      </c>
      <c r="I103" s="87">
        <f t="shared" si="21"/>
        <v>116.899024</v>
      </c>
      <c r="K103" s="93"/>
      <c r="L103" s="93"/>
      <c r="M103" s="93"/>
      <c r="O103" s="80">
        <f t="shared" si="20"/>
        <v>339</v>
      </c>
      <c r="P103" s="92">
        <f>H106+0.5*H102</f>
        <v>42.035839999999993</v>
      </c>
      <c r="Q103" s="92">
        <f>I106+$AQ$147*I102</f>
        <v>51.648955360000002</v>
      </c>
      <c r="R103" s="91">
        <f>$AG$131</f>
        <v>0.93664838905802084</v>
      </c>
      <c r="S103" s="92">
        <f t="shared" si="17"/>
        <v>48.376910834473634</v>
      </c>
    </row>
    <row r="104" spans="3:29" x14ac:dyDescent="0.2">
      <c r="D104" s="79">
        <f t="shared" si="22"/>
        <v>336</v>
      </c>
      <c r="E104" s="79">
        <v>37</v>
      </c>
      <c r="F104" s="87">
        <v>358</v>
      </c>
      <c r="G104" s="79">
        <v>38773</v>
      </c>
      <c r="H104" s="87">
        <f t="shared" si="19"/>
        <v>132.293476</v>
      </c>
      <c r="I104" s="87">
        <f t="shared" si="21"/>
        <v>225.706524</v>
      </c>
      <c r="K104" s="93"/>
      <c r="L104" s="93"/>
      <c r="M104" s="93"/>
      <c r="P104" s="88">
        <f>SUM(P86:P103)</f>
        <v>2655.6756080000005</v>
      </c>
      <c r="Q104" s="88">
        <f>SUM(Q86:Q103)</f>
        <v>13856.610596879997</v>
      </c>
      <c r="R104" s="88"/>
      <c r="S104" s="88">
        <f>SUM(S86:S103)</f>
        <v>13805.955934019132</v>
      </c>
    </row>
    <row r="105" spans="3:29" x14ac:dyDescent="0.2">
      <c r="D105" s="79">
        <f t="shared" si="22"/>
        <v>337</v>
      </c>
      <c r="E105" s="79">
        <v>25</v>
      </c>
      <c r="F105" s="87">
        <v>65</v>
      </c>
      <c r="G105" s="79">
        <v>6590</v>
      </c>
      <c r="H105" s="87">
        <f t="shared" si="19"/>
        <v>22.48508</v>
      </c>
      <c r="I105" s="87">
        <f t="shared" si="21"/>
        <v>42.514920000000004</v>
      </c>
      <c r="K105" s="93"/>
      <c r="L105" s="93"/>
      <c r="M105" s="93"/>
    </row>
    <row r="106" spans="3:29" x14ac:dyDescent="0.2">
      <c r="D106" s="79">
        <f t="shared" si="22"/>
        <v>339</v>
      </c>
      <c r="E106" s="79">
        <v>39</v>
      </c>
      <c r="F106" s="87">
        <v>51</v>
      </c>
      <c r="G106" s="79">
        <v>5575</v>
      </c>
      <c r="H106" s="87">
        <f t="shared" si="19"/>
        <v>19.021899999999999</v>
      </c>
      <c r="I106" s="87">
        <f t="shared" si="21"/>
        <v>31.978100000000001</v>
      </c>
      <c r="K106" s="93"/>
      <c r="L106" s="93"/>
      <c r="M106" s="93"/>
    </row>
    <row r="107" spans="3:29" x14ac:dyDescent="0.2">
      <c r="F107" s="88">
        <f>SUM(F86:F106)</f>
        <v>16515</v>
      </c>
      <c r="G107" s="88">
        <f>SUM(G86:G106)</f>
        <v>778334</v>
      </c>
      <c r="H107" s="88">
        <f>SUM(H86:H106)</f>
        <v>2655.6756080000005</v>
      </c>
      <c r="I107" s="88">
        <f>SUM(I86:I106)</f>
        <v>13859.324391999999</v>
      </c>
      <c r="K107" s="93"/>
      <c r="L107" s="93"/>
      <c r="M107" s="93"/>
    </row>
    <row r="108" spans="3:29" x14ac:dyDescent="0.2">
      <c r="C108" s="79" t="s">
        <v>224</v>
      </c>
      <c r="F108" s="79">
        <v>16485</v>
      </c>
      <c r="G108" s="79">
        <v>778334</v>
      </c>
      <c r="H108" s="79">
        <v>2655.6756080000005</v>
      </c>
      <c r="I108" s="79">
        <v>13835</v>
      </c>
      <c r="K108" s="93"/>
      <c r="L108" s="93"/>
      <c r="M108" s="93"/>
    </row>
    <row r="109" spans="3:29" x14ac:dyDescent="0.2">
      <c r="C109" s="79" t="s">
        <v>225</v>
      </c>
      <c r="F109" s="87">
        <v>16515</v>
      </c>
      <c r="G109" s="79">
        <v>778335</v>
      </c>
      <c r="K109" s="93"/>
      <c r="L109" s="93"/>
      <c r="M109" s="93"/>
    </row>
    <row r="110" spans="3:29" x14ac:dyDescent="0.2">
      <c r="K110" s="93"/>
      <c r="L110" s="93"/>
      <c r="M110" s="93"/>
    </row>
    <row r="111" spans="3:29" x14ac:dyDescent="0.2">
      <c r="K111" s="93"/>
      <c r="L111" s="93"/>
      <c r="M111" s="93"/>
      <c r="AC111" s="79" t="s">
        <v>226</v>
      </c>
    </row>
    <row r="112" spans="3:29" x14ac:dyDescent="0.2">
      <c r="D112" s="79">
        <v>1998</v>
      </c>
      <c r="E112" s="79" t="s">
        <v>205</v>
      </c>
      <c r="F112" s="79" t="s">
        <v>221</v>
      </c>
      <c r="K112" s="93"/>
      <c r="L112" s="93"/>
      <c r="M112" s="93"/>
      <c r="O112" s="79" t="s">
        <v>227</v>
      </c>
      <c r="T112" s="79">
        <v>1998</v>
      </c>
      <c r="U112" s="79" t="s">
        <v>205</v>
      </c>
      <c r="V112" s="79" t="s">
        <v>228</v>
      </c>
      <c r="AA112" s="79" t="s">
        <v>229</v>
      </c>
      <c r="AC112" s="79" t="s">
        <v>208</v>
      </c>
    </row>
    <row r="113" spans="4:59" ht="57" thickBot="1" x14ac:dyDescent="0.25">
      <c r="F113" s="94" t="s">
        <v>210</v>
      </c>
      <c r="G113" s="95" t="s">
        <v>211</v>
      </c>
      <c r="H113" s="95" t="s">
        <v>212</v>
      </c>
      <c r="I113" s="95" t="s">
        <v>213</v>
      </c>
      <c r="J113" s="96" t="s">
        <v>214</v>
      </c>
      <c r="K113" s="97"/>
      <c r="L113" s="97"/>
      <c r="M113" s="97"/>
      <c r="P113" s="82" t="s">
        <v>212</v>
      </c>
      <c r="Q113" s="82" t="s">
        <v>213</v>
      </c>
      <c r="V113" s="94" t="s">
        <v>210</v>
      </c>
      <c r="W113" s="95" t="s">
        <v>211</v>
      </c>
      <c r="X113" s="95" t="s">
        <v>212</v>
      </c>
      <c r="Y113" s="95" t="s">
        <v>213</v>
      </c>
      <c r="AA113" s="95" t="str">
        <f>I113</f>
        <v>Total Fuel</v>
      </c>
      <c r="AB113" s="95" t="s">
        <v>230</v>
      </c>
      <c r="AD113" s="82" t="s">
        <v>231</v>
      </c>
      <c r="AE113" s="82" t="s">
        <v>232</v>
      </c>
      <c r="AF113" s="84" t="s">
        <v>233</v>
      </c>
      <c r="AG113" s="80" t="s">
        <v>187</v>
      </c>
      <c r="AH113" s="79" t="s">
        <v>216</v>
      </c>
    </row>
    <row r="114" spans="4:59" x14ac:dyDescent="0.2">
      <c r="D114" s="86">
        <v>311</v>
      </c>
      <c r="E114" s="79">
        <v>20</v>
      </c>
      <c r="F114" s="87">
        <v>1118</v>
      </c>
      <c r="G114" s="87">
        <v>67474</v>
      </c>
      <c r="H114" s="87">
        <f>G114*3.412*0.001</f>
        <v>230.22128800000002</v>
      </c>
      <c r="I114" s="87">
        <f>F114-H114</f>
        <v>887.77871200000004</v>
      </c>
      <c r="J114" s="98" t="e">
        <f>F114-G114-#REF!-#REF!-#REF!</f>
        <v>#REF!</v>
      </c>
      <c r="K114" s="99"/>
      <c r="L114" s="99"/>
      <c r="M114" s="99"/>
      <c r="O114" s="79" t="s">
        <v>217</v>
      </c>
      <c r="P114" s="88">
        <f>X114+X115</f>
        <v>237.403548</v>
      </c>
      <c r="Q114" s="88">
        <f>Y114+Y115</f>
        <v>914.596452</v>
      </c>
      <c r="T114" s="86">
        <v>311</v>
      </c>
      <c r="U114" s="79">
        <v>20</v>
      </c>
      <c r="V114" s="87">
        <v>1044</v>
      </c>
      <c r="W114" s="87">
        <v>62457</v>
      </c>
      <c r="X114" s="87">
        <f>W114*3.412*0.001</f>
        <v>213.103284</v>
      </c>
      <c r="Y114" s="102">
        <f t="shared" ref="Y114:Y134" si="23">V114-X114</f>
        <v>830.89671599999997</v>
      </c>
      <c r="AA114" s="103">
        <f t="shared" ref="AA114:AA134" si="24">I114</f>
        <v>887.77871200000004</v>
      </c>
      <c r="AC114" s="79" t="s">
        <v>217</v>
      </c>
      <c r="AD114" s="88">
        <f>Y114+Y115</f>
        <v>914.596452</v>
      </c>
      <c r="AE114" s="88">
        <f>AA114+AA115</f>
        <v>908.82448800000009</v>
      </c>
      <c r="AF114" s="88">
        <f>AA114+AA115</f>
        <v>908.82448800000009</v>
      </c>
      <c r="AG114" s="104">
        <f>AD114/AE114</f>
        <v>1.0063510216507281</v>
      </c>
      <c r="AH114" s="105">
        <f>AG114*AF114</f>
        <v>914.596452</v>
      </c>
    </row>
    <row r="115" spans="4:59" x14ac:dyDescent="0.2">
      <c r="D115" s="86">
        <v>312</v>
      </c>
      <c r="E115" s="79">
        <v>21</v>
      </c>
      <c r="F115" s="99">
        <v>26</v>
      </c>
      <c r="G115" s="87">
        <v>1452</v>
      </c>
      <c r="H115" s="87">
        <f>G115*3.412*0.001</f>
        <v>4.954224</v>
      </c>
      <c r="I115" s="87">
        <f>F115-H115</f>
        <v>21.045776</v>
      </c>
      <c r="J115" s="98" t="e">
        <f>F115-G115-#REF!-#REF!-#REF!</f>
        <v>#REF!</v>
      </c>
      <c r="K115" s="99"/>
      <c r="L115" s="99"/>
      <c r="M115" s="99"/>
      <c r="O115" s="79" t="s">
        <v>218</v>
      </c>
      <c r="P115" s="88">
        <f>X116+X117</f>
        <v>119.116332</v>
      </c>
      <c r="Q115" s="88">
        <f>Y116+Y117</f>
        <v>183.883668</v>
      </c>
      <c r="T115" s="86">
        <v>312</v>
      </c>
      <c r="U115" s="79">
        <v>21</v>
      </c>
      <c r="V115" s="99">
        <v>108</v>
      </c>
      <c r="W115" s="87">
        <v>7122</v>
      </c>
      <c r="X115" s="87">
        <f>W115*3.412*0.001</f>
        <v>24.300263999999999</v>
      </c>
      <c r="Y115" s="102">
        <f t="shared" si="23"/>
        <v>83.699736000000001</v>
      </c>
      <c r="AA115" s="103">
        <f t="shared" si="24"/>
        <v>21.045776</v>
      </c>
      <c r="AC115" s="79" t="s">
        <v>218</v>
      </c>
      <c r="AD115" s="88">
        <f>Y116+Y117</f>
        <v>183.883668</v>
      </c>
      <c r="AE115" s="88">
        <f>AA116+AA117</f>
        <v>189.38949600000001</v>
      </c>
      <c r="AF115" s="88">
        <f>AA116+AA117</f>
        <v>189.38949600000001</v>
      </c>
      <c r="AG115" s="104">
        <f t="shared" ref="AG115:AG131" si="25">AD115/AE115</f>
        <v>0.97092854611113166</v>
      </c>
      <c r="AH115" s="105">
        <f t="shared" ref="AH115:AH131" si="26">AG115*AF115</f>
        <v>183.883668</v>
      </c>
    </row>
    <row r="116" spans="4:59" x14ac:dyDescent="0.2">
      <c r="D116" s="86">
        <v>313</v>
      </c>
      <c r="E116" s="79">
        <v>22</v>
      </c>
      <c r="F116" s="87">
        <v>311</v>
      </c>
      <c r="G116" s="87">
        <v>35642</v>
      </c>
      <c r="H116" s="87">
        <f>G116*3.412*0.001</f>
        <v>121.61050400000001</v>
      </c>
      <c r="I116" s="87">
        <f>F116-H116</f>
        <v>189.38949600000001</v>
      </c>
      <c r="J116" s="98" t="e">
        <f>F116-H116-#REF!-#REF!-#REF!</f>
        <v>#REF!</v>
      </c>
      <c r="K116" s="99"/>
      <c r="L116" s="99"/>
      <c r="M116" s="99"/>
      <c r="O116" s="79" t="s">
        <v>219</v>
      </c>
      <c r="P116" s="88">
        <f>X118+X119</f>
        <v>20.512944000000001</v>
      </c>
      <c r="Q116" s="88">
        <f>Y118+Y119</f>
        <v>35.487055999999995</v>
      </c>
      <c r="T116" s="86">
        <v>313</v>
      </c>
      <c r="U116" s="79">
        <v>22</v>
      </c>
      <c r="V116" s="87">
        <v>254</v>
      </c>
      <c r="W116" s="87">
        <v>29759</v>
      </c>
      <c r="X116" s="87">
        <f>W116*3.412*0.001</f>
        <v>101.53770799999999</v>
      </c>
      <c r="Y116" s="102">
        <f t="shared" si="23"/>
        <v>152.46229199999999</v>
      </c>
      <c r="AA116" s="103">
        <f t="shared" si="24"/>
        <v>189.38949600000001</v>
      </c>
      <c r="AC116" s="79" t="s">
        <v>219</v>
      </c>
      <c r="AD116" s="88">
        <f>Y118+Y119</f>
        <v>35.487055999999995</v>
      </c>
      <c r="AE116" s="88">
        <f>AA118+AA119</f>
        <v>32.667892000000002</v>
      </c>
      <c r="AF116" s="88">
        <f>AA118+AA119</f>
        <v>32.667892000000002</v>
      </c>
      <c r="AG116" s="104">
        <f t="shared" si="25"/>
        <v>1.0862977017311064</v>
      </c>
      <c r="AH116" s="105">
        <f t="shared" si="26"/>
        <v>35.487056000000003</v>
      </c>
    </row>
    <row r="117" spans="4:59" x14ac:dyDescent="0.2">
      <c r="D117" s="79">
        <v>314</v>
      </c>
      <c r="J117" s="100"/>
      <c r="K117" s="93"/>
      <c r="L117" s="93"/>
      <c r="M117" s="93"/>
      <c r="O117" s="79">
        <v>321</v>
      </c>
      <c r="P117" s="88">
        <f>X120</f>
        <v>72.232039999999998</v>
      </c>
      <c r="Q117" s="88">
        <f>Y120</f>
        <v>431.76796000000002</v>
      </c>
      <c r="T117" s="79">
        <v>314</v>
      </c>
      <c r="V117" s="87">
        <v>49</v>
      </c>
      <c r="W117" s="87">
        <v>5152</v>
      </c>
      <c r="X117" s="87">
        <f>W117*3.412*0.001</f>
        <v>17.578624000000001</v>
      </c>
      <c r="Y117" s="102">
        <f t="shared" si="23"/>
        <v>31.421375999999999</v>
      </c>
      <c r="AA117" s="103">
        <f t="shared" si="24"/>
        <v>0</v>
      </c>
      <c r="AC117" s="79">
        <v>321</v>
      </c>
      <c r="AD117" s="88">
        <f t="shared" ref="AD117:AD131" si="27">Y120</f>
        <v>431.76796000000002</v>
      </c>
      <c r="AE117" s="88">
        <f t="shared" ref="AE117:AE124" si="28">AA120</f>
        <v>496.454904</v>
      </c>
      <c r="AF117" s="88">
        <f t="shared" ref="AF117:AF124" si="29">AA120</f>
        <v>496.454904</v>
      </c>
      <c r="AG117" s="104">
        <f t="shared" si="25"/>
        <v>0.86970227612053164</v>
      </c>
      <c r="AH117" s="105">
        <f t="shared" si="26"/>
        <v>431.76796000000002</v>
      </c>
    </row>
    <row r="118" spans="4:59" x14ac:dyDescent="0.2">
      <c r="D118" s="79">
        <v>315</v>
      </c>
      <c r="E118" s="79">
        <v>23</v>
      </c>
      <c r="F118" s="79">
        <v>44</v>
      </c>
      <c r="G118" s="79">
        <v>5163</v>
      </c>
      <c r="H118" s="87">
        <f>G118*3.412*0.001</f>
        <v>17.616156</v>
      </c>
      <c r="I118" s="87">
        <f>F118-H118</f>
        <v>26.383844</v>
      </c>
      <c r="J118" s="98" t="e">
        <f>F118-H118-#REF!-#REF!-#REF!</f>
        <v>#REF!</v>
      </c>
      <c r="K118" s="99"/>
      <c r="L118" s="99"/>
      <c r="M118" s="99"/>
      <c r="O118" s="79">
        <f>D121</f>
        <v>322</v>
      </c>
      <c r="P118" s="88">
        <f t="shared" ref="P118:Q131" si="30">X121</f>
        <v>240.08196799999999</v>
      </c>
      <c r="Q118" s="88">
        <f t="shared" si="30"/>
        <v>2503.918032</v>
      </c>
      <c r="T118" s="79">
        <v>315</v>
      </c>
      <c r="U118" s="79">
        <v>23</v>
      </c>
      <c r="V118" s="79">
        <v>48</v>
      </c>
      <c r="W118" s="79">
        <v>5251</v>
      </c>
      <c r="X118" s="87">
        <f>W118*3.412*0.001</f>
        <v>17.916412000000001</v>
      </c>
      <c r="Y118" s="102">
        <f t="shared" si="23"/>
        <v>30.083587999999999</v>
      </c>
      <c r="AA118" s="103">
        <f t="shared" si="24"/>
        <v>26.383844</v>
      </c>
      <c r="AB118" s="79">
        <f>Y118/AA118</f>
        <v>1.1402276332440413</v>
      </c>
      <c r="AC118" s="79">
        <f t="shared" ref="AC118:AC131" si="31">T121</f>
        <v>322</v>
      </c>
      <c r="AD118" s="88">
        <f t="shared" si="27"/>
        <v>2503.918032</v>
      </c>
      <c r="AE118" s="88">
        <f t="shared" si="28"/>
        <v>2508.1258760000001</v>
      </c>
      <c r="AF118" s="88">
        <f t="shared" si="29"/>
        <v>2508.1258760000001</v>
      </c>
      <c r="AG118" s="104">
        <f t="shared" si="25"/>
        <v>0.99832231546260719</v>
      </c>
      <c r="AH118" s="105">
        <f t="shared" si="26"/>
        <v>2503.918032</v>
      </c>
    </row>
    <row r="119" spans="4:59" x14ac:dyDescent="0.2">
      <c r="D119" s="79">
        <v>316</v>
      </c>
      <c r="E119" s="79">
        <v>31</v>
      </c>
      <c r="F119" s="99">
        <v>9</v>
      </c>
      <c r="G119" s="79">
        <v>796</v>
      </c>
      <c r="H119" s="87">
        <f t="shared" ref="H119:H134" si="32">G119*3.412*0.001</f>
        <v>2.7159519999999997</v>
      </c>
      <c r="I119" s="87">
        <f>F119-H119</f>
        <v>6.2840480000000003</v>
      </c>
      <c r="K119" s="93"/>
      <c r="L119" s="93"/>
      <c r="M119" s="93"/>
      <c r="O119" s="79">
        <f t="shared" ref="O119:O131" si="33">D122</f>
        <v>323</v>
      </c>
      <c r="P119" s="88">
        <f t="shared" si="30"/>
        <v>50.995752000000003</v>
      </c>
      <c r="Q119" s="88">
        <f t="shared" si="30"/>
        <v>47.004247999999997</v>
      </c>
      <c r="T119" s="79">
        <v>316</v>
      </c>
      <c r="U119" s="79">
        <v>31</v>
      </c>
      <c r="V119" s="99">
        <v>8</v>
      </c>
      <c r="W119" s="79">
        <v>761</v>
      </c>
      <c r="X119" s="87">
        <f t="shared" ref="X119:X134" si="34">W119*3.412*0.001</f>
        <v>2.5965320000000003</v>
      </c>
      <c r="Y119" s="102">
        <f t="shared" si="23"/>
        <v>5.4034680000000002</v>
      </c>
      <c r="AA119" s="103">
        <f t="shared" si="24"/>
        <v>6.2840480000000003</v>
      </c>
      <c r="AB119" s="79">
        <f>Y119/AA119</f>
        <v>0.859870580237452</v>
      </c>
      <c r="AC119" s="79">
        <f t="shared" si="31"/>
        <v>323</v>
      </c>
      <c r="AD119" s="88">
        <f t="shared" si="27"/>
        <v>47.004247999999997</v>
      </c>
      <c r="AE119" s="88">
        <f t="shared" si="28"/>
        <v>66.618392</v>
      </c>
      <c r="AF119" s="88">
        <f t="shared" si="29"/>
        <v>66.618392</v>
      </c>
      <c r="AG119" s="104">
        <f t="shared" si="25"/>
        <v>0.70557464070883003</v>
      </c>
      <c r="AH119" s="105">
        <f t="shared" si="26"/>
        <v>47.004247999999997</v>
      </c>
    </row>
    <row r="120" spans="4:59" x14ac:dyDescent="0.2">
      <c r="D120" s="79">
        <f>D14</f>
        <v>321</v>
      </c>
      <c r="E120" s="79">
        <v>24</v>
      </c>
      <c r="F120" s="99">
        <v>584</v>
      </c>
      <c r="G120" s="79">
        <v>25658</v>
      </c>
      <c r="H120" s="87">
        <f t="shared" si="32"/>
        <v>87.545096000000001</v>
      </c>
      <c r="I120" s="87">
        <f t="shared" ref="I120:I134" si="35">F120-H120</f>
        <v>496.454904</v>
      </c>
      <c r="K120" s="93"/>
      <c r="L120" s="93"/>
      <c r="M120" s="93"/>
      <c r="O120" s="79">
        <f t="shared" si="33"/>
        <v>324</v>
      </c>
      <c r="P120" s="88">
        <f t="shared" si="30"/>
        <v>126.445308</v>
      </c>
      <c r="Q120" s="88">
        <f t="shared" si="30"/>
        <v>3495.5546920000002</v>
      </c>
      <c r="T120" s="79">
        <f>D14</f>
        <v>321</v>
      </c>
      <c r="U120" s="79">
        <v>24</v>
      </c>
      <c r="V120" s="99">
        <v>504</v>
      </c>
      <c r="W120" s="79">
        <v>21170</v>
      </c>
      <c r="X120" s="87">
        <f t="shared" si="34"/>
        <v>72.232039999999998</v>
      </c>
      <c r="Y120" s="102">
        <f t="shared" si="23"/>
        <v>431.76796000000002</v>
      </c>
      <c r="AA120" s="103">
        <f t="shared" si="24"/>
        <v>496.454904</v>
      </c>
      <c r="AC120" s="79">
        <f t="shared" si="31"/>
        <v>324</v>
      </c>
      <c r="AD120" s="88">
        <f t="shared" si="27"/>
        <v>3495.5546920000002</v>
      </c>
      <c r="AE120" s="88">
        <f t="shared" si="28"/>
        <v>3492.6468159999999</v>
      </c>
      <c r="AF120" s="88">
        <f t="shared" si="29"/>
        <v>3492.6468159999999</v>
      </c>
      <c r="AG120" s="104">
        <f t="shared" si="25"/>
        <v>1.0008325708705155</v>
      </c>
      <c r="AH120" s="105">
        <f t="shared" si="26"/>
        <v>3495.5546920000002</v>
      </c>
    </row>
    <row r="121" spans="4:59" x14ac:dyDescent="0.2">
      <c r="D121" s="79">
        <f t="shared" ref="D121:D134" si="36">D15</f>
        <v>322</v>
      </c>
      <c r="E121" s="79">
        <v>26</v>
      </c>
      <c r="F121" s="87">
        <v>2759</v>
      </c>
      <c r="G121" s="79">
        <v>73527</v>
      </c>
      <c r="H121" s="87">
        <f t="shared" si="32"/>
        <v>250.87412399999999</v>
      </c>
      <c r="I121" s="87">
        <f t="shared" si="35"/>
        <v>2508.1258760000001</v>
      </c>
      <c r="K121" s="93"/>
      <c r="L121" s="93"/>
      <c r="M121" s="93"/>
      <c r="O121" s="79">
        <f t="shared" si="33"/>
        <v>325</v>
      </c>
      <c r="P121" s="88">
        <f t="shared" si="30"/>
        <v>577.42299600000001</v>
      </c>
      <c r="Q121" s="88">
        <f t="shared" si="30"/>
        <v>3126.5770039999998</v>
      </c>
      <c r="T121" s="79">
        <f t="shared" ref="T121:T134" si="37">D15</f>
        <v>322</v>
      </c>
      <c r="U121" s="79">
        <v>26</v>
      </c>
      <c r="V121" s="87">
        <v>2744</v>
      </c>
      <c r="W121" s="79">
        <v>70364</v>
      </c>
      <c r="X121" s="87">
        <f t="shared" si="34"/>
        <v>240.08196799999999</v>
      </c>
      <c r="Y121" s="102">
        <f t="shared" si="23"/>
        <v>2503.918032</v>
      </c>
      <c r="AA121" s="103">
        <f t="shared" si="24"/>
        <v>2508.1258760000001</v>
      </c>
      <c r="AC121" s="79">
        <f t="shared" si="31"/>
        <v>325</v>
      </c>
      <c r="AD121" s="88">
        <f t="shared" si="27"/>
        <v>3126.5770039999998</v>
      </c>
      <c r="AE121" s="88">
        <f t="shared" si="28"/>
        <v>3153.5676240000003</v>
      </c>
      <c r="AF121" s="88">
        <f t="shared" si="29"/>
        <v>3153.5676240000003</v>
      </c>
      <c r="AG121" s="104">
        <f t="shared" si="25"/>
        <v>0.99144124267556832</v>
      </c>
      <c r="AH121" s="105">
        <f t="shared" si="26"/>
        <v>3126.5770039999998</v>
      </c>
    </row>
    <row r="122" spans="4:59" x14ac:dyDescent="0.2">
      <c r="D122" s="79">
        <f t="shared" si="36"/>
        <v>323</v>
      </c>
      <c r="E122" s="79">
        <v>27</v>
      </c>
      <c r="F122" s="87">
        <v>165</v>
      </c>
      <c r="G122" s="79">
        <v>28834</v>
      </c>
      <c r="H122" s="87">
        <f t="shared" si="32"/>
        <v>98.381608</v>
      </c>
      <c r="I122" s="87">
        <f t="shared" si="35"/>
        <v>66.618392</v>
      </c>
      <c r="K122" s="93"/>
      <c r="L122" s="93"/>
      <c r="M122" s="93"/>
      <c r="O122" s="79">
        <f t="shared" si="33"/>
        <v>326</v>
      </c>
      <c r="P122" s="88">
        <f t="shared" si="30"/>
        <v>182.60000399999998</v>
      </c>
      <c r="Q122" s="88">
        <f t="shared" si="30"/>
        <v>144.39999600000002</v>
      </c>
      <c r="T122" s="79">
        <f t="shared" si="37"/>
        <v>323</v>
      </c>
      <c r="U122" s="79">
        <v>27</v>
      </c>
      <c r="V122" s="87">
        <v>98</v>
      </c>
      <c r="W122" s="79">
        <v>14946</v>
      </c>
      <c r="X122" s="87">
        <f t="shared" si="34"/>
        <v>50.995752000000003</v>
      </c>
      <c r="Y122" s="102">
        <f t="shared" si="23"/>
        <v>47.004247999999997</v>
      </c>
      <c r="AA122" s="103">
        <f t="shared" si="24"/>
        <v>66.618392</v>
      </c>
      <c r="AC122" s="79">
        <f t="shared" si="31"/>
        <v>326</v>
      </c>
      <c r="AD122" s="88">
        <f t="shared" si="27"/>
        <v>144.39999600000002</v>
      </c>
      <c r="AE122" s="88">
        <f t="shared" si="28"/>
        <v>139.446628</v>
      </c>
      <c r="AF122" s="88">
        <f t="shared" si="29"/>
        <v>139.446628</v>
      </c>
      <c r="AG122" s="104">
        <f t="shared" si="25"/>
        <v>1.0355216047246407</v>
      </c>
      <c r="AH122" s="105">
        <f t="shared" si="26"/>
        <v>144.39999600000002</v>
      </c>
    </row>
    <row r="123" spans="4:59" x14ac:dyDescent="0.2">
      <c r="D123" s="79">
        <f t="shared" si="36"/>
        <v>324</v>
      </c>
      <c r="E123" s="79">
        <v>29</v>
      </c>
      <c r="F123" s="87">
        <v>3619</v>
      </c>
      <c r="G123" s="79">
        <v>37032</v>
      </c>
      <c r="H123" s="87">
        <f t="shared" si="32"/>
        <v>126.353184</v>
      </c>
      <c r="I123" s="87">
        <f t="shared" si="35"/>
        <v>3492.6468159999999</v>
      </c>
      <c r="K123" s="93"/>
      <c r="L123" s="93"/>
      <c r="M123" s="93"/>
      <c r="O123" s="79">
        <f t="shared" si="33"/>
        <v>327</v>
      </c>
      <c r="P123" s="88">
        <f t="shared" si="30"/>
        <v>134.013124</v>
      </c>
      <c r="Q123" s="88">
        <f t="shared" si="30"/>
        <v>834.98687599999994</v>
      </c>
      <c r="T123" s="79">
        <f t="shared" si="37"/>
        <v>324</v>
      </c>
      <c r="U123" s="79">
        <v>29</v>
      </c>
      <c r="V123" s="87">
        <v>3622</v>
      </c>
      <c r="W123" s="79">
        <v>37059</v>
      </c>
      <c r="X123" s="87">
        <f t="shared" si="34"/>
        <v>126.445308</v>
      </c>
      <c r="Y123" s="102">
        <f t="shared" si="23"/>
        <v>3495.5546920000002</v>
      </c>
      <c r="AA123" s="103">
        <f t="shared" si="24"/>
        <v>3492.6468159999999</v>
      </c>
      <c r="AC123" s="79">
        <f t="shared" si="31"/>
        <v>327</v>
      </c>
      <c r="AD123" s="88">
        <f t="shared" si="27"/>
        <v>834.98687599999994</v>
      </c>
      <c r="AE123" s="88">
        <f t="shared" si="28"/>
        <v>835.03805599999998</v>
      </c>
      <c r="AF123" s="88">
        <f t="shared" si="29"/>
        <v>835.03805599999998</v>
      </c>
      <c r="AG123" s="104">
        <f t="shared" si="25"/>
        <v>0.99993870938021057</v>
      </c>
      <c r="AH123" s="105">
        <f t="shared" si="26"/>
        <v>834.98687599999994</v>
      </c>
      <c r="AK123" s="79" t="s">
        <v>234</v>
      </c>
      <c r="AL123" s="79" t="s">
        <v>235</v>
      </c>
      <c r="AM123" s="79" t="s">
        <v>236</v>
      </c>
      <c r="AN123" s="79" t="s">
        <v>237</v>
      </c>
      <c r="AO123" s="79" t="s">
        <v>238</v>
      </c>
      <c r="AP123" s="79" t="s">
        <v>239</v>
      </c>
      <c r="AQ123" s="79" t="s">
        <v>240</v>
      </c>
      <c r="AR123" s="79" t="s">
        <v>241</v>
      </c>
      <c r="AS123" s="79" t="s">
        <v>242</v>
      </c>
      <c r="AV123" s="79">
        <v>140</v>
      </c>
      <c r="AW123" s="79">
        <v>141</v>
      </c>
      <c r="AX123" s="79">
        <v>142</v>
      </c>
      <c r="AY123" s="79">
        <v>143</v>
      </c>
      <c r="AZ123" s="79">
        <v>144</v>
      </c>
      <c r="BA123" s="79">
        <v>145</v>
      </c>
      <c r="BB123" s="79">
        <v>146</v>
      </c>
      <c r="BC123" s="79">
        <v>147</v>
      </c>
      <c r="BD123" s="79">
        <v>148</v>
      </c>
      <c r="BE123" s="79">
        <v>149</v>
      </c>
      <c r="BF123" s="79">
        <v>150</v>
      </c>
      <c r="BG123" s="79">
        <v>151</v>
      </c>
    </row>
    <row r="124" spans="4:59" x14ac:dyDescent="0.2">
      <c r="D124" s="79">
        <f t="shared" si="36"/>
        <v>325</v>
      </c>
      <c r="E124" s="79">
        <v>28</v>
      </c>
      <c r="F124" s="87">
        <v>3722</v>
      </c>
      <c r="G124" s="79">
        <v>166598</v>
      </c>
      <c r="H124" s="87">
        <f t="shared" si="32"/>
        <v>568.43237599999998</v>
      </c>
      <c r="I124" s="87">
        <f t="shared" si="35"/>
        <v>3153.5676240000003</v>
      </c>
      <c r="K124" s="93"/>
      <c r="L124" s="93"/>
      <c r="M124" s="93"/>
      <c r="O124" s="79">
        <f t="shared" si="33"/>
        <v>331</v>
      </c>
      <c r="P124" s="88">
        <f t="shared" si="30"/>
        <v>544.643912</v>
      </c>
      <c r="Q124" s="88">
        <f t="shared" si="30"/>
        <v>2031.356088</v>
      </c>
      <c r="T124" s="79">
        <f t="shared" si="37"/>
        <v>325</v>
      </c>
      <c r="U124" s="79">
        <v>28</v>
      </c>
      <c r="V124" s="87">
        <v>3704</v>
      </c>
      <c r="W124" s="79">
        <v>169233</v>
      </c>
      <c r="X124" s="87">
        <f t="shared" si="34"/>
        <v>577.42299600000001</v>
      </c>
      <c r="Y124" s="102">
        <f t="shared" si="23"/>
        <v>3126.5770039999998</v>
      </c>
      <c r="AA124" s="103">
        <f t="shared" si="24"/>
        <v>3153.5676240000003</v>
      </c>
      <c r="AC124" s="79">
        <f t="shared" si="31"/>
        <v>331</v>
      </c>
      <c r="AD124" s="88">
        <f t="shared" si="27"/>
        <v>2031.356088</v>
      </c>
      <c r="AE124" s="88">
        <f t="shared" si="28"/>
        <v>2010.4524719999999</v>
      </c>
      <c r="AF124" s="88">
        <f t="shared" si="29"/>
        <v>2010.4524719999999</v>
      </c>
      <c r="AG124" s="104">
        <f t="shared" si="25"/>
        <v>1.010397468376462</v>
      </c>
      <c r="AH124" s="105">
        <f t="shared" si="26"/>
        <v>2031.356088</v>
      </c>
    </row>
    <row r="125" spans="4:59" x14ac:dyDescent="0.2">
      <c r="D125" s="79">
        <f t="shared" si="36"/>
        <v>326</v>
      </c>
      <c r="E125" s="79">
        <v>30</v>
      </c>
      <c r="F125" s="87">
        <v>318</v>
      </c>
      <c r="G125" s="79">
        <v>52331</v>
      </c>
      <c r="H125" s="87">
        <f t="shared" si="32"/>
        <v>178.553372</v>
      </c>
      <c r="I125" s="87">
        <f t="shared" si="35"/>
        <v>139.446628</v>
      </c>
      <c r="K125" s="93"/>
      <c r="L125" s="93"/>
      <c r="M125" s="93"/>
      <c r="O125" s="79">
        <f t="shared" si="33"/>
        <v>332</v>
      </c>
      <c r="P125" s="88">
        <f t="shared" si="30"/>
        <v>175.71458799999999</v>
      </c>
      <c r="Q125" s="88">
        <f t="shared" si="30"/>
        <v>265.28541200000001</v>
      </c>
      <c r="T125" s="79">
        <f t="shared" si="37"/>
        <v>326</v>
      </c>
      <c r="U125" s="79">
        <v>30</v>
      </c>
      <c r="V125" s="87">
        <v>327</v>
      </c>
      <c r="W125" s="79">
        <v>53517</v>
      </c>
      <c r="X125" s="87">
        <f t="shared" si="34"/>
        <v>182.60000399999998</v>
      </c>
      <c r="Y125" s="102">
        <f t="shared" si="23"/>
        <v>144.39999600000002</v>
      </c>
      <c r="AA125" s="103">
        <f t="shared" si="24"/>
        <v>139.446628</v>
      </c>
      <c r="AC125" s="79">
        <f t="shared" si="31"/>
        <v>332</v>
      </c>
      <c r="AD125" s="88">
        <f t="shared" si="27"/>
        <v>265.28541200000001</v>
      </c>
      <c r="AE125" s="88">
        <f>AA128+$AH$142*AA129-$AH$149*AA128</f>
        <v>263.95721695999998</v>
      </c>
      <c r="AF125" s="88">
        <f>AA128+$AH$142*AA129-$AH$149*AA128</f>
        <v>263.95721695999998</v>
      </c>
      <c r="AG125" s="104">
        <f t="shared" si="25"/>
        <v>1.0050318572657224</v>
      </c>
      <c r="AH125" s="105">
        <f t="shared" si="26"/>
        <v>265.28541200000001</v>
      </c>
      <c r="AI125" s="79">
        <v>2</v>
      </c>
      <c r="AM125" s="79">
        <v>-1</v>
      </c>
      <c r="AN125" s="79">
        <v>-1</v>
      </c>
      <c r="AX125" s="79">
        <v>1</v>
      </c>
      <c r="BE125" s="79">
        <v>-1</v>
      </c>
    </row>
    <row r="126" spans="4:59" x14ac:dyDescent="0.2">
      <c r="D126" s="79">
        <f t="shared" si="36"/>
        <v>327</v>
      </c>
      <c r="E126" s="79">
        <v>32</v>
      </c>
      <c r="F126" s="87">
        <v>969</v>
      </c>
      <c r="G126" s="79">
        <v>39262</v>
      </c>
      <c r="H126" s="87">
        <f t="shared" si="32"/>
        <v>133.96194399999999</v>
      </c>
      <c r="I126" s="87">
        <f t="shared" si="35"/>
        <v>835.03805599999998</v>
      </c>
      <c r="K126" s="93"/>
      <c r="L126" s="93"/>
      <c r="M126" s="93"/>
      <c r="O126" s="79">
        <f t="shared" si="33"/>
        <v>333</v>
      </c>
      <c r="P126" s="88">
        <f t="shared" si="30"/>
        <v>96.143335999999991</v>
      </c>
      <c r="Q126" s="88">
        <f t="shared" si="30"/>
        <v>116.85666400000001</v>
      </c>
      <c r="T126" s="79">
        <f t="shared" si="37"/>
        <v>327</v>
      </c>
      <c r="U126" s="79">
        <v>32</v>
      </c>
      <c r="V126" s="87">
        <v>969</v>
      </c>
      <c r="W126" s="79">
        <v>39277</v>
      </c>
      <c r="X126" s="87">
        <f t="shared" si="34"/>
        <v>134.013124</v>
      </c>
      <c r="Y126" s="102">
        <f t="shared" si="23"/>
        <v>834.98687599999994</v>
      </c>
      <c r="AA126" s="103">
        <f t="shared" si="24"/>
        <v>835.03805599999998</v>
      </c>
      <c r="AC126" s="79">
        <f t="shared" si="31"/>
        <v>333</v>
      </c>
      <c r="AD126" s="88">
        <f t="shared" si="27"/>
        <v>116.85666400000001</v>
      </c>
      <c r="AE126" s="88">
        <f>AA129-$AH$142*AA129-$AH$140*AA129-$AH$141*AA129+$AH$146*AA130</f>
        <v>117.96876208000002</v>
      </c>
      <c r="AF126" s="88">
        <f>AA129-$AH$142*AA129-$AH$140*AA129-$AH$141*AA129+$AH$146*AA130</f>
        <v>117.96876208000002</v>
      </c>
      <c r="AG126" s="104">
        <f t="shared" si="25"/>
        <v>0.99057294439314503</v>
      </c>
      <c r="AH126" s="105">
        <f t="shared" si="26"/>
        <v>116.85666400000001</v>
      </c>
      <c r="AI126" s="79">
        <v>4</v>
      </c>
      <c r="AN126" s="79">
        <v>-3</v>
      </c>
      <c r="AO126" s="79">
        <v>1</v>
      </c>
      <c r="AV126" s="79">
        <v>-1</v>
      </c>
      <c r="AW126" s="79">
        <v>-1</v>
      </c>
      <c r="AX126" s="79">
        <v>-1</v>
      </c>
      <c r="BB126" s="79">
        <f>1</f>
        <v>1</v>
      </c>
    </row>
    <row r="127" spans="4:59" x14ac:dyDescent="0.2">
      <c r="D127" s="79">
        <f t="shared" si="36"/>
        <v>331</v>
      </c>
      <c r="E127" s="79">
        <v>33</v>
      </c>
      <c r="F127" s="87">
        <v>2570</v>
      </c>
      <c r="G127" s="79">
        <v>163994</v>
      </c>
      <c r="H127" s="87">
        <f t="shared" si="32"/>
        <v>559.54752799999994</v>
      </c>
      <c r="I127" s="87">
        <f t="shared" si="35"/>
        <v>2010.4524719999999</v>
      </c>
      <c r="K127" s="93"/>
      <c r="L127" s="93"/>
      <c r="M127" s="93"/>
      <c r="O127" s="79">
        <f t="shared" si="33"/>
        <v>334</v>
      </c>
      <c r="P127" s="88">
        <f t="shared" si="30"/>
        <v>137.186284</v>
      </c>
      <c r="Q127" s="88">
        <f t="shared" si="30"/>
        <v>67.813715999999999</v>
      </c>
      <c r="T127" s="79">
        <f t="shared" si="37"/>
        <v>331</v>
      </c>
      <c r="U127" s="79">
        <v>33</v>
      </c>
      <c r="V127" s="87">
        <v>2576</v>
      </c>
      <c r="W127" s="79">
        <v>159626</v>
      </c>
      <c r="X127" s="87">
        <f t="shared" si="34"/>
        <v>544.643912</v>
      </c>
      <c r="Y127" s="102">
        <f t="shared" si="23"/>
        <v>2031.356088</v>
      </c>
      <c r="AA127" s="103">
        <f t="shared" si="24"/>
        <v>2010.4524719999999</v>
      </c>
      <c r="AC127" s="79">
        <f t="shared" si="31"/>
        <v>334</v>
      </c>
      <c r="AD127" s="88">
        <f t="shared" si="27"/>
        <v>67.813715999999999</v>
      </c>
      <c r="AE127" s="88">
        <f>$AH$140*AA129+$AH$153*AA130+$AH$151*AA131</f>
        <v>66.258774840000001</v>
      </c>
      <c r="AF127" s="79">
        <f>$AH$140*AA129+$AH$153*AA130+$AH$151*AA131</f>
        <v>66.258774840000001</v>
      </c>
      <c r="AG127" s="104">
        <f t="shared" si="25"/>
        <v>1.0234677016554385</v>
      </c>
      <c r="AH127" s="105">
        <f t="shared" si="26"/>
        <v>67.813715999999999</v>
      </c>
      <c r="AI127" s="79">
        <v>3</v>
      </c>
      <c r="AN127" s="79">
        <v>1</v>
      </c>
      <c r="AO127" s="79">
        <v>1</v>
      </c>
      <c r="AP127" s="79">
        <v>1</v>
      </c>
      <c r="AV127" s="79">
        <v>1</v>
      </c>
      <c r="BA127" s="79">
        <v>1</v>
      </c>
      <c r="BG127" s="79">
        <v>1</v>
      </c>
    </row>
    <row r="128" spans="4:59" x14ac:dyDescent="0.2">
      <c r="D128" s="79">
        <f t="shared" si="36"/>
        <v>332</v>
      </c>
      <c r="E128" s="79">
        <v>34</v>
      </c>
      <c r="F128" s="87">
        <v>409</v>
      </c>
      <c r="G128" s="79">
        <v>48219</v>
      </c>
      <c r="H128" s="87">
        <f t="shared" si="32"/>
        <v>164.52322800000002</v>
      </c>
      <c r="I128" s="87">
        <f t="shared" si="35"/>
        <v>244.47677199999998</v>
      </c>
      <c r="K128" s="93"/>
      <c r="L128" s="93"/>
      <c r="M128" s="93"/>
      <c r="O128" s="79">
        <f t="shared" si="33"/>
        <v>335</v>
      </c>
      <c r="P128" s="88">
        <f t="shared" si="30"/>
        <v>55.328992</v>
      </c>
      <c r="Q128" s="88">
        <f t="shared" si="30"/>
        <v>60.671008</v>
      </c>
      <c r="T128" s="79">
        <f t="shared" si="37"/>
        <v>332</v>
      </c>
      <c r="U128" s="79">
        <v>34</v>
      </c>
      <c r="V128" s="87">
        <v>441</v>
      </c>
      <c r="W128" s="79">
        <v>51499</v>
      </c>
      <c r="X128" s="87">
        <f t="shared" si="34"/>
        <v>175.71458799999999</v>
      </c>
      <c r="Y128" s="102">
        <f t="shared" si="23"/>
        <v>265.28541200000001</v>
      </c>
      <c r="AA128" s="103">
        <f t="shared" si="24"/>
        <v>244.47677199999998</v>
      </c>
      <c r="AC128" s="79">
        <f t="shared" si="31"/>
        <v>335</v>
      </c>
      <c r="AD128" s="88">
        <f t="shared" si="27"/>
        <v>60.671008</v>
      </c>
      <c r="AE128" s="88">
        <f>(1-$AH$150-$AH$151)*AA131</f>
        <v>67.946104799999986</v>
      </c>
      <c r="AF128" s="79">
        <f>(1-$AH$150-$AH$151)*AA131</f>
        <v>67.946104799999986</v>
      </c>
      <c r="AG128" s="104">
        <f t="shared" si="25"/>
        <v>0.8929284199379155</v>
      </c>
      <c r="AH128" s="105">
        <f t="shared" si="26"/>
        <v>60.671008</v>
      </c>
      <c r="AI128" s="79">
        <v>2</v>
      </c>
      <c r="AQ128" s="79">
        <v>-2</v>
      </c>
      <c r="BF128" s="79">
        <v>-1</v>
      </c>
      <c r="BG128" s="79">
        <v>-1</v>
      </c>
    </row>
    <row r="129" spans="4:58" x14ac:dyDescent="0.2">
      <c r="D129" s="79">
        <f t="shared" si="36"/>
        <v>333</v>
      </c>
      <c r="E129" s="79">
        <v>35</v>
      </c>
      <c r="F129" s="87">
        <v>278</v>
      </c>
      <c r="G129" s="79">
        <v>38577</v>
      </c>
      <c r="H129" s="87">
        <f t="shared" si="32"/>
        <v>131.62472399999999</v>
      </c>
      <c r="I129" s="87">
        <f t="shared" si="35"/>
        <v>146.37527600000001</v>
      </c>
      <c r="K129" s="93"/>
      <c r="L129" s="93"/>
      <c r="M129" s="93"/>
      <c r="O129" s="79">
        <f t="shared" si="33"/>
        <v>336</v>
      </c>
      <c r="P129" s="88">
        <f t="shared" si="30"/>
        <v>195.244876</v>
      </c>
      <c r="Q129" s="88">
        <f t="shared" si="30"/>
        <v>292.75512400000002</v>
      </c>
      <c r="T129" s="79">
        <f t="shared" si="37"/>
        <v>333</v>
      </c>
      <c r="U129" s="79">
        <v>35</v>
      </c>
      <c r="V129" s="87">
        <v>213</v>
      </c>
      <c r="W129" s="79">
        <v>28178</v>
      </c>
      <c r="X129" s="87">
        <f t="shared" si="34"/>
        <v>96.143335999999991</v>
      </c>
      <c r="Y129" s="102">
        <f t="shared" si="23"/>
        <v>116.85666400000001</v>
      </c>
      <c r="AA129" s="103">
        <f t="shared" si="24"/>
        <v>146.37527600000001</v>
      </c>
      <c r="AC129" s="79">
        <f t="shared" si="31"/>
        <v>336</v>
      </c>
      <c r="AD129" s="88">
        <f t="shared" si="27"/>
        <v>292.75512400000002</v>
      </c>
      <c r="AE129" s="88">
        <f>AA132+$AH$149*AA128+AG$141*AA129+$AH$150*AA131</f>
        <v>278.82884596000002</v>
      </c>
      <c r="AF129" s="88">
        <f>AA132+$AH$149*AA128+AH$141*AA129+$AH$150*AA131</f>
        <v>278.82884596000002</v>
      </c>
      <c r="AG129" s="104">
        <f t="shared" si="25"/>
        <v>1.0499456144576871</v>
      </c>
      <c r="AH129" s="105">
        <f t="shared" si="26"/>
        <v>292.75512400000002</v>
      </c>
      <c r="AI129" s="79">
        <v>3</v>
      </c>
      <c r="AK129" s="79">
        <v>1</v>
      </c>
      <c r="AM129" s="79">
        <v>1</v>
      </c>
      <c r="AP129" s="79">
        <v>1</v>
      </c>
      <c r="AW129" s="79">
        <v>1</v>
      </c>
      <c r="BE129" s="79">
        <v>1</v>
      </c>
      <c r="BF129" s="79">
        <v>1</v>
      </c>
    </row>
    <row r="130" spans="4:58" x14ac:dyDescent="0.2">
      <c r="D130" s="79">
        <f t="shared" si="36"/>
        <v>334</v>
      </c>
      <c r="E130" s="100">
        <v>38</v>
      </c>
      <c r="F130" s="87">
        <v>115</v>
      </c>
      <c r="G130" s="79">
        <v>15696</v>
      </c>
      <c r="H130" s="87">
        <f t="shared" si="32"/>
        <v>53.554752000000001</v>
      </c>
      <c r="I130" s="87">
        <f t="shared" si="35"/>
        <v>61.445247999999999</v>
      </c>
      <c r="K130" s="93"/>
      <c r="L130" s="93"/>
      <c r="M130" s="93"/>
      <c r="O130" s="79">
        <f t="shared" si="33"/>
        <v>337</v>
      </c>
      <c r="P130" s="88">
        <f t="shared" si="30"/>
        <v>29.500152</v>
      </c>
      <c r="Q130" s="88">
        <f t="shared" si="30"/>
        <v>58.499848</v>
      </c>
      <c r="T130" s="79">
        <f t="shared" si="37"/>
        <v>334</v>
      </c>
      <c r="U130" s="100">
        <v>38</v>
      </c>
      <c r="V130" s="87">
        <v>205</v>
      </c>
      <c r="W130" s="79">
        <v>40207</v>
      </c>
      <c r="X130" s="87">
        <f t="shared" si="34"/>
        <v>137.186284</v>
      </c>
      <c r="Y130" s="102">
        <f t="shared" si="23"/>
        <v>67.813715999999999</v>
      </c>
      <c r="AA130" s="103">
        <f t="shared" si="24"/>
        <v>61.445247999999999</v>
      </c>
      <c r="AC130" s="79">
        <f t="shared" si="31"/>
        <v>337</v>
      </c>
      <c r="AD130" s="88">
        <f t="shared" si="27"/>
        <v>58.499848</v>
      </c>
      <c r="AE130" s="88">
        <f>AA133</f>
        <v>52.580883999999998</v>
      </c>
      <c r="AF130" s="88">
        <f>AA133</f>
        <v>52.580883999999998</v>
      </c>
      <c r="AG130" s="104">
        <f t="shared" si="25"/>
        <v>1.1125687426632083</v>
      </c>
      <c r="AH130" s="105">
        <f t="shared" si="26"/>
        <v>58.499848</v>
      </c>
    </row>
    <row r="131" spans="4:58" x14ac:dyDescent="0.2">
      <c r="D131" s="79">
        <f t="shared" si="36"/>
        <v>335</v>
      </c>
      <c r="E131" s="79">
        <v>36</v>
      </c>
      <c r="F131" s="79">
        <v>256</v>
      </c>
      <c r="G131" s="79">
        <v>43420</v>
      </c>
      <c r="H131" s="87">
        <f t="shared" si="32"/>
        <v>148.14904000000001</v>
      </c>
      <c r="I131" s="87">
        <f t="shared" si="35"/>
        <v>107.85095999999999</v>
      </c>
      <c r="K131" s="93"/>
      <c r="L131" s="93"/>
      <c r="M131" s="93"/>
      <c r="O131" s="79">
        <f t="shared" si="33"/>
        <v>339</v>
      </c>
      <c r="P131" s="88">
        <f t="shared" si="30"/>
        <v>40.299132</v>
      </c>
      <c r="Q131" s="88">
        <f t="shared" si="30"/>
        <v>47.700868</v>
      </c>
      <c r="T131" s="79">
        <f t="shared" si="37"/>
        <v>335</v>
      </c>
      <c r="U131" s="79">
        <v>36</v>
      </c>
      <c r="V131" s="79">
        <v>116</v>
      </c>
      <c r="W131" s="79">
        <v>16216</v>
      </c>
      <c r="X131" s="87">
        <f t="shared" si="34"/>
        <v>55.328992</v>
      </c>
      <c r="Y131" s="102">
        <f t="shared" si="23"/>
        <v>60.671008</v>
      </c>
      <c r="AA131" s="103">
        <f t="shared" si="24"/>
        <v>107.85095999999999</v>
      </c>
      <c r="AC131" s="79">
        <f t="shared" si="31"/>
        <v>339</v>
      </c>
      <c r="AD131" s="88">
        <f t="shared" si="27"/>
        <v>47.700868</v>
      </c>
      <c r="AE131" s="88">
        <f>AA134+$AH$147*AA130</f>
        <v>50.927187359999998</v>
      </c>
      <c r="AF131" s="79">
        <f>AA134+$AH$147*AA130</f>
        <v>50.927187359999998</v>
      </c>
      <c r="AG131" s="104">
        <f t="shared" si="25"/>
        <v>0.93664838905802084</v>
      </c>
      <c r="AH131" s="105">
        <f t="shared" si="26"/>
        <v>47.700868</v>
      </c>
      <c r="AI131" s="79">
        <v>1</v>
      </c>
      <c r="AO131" s="79">
        <v>1</v>
      </c>
      <c r="AR131" s="79">
        <v>1</v>
      </c>
    </row>
    <row r="132" spans="4:58" x14ac:dyDescent="0.2">
      <c r="D132" s="79">
        <f t="shared" si="36"/>
        <v>336</v>
      </c>
      <c r="E132" s="79">
        <v>37</v>
      </c>
      <c r="F132" s="87">
        <v>421</v>
      </c>
      <c r="G132" s="79">
        <v>48806</v>
      </c>
      <c r="H132" s="87">
        <f t="shared" si="32"/>
        <v>166.526072</v>
      </c>
      <c r="I132" s="87">
        <f t="shared" si="35"/>
        <v>254.473928</v>
      </c>
      <c r="K132" s="93"/>
      <c r="L132" s="93"/>
      <c r="M132" s="93"/>
      <c r="P132" s="88">
        <f>SUM(P114:P131)</f>
        <v>3034.8852880000004</v>
      </c>
      <c r="Q132" s="88">
        <f>SUM(Q114:Q131)</f>
        <v>14659.114711999997</v>
      </c>
      <c r="T132" s="79">
        <f t="shared" si="37"/>
        <v>336</v>
      </c>
      <c r="U132" s="79">
        <v>37</v>
      </c>
      <c r="V132" s="87">
        <v>488</v>
      </c>
      <c r="W132" s="79">
        <v>57223</v>
      </c>
      <c r="X132" s="87">
        <f t="shared" si="34"/>
        <v>195.244876</v>
      </c>
      <c r="Y132" s="102">
        <f t="shared" si="23"/>
        <v>292.75512400000002</v>
      </c>
      <c r="AA132" s="103">
        <f t="shared" si="24"/>
        <v>254.473928</v>
      </c>
      <c r="AD132" s="88">
        <f>SUM(AD114:AD131)</f>
        <v>14659.114711999997</v>
      </c>
      <c r="AE132" s="88">
        <f>SUM(AE114:AE131)</f>
        <v>14731.700419999999</v>
      </c>
      <c r="AF132" s="88">
        <f>SUM(AF114:AF131)</f>
        <v>14731.700419999999</v>
      </c>
      <c r="AG132" s="88"/>
      <c r="AH132" s="88">
        <f>SUM(AH114:AH131)</f>
        <v>14659.114711999997</v>
      </c>
      <c r="AI132" s="79">
        <f>SUM(AI125:AI131)</f>
        <v>15</v>
      </c>
      <c r="AR132" s="79" t="s">
        <v>243</v>
      </c>
    </row>
    <row r="133" spans="4:58" x14ac:dyDescent="0.2">
      <c r="D133" s="79">
        <f t="shared" si="36"/>
        <v>337</v>
      </c>
      <c r="E133" s="79">
        <v>25</v>
      </c>
      <c r="F133" s="87">
        <v>79</v>
      </c>
      <c r="G133" s="79">
        <v>7743</v>
      </c>
      <c r="H133" s="87">
        <f t="shared" si="32"/>
        <v>26.419115999999999</v>
      </c>
      <c r="I133" s="87">
        <f t="shared" si="35"/>
        <v>52.580883999999998</v>
      </c>
      <c r="K133" s="93"/>
      <c r="L133" s="93"/>
      <c r="M133" s="93"/>
      <c r="T133" s="79">
        <f t="shared" si="37"/>
        <v>337</v>
      </c>
      <c r="U133" s="79">
        <v>25</v>
      </c>
      <c r="V133" s="87">
        <v>88</v>
      </c>
      <c r="W133" s="79">
        <v>8646</v>
      </c>
      <c r="X133" s="87">
        <f t="shared" si="34"/>
        <v>29.500152</v>
      </c>
      <c r="Y133" s="102">
        <f t="shared" si="23"/>
        <v>58.499848</v>
      </c>
      <c r="AA133" s="103">
        <f t="shared" si="24"/>
        <v>52.580883999999998</v>
      </c>
    </row>
    <row r="134" spans="4:58" x14ac:dyDescent="0.2">
      <c r="D134" s="79">
        <f t="shared" si="36"/>
        <v>339</v>
      </c>
      <c r="E134" s="79">
        <v>39</v>
      </c>
      <c r="F134" s="87">
        <v>50</v>
      </c>
      <c r="G134" s="79">
        <v>5491</v>
      </c>
      <c r="H134" s="87">
        <f t="shared" si="32"/>
        <v>18.735292000000001</v>
      </c>
      <c r="I134" s="87">
        <f t="shared" si="35"/>
        <v>31.264707999999999</v>
      </c>
      <c r="K134" s="93"/>
      <c r="L134" s="93"/>
      <c r="M134" s="93"/>
      <c r="T134" s="79">
        <f t="shared" si="37"/>
        <v>339</v>
      </c>
      <c r="U134" s="79">
        <v>39</v>
      </c>
      <c r="V134" s="87">
        <v>88</v>
      </c>
      <c r="W134" s="79">
        <v>11811</v>
      </c>
      <c r="X134" s="87">
        <f t="shared" si="34"/>
        <v>40.299132</v>
      </c>
      <c r="Y134" s="102">
        <f t="shared" si="23"/>
        <v>47.700868</v>
      </c>
      <c r="AA134" s="103">
        <f t="shared" si="24"/>
        <v>31.264707999999999</v>
      </c>
    </row>
    <row r="135" spans="4:58" x14ac:dyDescent="0.2">
      <c r="F135" s="88">
        <f>SUM(F114:F134)</f>
        <v>17822</v>
      </c>
      <c r="G135" s="88">
        <f>SUM(G114:G134)</f>
        <v>905715</v>
      </c>
      <c r="H135" s="88">
        <f>SUM(H114:H134)</f>
        <v>3090.2995799999999</v>
      </c>
      <c r="I135" s="88">
        <f>SUM(I114:I134)</f>
        <v>14731.700420000001</v>
      </c>
      <c r="K135" s="93"/>
      <c r="L135" s="93"/>
      <c r="M135" s="93"/>
      <c r="V135" s="88">
        <f>SUM(V114:V134)</f>
        <v>17694</v>
      </c>
      <c r="W135" s="88">
        <f>SUM(W114:W134)</f>
        <v>889474</v>
      </c>
      <c r="X135" s="88">
        <f>SUM(X114:X134)</f>
        <v>3034.8852880000004</v>
      </c>
      <c r="Y135" s="106">
        <f>SUM(Y114:Y134)</f>
        <v>14659.114711999997</v>
      </c>
      <c r="AA135" s="106">
        <f>SUM(AA114:AA134)</f>
        <v>14731.700420000001</v>
      </c>
    </row>
    <row r="136" spans="4:58" x14ac:dyDescent="0.2">
      <c r="K136" s="93"/>
      <c r="L136" s="93"/>
      <c r="M136" s="93"/>
      <c r="AV136" s="79" t="s">
        <v>244</v>
      </c>
    </row>
    <row r="137" spans="4:58" x14ac:dyDescent="0.2">
      <c r="F137" s="87"/>
      <c r="K137" s="93"/>
      <c r="L137" s="93"/>
      <c r="M137" s="93"/>
      <c r="AA137" s="79" t="s">
        <v>245</v>
      </c>
      <c r="AL137" s="79" t="s">
        <v>246</v>
      </c>
      <c r="AV137" s="79" t="s">
        <v>245</v>
      </c>
    </row>
    <row r="138" spans="4:58" x14ac:dyDescent="0.2">
      <c r="D138" s="79">
        <v>2002</v>
      </c>
      <c r="E138" s="79" t="s">
        <v>205</v>
      </c>
      <c r="F138" s="79" t="s">
        <v>247</v>
      </c>
      <c r="J138" s="93"/>
      <c r="K138" s="93"/>
      <c r="L138" s="93"/>
      <c r="M138" s="93"/>
      <c r="O138" s="79" t="s">
        <v>227</v>
      </c>
      <c r="AA138" s="79" t="s">
        <v>248</v>
      </c>
      <c r="AG138" s="79">
        <v>1998</v>
      </c>
      <c r="AL138" s="79">
        <f t="shared" ref="AL138:AM151" si="38">BB138</f>
        <v>1988</v>
      </c>
      <c r="AN138" s="79">
        <v>1991</v>
      </c>
      <c r="AP138" s="79">
        <v>1994</v>
      </c>
      <c r="AR138" s="79">
        <v>1998</v>
      </c>
      <c r="AV138" s="79" t="s">
        <v>248</v>
      </c>
      <c r="BB138" s="79">
        <v>1988</v>
      </c>
    </row>
    <row r="139" spans="4:58" ht="34.5" thickBot="1" x14ac:dyDescent="0.25">
      <c r="F139" s="94" t="s">
        <v>210</v>
      </c>
      <c r="G139" s="95" t="s">
        <v>211</v>
      </c>
      <c r="H139" s="95" t="s">
        <v>212</v>
      </c>
      <c r="I139" s="95" t="s">
        <v>213</v>
      </c>
      <c r="J139" s="97"/>
      <c r="K139" s="97"/>
      <c r="L139" s="97"/>
      <c r="M139" s="97"/>
      <c r="P139" s="82" t="s">
        <v>212</v>
      </c>
      <c r="Q139" s="82" t="s">
        <v>213</v>
      </c>
      <c r="AG139" s="79" t="s">
        <v>249</v>
      </c>
      <c r="AH139" s="100" t="s">
        <v>223</v>
      </c>
      <c r="AL139" s="79" t="str">
        <f t="shared" si="38"/>
        <v>Initial</v>
      </c>
      <c r="AM139" s="79" t="str">
        <f t="shared" si="38"/>
        <v>Adjusted</v>
      </c>
      <c r="AO139" s="79" t="s">
        <v>223</v>
      </c>
      <c r="AQ139" s="79" t="str">
        <f>AH139</f>
        <v>Adjusted</v>
      </c>
      <c r="AS139" s="79" t="s">
        <v>223</v>
      </c>
      <c r="BB139" s="79" t="s">
        <v>249</v>
      </c>
      <c r="BC139" s="100" t="s">
        <v>223</v>
      </c>
    </row>
    <row r="140" spans="4:58" x14ac:dyDescent="0.2">
      <c r="D140" s="86">
        <v>311</v>
      </c>
      <c r="F140" s="87">
        <v>1116</v>
      </c>
      <c r="G140" s="87">
        <v>67521</v>
      </c>
      <c r="H140" s="87">
        <f>G140*3.412*0.001</f>
        <v>230.381652</v>
      </c>
      <c r="I140" s="87">
        <f t="shared" ref="I140:I160" si="39">F140-H140</f>
        <v>885.61834799999997</v>
      </c>
      <c r="J140" s="99"/>
      <c r="K140" s="99"/>
      <c r="L140" s="99"/>
      <c r="M140" s="99"/>
      <c r="O140" s="79" t="s">
        <v>217</v>
      </c>
      <c r="P140" s="88">
        <f>H140+H141</f>
        <v>256.44592</v>
      </c>
      <c r="Q140" s="88">
        <f>I140+I141</f>
        <v>963.55408</v>
      </c>
      <c r="AA140" s="79" t="s">
        <v>250</v>
      </c>
      <c r="AG140" s="101">
        <v>0.05</v>
      </c>
      <c r="AH140" s="101">
        <f>AG140</f>
        <v>0.05</v>
      </c>
      <c r="AI140" s="79">
        <f>AG140*AA129</f>
        <v>7.318763800000001</v>
      </c>
      <c r="AL140" s="107">
        <f t="shared" si="38"/>
        <v>0.06</v>
      </c>
      <c r="AM140" s="107">
        <f t="shared" si="38"/>
        <v>0.06</v>
      </c>
      <c r="AO140" s="108">
        <f>0.7*AM140+0.3*AS140</f>
        <v>5.6999999999999995E-2</v>
      </c>
      <c r="AQ140" s="108">
        <f>0.4*AM140+0.6*AS140</f>
        <v>5.3999999999999999E-2</v>
      </c>
      <c r="AS140" s="101">
        <f>AH140</f>
        <v>0.05</v>
      </c>
      <c r="AU140" s="79">
        <f>39.8/622.4</f>
        <v>6.3946015424164518E-2</v>
      </c>
      <c r="AV140" s="79" t="s">
        <v>251</v>
      </c>
      <c r="BB140" s="101">
        <v>0.06</v>
      </c>
      <c r="BC140" s="101">
        <v>0.06</v>
      </c>
    </row>
    <row r="141" spans="4:58" x14ac:dyDescent="0.2">
      <c r="D141" s="86">
        <v>312</v>
      </c>
      <c r="F141" s="99">
        <v>104</v>
      </c>
      <c r="G141" s="87">
        <v>7639</v>
      </c>
      <c r="H141" s="87">
        <f>G141*3.412*0.001</f>
        <v>26.064268000000002</v>
      </c>
      <c r="I141" s="87">
        <f t="shared" si="39"/>
        <v>77.935732000000002</v>
      </c>
      <c r="J141" s="99"/>
      <c r="K141" s="99"/>
      <c r="L141" s="99"/>
      <c r="M141" s="99"/>
      <c r="O141" s="79" t="s">
        <v>218</v>
      </c>
      <c r="P141" s="88">
        <f>H142+H143</f>
        <v>103.22465200000001</v>
      </c>
      <c r="Q141" s="88">
        <f>I142+I143</f>
        <v>161.77534800000001</v>
      </c>
      <c r="AA141" s="79" t="s">
        <v>252</v>
      </c>
      <c r="AF141" s="79">
        <f>11/658.2</f>
        <v>1.6712245518079611E-2</v>
      </c>
      <c r="AG141" s="101">
        <v>0.02</v>
      </c>
      <c r="AH141" s="101">
        <f>AG141</f>
        <v>0.02</v>
      </c>
      <c r="AI141" s="79">
        <f>AG141*AA129</f>
        <v>2.9275055200000004</v>
      </c>
      <c r="AL141" s="107">
        <f t="shared" si="38"/>
        <v>0.02</v>
      </c>
      <c r="AM141" s="107">
        <f t="shared" si="38"/>
        <v>0.02</v>
      </c>
      <c r="AO141" s="108">
        <f t="shared" ref="AO141:AO153" si="40">0.7*AM141+0.3*AS141</f>
        <v>1.9999999999999997E-2</v>
      </c>
      <c r="AQ141" s="108">
        <f t="shared" ref="AQ141:AQ153" si="41">0.4*AM141+0.6*AS141</f>
        <v>0.02</v>
      </c>
      <c r="AS141" s="101">
        <f t="shared" ref="AS141:AS153" si="42">AH141</f>
        <v>0.02</v>
      </c>
      <c r="AV141" s="79" t="s">
        <v>253</v>
      </c>
      <c r="BA141" s="79">
        <f>12.5/622.4</f>
        <v>2.0083547557840618E-2</v>
      </c>
      <c r="BB141" s="101">
        <v>0.02</v>
      </c>
      <c r="BC141" s="101">
        <f>BB141</f>
        <v>0.02</v>
      </c>
    </row>
    <row r="142" spans="4:58" x14ac:dyDescent="0.2">
      <c r="D142" s="86">
        <v>313</v>
      </c>
      <c r="F142" s="87">
        <v>205</v>
      </c>
      <c r="G142" s="87">
        <v>25271</v>
      </c>
      <c r="H142" s="87">
        <f>G142*3.412*0.001</f>
        <v>86.224652000000006</v>
      </c>
      <c r="I142" s="87">
        <f t="shared" si="39"/>
        <v>118.77534799999999</v>
      </c>
      <c r="J142" s="99"/>
      <c r="K142" s="99"/>
      <c r="L142" s="99"/>
      <c r="M142" s="99"/>
      <c r="O142" s="79" t="s">
        <v>219</v>
      </c>
      <c r="P142" s="88">
        <f>H144+H145</f>
        <v>14.685248</v>
      </c>
      <c r="Q142" s="88">
        <f>I144+I145</f>
        <v>22.314752000000002</v>
      </c>
      <c r="AA142" s="79" t="s">
        <v>254</v>
      </c>
      <c r="AF142" s="79">
        <f>98.8/638.7</f>
        <v>0.15468921246281508</v>
      </c>
      <c r="AG142" s="101">
        <v>0.15</v>
      </c>
      <c r="AH142" s="109">
        <v>0.25</v>
      </c>
      <c r="AI142" s="79">
        <f>AG142*AA129</f>
        <v>21.956291400000001</v>
      </c>
      <c r="AJ142" s="79" t="s">
        <v>255</v>
      </c>
      <c r="AL142" s="107">
        <f t="shared" si="38"/>
        <v>0.12</v>
      </c>
      <c r="AM142" s="107">
        <f t="shared" si="38"/>
        <v>0.18</v>
      </c>
      <c r="AO142" s="108">
        <f t="shared" si="40"/>
        <v>0.20100000000000001</v>
      </c>
      <c r="AQ142" s="108">
        <f t="shared" si="41"/>
        <v>0.22199999999999998</v>
      </c>
      <c r="AS142" s="101">
        <f t="shared" si="42"/>
        <v>0.25</v>
      </c>
      <c r="AV142" s="79" t="s">
        <v>256</v>
      </c>
      <c r="BA142" s="79">
        <f>70.18/622.4</f>
        <v>0.11275706940874038</v>
      </c>
      <c r="BB142" s="101">
        <v>0.12</v>
      </c>
      <c r="BC142" s="109">
        <v>0.18</v>
      </c>
    </row>
    <row r="143" spans="4:58" x14ac:dyDescent="0.2">
      <c r="D143" s="79">
        <v>314</v>
      </c>
      <c r="F143" s="87">
        <v>60</v>
      </c>
      <c r="G143" s="87">
        <v>4875</v>
      </c>
      <c r="H143" s="79">
        <v>17</v>
      </c>
      <c r="I143" s="87">
        <f t="shared" si="39"/>
        <v>43</v>
      </c>
      <c r="J143" s="93"/>
      <c r="K143" s="93"/>
      <c r="L143" s="93"/>
      <c r="M143" s="93"/>
      <c r="O143" s="79">
        <v>321</v>
      </c>
      <c r="P143" s="88">
        <f t="shared" ref="P143:Q157" si="43">H146</f>
        <v>71.600819999999999</v>
      </c>
      <c r="Q143" s="88">
        <f t="shared" si="43"/>
        <v>303.39918</v>
      </c>
      <c r="AA143" s="79" t="s">
        <v>257</v>
      </c>
      <c r="AF143" s="79">
        <f>27.4/219.1</f>
        <v>0.12505705157462346</v>
      </c>
      <c r="AG143" s="101">
        <v>0.13</v>
      </c>
      <c r="AH143" s="101">
        <f>AG143</f>
        <v>0.13</v>
      </c>
      <c r="AI143" s="79">
        <f>AG143*AA130</f>
        <v>7.9878822400000002</v>
      </c>
      <c r="AL143" s="107">
        <f t="shared" si="38"/>
        <v>0.14000000000000001</v>
      </c>
      <c r="AM143" s="107">
        <f t="shared" si="38"/>
        <v>0.14000000000000001</v>
      </c>
      <c r="AO143" s="108">
        <f t="shared" si="40"/>
        <v>0.13700000000000001</v>
      </c>
      <c r="AQ143" s="108">
        <f t="shared" si="41"/>
        <v>0.13400000000000001</v>
      </c>
      <c r="AS143" s="101">
        <f t="shared" si="42"/>
        <v>0.13</v>
      </c>
      <c r="AV143" s="79" t="s">
        <v>258</v>
      </c>
      <c r="BA143" s="79">
        <f>29.5/207.3</f>
        <v>0.14230583695127832</v>
      </c>
      <c r="BB143" s="101">
        <v>0.14000000000000001</v>
      </c>
      <c r="BC143" s="101">
        <f>BB143</f>
        <v>0.14000000000000001</v>
      </c>
    </row>
    <row r="144" spans="4:58" x14ac:dyDescent="0.2">
      <c r="D144" s="79">
        <v>315</v>
      </c>
      <c r="F144" s="79">
        <v>30</v>
      </c>
      <c r="G144" s="79">
        <v>3588</v>
      </c>
      <c r="H144" s="87">
        <f>G144*3.412*0.001</f>
        <v>12.242255999999999</v>
      </c>
      <c r="I144" s="87">
        <f t="shared" si="39"/>
        <v>17.757744000000002</v>
      </c>
      <c r="J144" s="99"/>
      <c r="K144" s="99"/>
      <c r="L144" s="99"/>
      <c r="M144" s="99"/>
      <c r="O144" s="79">
        <f>D147</f>
        <v>322</v>
      </c>
      <c r="P144" s="88">
        <f t="shared" si="43"/>
        <v>223.49623600000001</v>
      </c>
      <c r="Q144" s="88">
        <f t="shared" si="43"/>
        <v>2137.503764</v>
      </c>
      <c r="AA144" s="79">
        <f>(6.2+6.7+4.3+16.2)</f>
        <v>33.4</v>
      </c>
      <c r="AB144" s="79" t="s">
        <v>259</v>
      </c>
      <c r="AF144" s="79">
        <f>AA144/219.1</f>
        <v>0.15244180739388408</v>
      </c>
      <c r="AG144" s="101">
        <v>0.15</v>
      </c>
      <c r="AH144" s="101">
        <f>AG144</f>
        <v>0.15</v>
      </c>
      <c r="AI144" s="79">
        <f>AG144*AA130</f>
        <v>9.2167871999999988</v>
      </c>
      <c r="AL144" s="107">
        <f t="shared" si="38"/>
        <v>0.15</v>
      </c>
      <c r="AM144" s="107">
        <f t="shared" si="38"/>
        <v>0.15</v>
      </c>
      <c r="AO144" s="108">
        <f t="shared" si="40"/>
        <v>0.15</v>
      </c>
      <c r="AQ144" s="108">
        <f t="shared" si="41"/>
        <v>0.15</v>
      </c>
      <c r="AS144" s="101">
        <f t="shared" si="42"/>
        <v>0.15</v>
      </c>
      <c r="AV144" s="79">
        <f>(4.8+12+2.7+13.8)</f>
        <v>33.299999999999997</v>
      </c>
      <c r="AW144" s="79" t="s">
        <v>259</v>
      </c>
      <c r="BA144" s="79">
        <f>AV144/207.3</f>
        <v>0.1606367583212735</v>
      </c>
      <c r="BB144" s="101">
        <v>0.15</v>
      </c>
      <c r="BC144" s="101">
        <f>BB144</f>
        <v>0.15</v>
      </c>
    </row>
    <row r="145" spans="4:55" x14ac:dyDescent="0.2">
      <c r="D145" s="79">
        <v>316</v>
      </c>
      <c r="F145" s="99">
        <v>7</v>
      </c>
      <c r="G145" s="79">
        <v>716</v>
      </c>
      <c r="H145" s="87">
        <f t="shared" ref="H145:H160" si="44">G145*3.412*0.001</f>
        <v>2.4429919999999998</v>
      </c>
      <c r="I145" s="87">
        <f t="shared" si="39"/>
        <v>4.5570079999999997</v>
      </c>
      <c r="J145" s="93"/>
      <c r="K145" s="93"/>
      <c r="L145" s="93"/>
      <c r="M145" s="93"/>
      <c r="O145" s="79">
        <f t="shared" ref="O145:O157" si="45">D148</f>
        <v>323</v>
      </c>
      <c r="P145" s="88">
        <f t="shared" si="43"/>
        <v>50.204167999999996</v>
      </c>
      <c r="Q145" s="88">
        <f t="shared" si="43"/>
        <v>47.795832000000004</v>
      </c>
      <c r="AA145" s="79">
        <f>(8.9+3.9+4.8+1.3)</f>
        <v>18.900000000000002</v>
      </c>
      <c r="AB145" s="79" t="s">
        <v>260</v>
      </c>
      <c r="AF145" s="79">
        <f>18.9/219.1</f>
        <v>8.6261980830670923E-2</v>
      </c>
      <c r="AG145" s="101">
        <v>0.09</v>
      </c>
      <c r="AH145" s="110">
        <v>0.38</v>
      </c>
      <c r="AI145" s="79">
        <f>AG145*AA130</f>
        <v>5.5300723199999995</v>
      </c>
      <c r="AL145" s="107">
        <f t="shared" si="38"/>
        <v>0.05</v>
      </c>
      <c r="AM145" s="107">
        <f t="shared" si="38"/>
        <v>0.34</v>
      </c>
      <c r="AO145" s="108">
        <f t="shared" si="40"/>
        <v>0.35199999999999998</v>
      </c>
      <c r="AQ145" s="108">
        <f t="shared" si="41"/>
        <v>0.36399999999999999</v>
      </c>
      <c r="AS145" s="101">
        <f t="shared" si="42"/>
        <v>0.38</v>
      </c>
      <c r="AV145" s="79">
        <f>(5+2+2.5+1.6)</f>
        <v>11.1</v>
      </c>
      <c r="AW145" s="79" t="s">
        <v>260</v>
      </c>
      <c r="BA145" s="79">
        <f>11.1/207.3</f>
        <v>5.3545586107091168E-2</v>
      </c>
      <c r="BB145" s="101">
        <v>0.05</v>
      </c>
      <c r="BC145" s="110">
        <v>0.34</v>
      </c>
    </row>
    <row r="146" spans="4:55" x14ac:dyDescent="0.2">
      <c r="D146" s="79">
        <f>D40</f>
        <v>321</v>
      </c>
      <c r="F146" s="99">
        <v>375</v>
      </c>
      <c r="G146" s="79">
        <v>20985</v>
      </c>
      <c r="H146" s="87">
        <f t="shared" si="44"/>
        <v>71.600819999999999</v>
      </c>
      <c r="I146" s="87">
        <f t="shared" si="39"/>
        <v>303.39918</v>
      </c>
      <c r="K146" s="93"/>
      <c r="L146" s="93"/>
      <c r="M146" s="93"/>
      <c r="O146" s="79">
        <f t="shared" si="45"/>
        <v>324</v>
      </c>
      <c r="P146" s="88">
        <f t="shared" si="43"/>
        <v>126.878632</v>
      </c>
      <c r="Q146" s="88">
        <f t="shared" si="43"/>
        <v>3075.1213680000001</v>
      </c>
      <c r="AA146" s="88">
        <f>4.6+82.2</f>
        <v>86.8</v>
      </c>
      <c r="AB146" s="79" t="s">
        <v>261</v>
      </c>
      <c r="AF146" s="79">
        <f>86.8/219.1</f>
        <v>0.3961661341853035</v>
      </c>
      <c r="AG146" s="101">
        <v>0.4</v>
      </c>
      <c r="AH146" s="111">
        <v>0.3</v>
      </c>
      <c r="AI146" s="79">
        <f>AG146*AA130</f>
        <v>24.5780992</v>
      </c>
      <c r="AL146" s="107">
        <f t="shared" si="38"/>
        <v>0.4</v>
      </c>
      <c r="AM146" s="107">
        <f t="shared" si="38"/>
        <v>0.32</v>
      </c>
      <c r="AO146" s="108">
        <f t="shared" si="40"/>
        <v>0.31399999999999995</v>
      </c>
      <c r="AQ146" s="108">
        <f t="shared" si="41"/>
        <v>0.308</v>
      </c>
      <c r="AS146" s="101">
        <f t="shared" si="42"/>
        <v>0.3</v>
      </c>
      <c r="AV146" s="88">
        <f>5+82.9</f>
        <v>87.9</v>
      </c>
      <c r="AW146" s="79" t="s">
        <v>261</v>
      </c>
      <c r="BA146" s="79">
        <f>86.8/207.3</f>
        <v>0.41871683550410033</v>
      </c>
      <c r="BB146" s="101">
        <v>0.4</v>
      </c>
      <c r="BC146" s="111">
        <v>0.32</v>
      </c>
    </row>
    <row r="147" spans="4:55" x14ac:dyDescent="0.2">
      <c r="D147" s="79">
        <f t="shared" ref="D147:D160" si="46">D41</f>
        <v>322</v>
      </c>
      <c r="F147" s="87">
        <v>2361</v>
      </c>
      <c r="G147" s="79">
        <v>65503</v>
      </c>
      <c r="H147" s="87">
        <f t="shared" si="44"/>
        <v>223.49623600000001</v>
      </c>
      <c r="I147" s="87">
        <f t="shared" si="39"/>
        <v>2137.503764</v>
      </c>
      <c r="O147" s="79">
        <f t="shared" si="45"/>
        <v>325</v>
      </c>
      <c r="P147" s="88">
        <f t="shared" si="43"/>
        <v>522.39084800000001</v>
      </c>
      <c r="Q147" s="88">
        <f t="shared" si="43"/>
        <v>3246.609152</v>
      </c>
      <c r="AA147" s="79">
        <f>4.1+15+19.7+4.4+4.8</f>
        <v>47.999999999999993</v>
      </c>
      <c r="AB147" s="79" t="s">
        <v>262</v>
      </c>
      <c r="AF147" s="79">
        <f>AA147/219.1</f>
        <v>0.21907804655408486</v>
      </c>
      <c r="AG147" s="101">
        <v>0.22</v>
      </c>
      <c r="AH147" s="111">
        <v>0.32</v>
      </c>
      <c r="AI147" s="79">
        <f>AG147*AA130</f>
        <v>13.51795456</v>
      </c>
      <c r="AL147" s="107">
        <f t="shared" si="38"/>
        <v>0.22</v>
      </c>
      <c r="AM147" s="107">
        <f t="shared" si="38"/>
        <v>0.34</v>
      </c>
      <c r="AO147" s="108">
        <f t="shared" si="40"/>
        <v>0.33399999999999996</v>
      </c>
      <c r="AQ147" s="108">
        <f t="shared" si="41"/>
        <v>0.32800000000000001</v>
      </c>
      <c r="AS147" s="101">
        <f t="shared" si="42"/>
        <v>0.32</v>
      </c>
      <c r="AV147" s="79">
        <f>4.8+12.8+15.7+1.4+6</f>
        <v>40.699999999999996</v>
      </c>
      <c r="AW147" s="79" t="s">
        <v>262</v>
      </c>
      <c r="BA147" s="79">
        <f>AV147/207.3</f>
        <v>0.19633381572600092</v>
      </c>
      <c r="BB147" s="101">
        <v>0.22</v>
      </c>
      <c r="BC147" s="111">
        <v>0.34</v>
      </c>
    </row>
    <row r="148" spans="4:55" x14ac:dyDescent="0.2">
      <c r="D148" s="79">
        <f t="shared" si="46"/>
        <v>323</v>
      </c>
      <c r="F148" s="87">
        <v>98</v>
      </c>
      <c r="G148" s="79">
        <v>14714</v>
      </c>
      <c r="H148" s="87">
        <f t="shared" si="44"/>
        <v>50.204167999999996</v>
      </c>
      <c r="I148" s="87">
        <f t="shared" si="39"/>
        <v>47.795832000000004</v>
      </c>
      <c r="O148" s="79">
        <f t="shared" si="45"/>
        <v>326</v>
      </c>
      <c r="P148" s="88">
        <f t="shared" si="43"/>
        <v>181.45357199999998</v>
      </c>
      <c r="Q148" s="88">
        <f t="shared" si="43"/>
        <v>166.54642800000002</v>
      </c>
      <c r="AC148" s="79" t="s">
        <v>263</v>
      </c>
      <c r="AF148" s="79">
        <f>SUM(AF143:AF147)</f>
        <v>0.97900502053856697</v>
      </c>
      <c r="AI148" s="79">
        <f>SUM(AI143:AI147)</f>
        <v>60.830795520000002</v>
      </c>
      <c r="AL148" s="107">
        <f t="shared" si="38"/>
        <v>0</v>
      </c>
      <c r="AM148" s="107"/>
      <c r="AO148" s="108"/>
      <c r="AQ148" s="108"/>
      <c r="AS148" s="101"/>
      <c r="AX148" s="79" t="s">
        <v>263</v>
      </c>
      <c r="BA148" s="79">
        <f>SUM(BA143:BA147)</f>
        <v>0.97153883260974427</v>
      </c>
    </row>
    <row r="149" spans="4:55" x14ac:dyDescent="0.2">
      <c r="D149" s="79">
        <f t="shared" si="46"/>
        <v>324</v>
      </c>
      <c r="F149" s="87">
        <v>3202</v>
      </c>
      <c r="G149" s="79">
        <v>37186</v>
      </c>
      <c r="H149" s="87">
        <f t="shared" si="44"/>
        <v>126.878632</v>
      </c>
      <c r="I149" s="87">
        <f t="shared" si="39"/>
        <v>3075.1213680000001</v>
      </c>
      <c r="O149" s="79">
        <f t="shared" si="45"/>
        <v>327</v>
      </c>
      <c r="P149" s="88">
        <f t="shared" si="43"/>
        <v>141.23291599999999</v>
      </c>
      <c r="Q149" s="88">
        <f t="shared" si="43"/>
        <v>910.76708400000007</v>
      </c>
      <c r="AA149" s="79" t="s">
        <v>264</v>
      </c>
      <c r="AF149" s="79">
        <f>67.8/1029.6</f>
        <v>6.5850815850815855E-2</v>
      </c>
      <c r="AG149" s="101">
        <v>7.0000000000000007E-2</v>
      </c>
      <c r="AH149" s="101">
        <f>AG149</f>
        <v>7.0000000000000007E-2</v>
      </c>
      <c r="AI149" s="79">
        <f>AG149*AA128</f>
        <v>17.11337404</v>
      </c>
      <c r="AL149" s="107">
        <f t="shared" si="38"/>
        <v>7.0000000000000007E-2</v>
      </c>
      <c r="AM149" s="107">
        <f>BC149</f>
        <v>7.0000000000000007E-2</v>
      </c>
      <c r="AO149" s="108">
        <f t="shared" si="40"/>
        <v>7.0000000000000007E-2</v>
      </c>
      <c r="AQ149" s="108">
        <f t="shared" si="41"/>
        <v>7.0000000000000007E-2</v>
      </c>
      <c r="AS149" s="101">
        <f t="shared" si="42"/>
        <v>7.0000000000000007E-2</v>
      </c>
      <c r="AV149" s="79" t="s">
        <v>265</v>
      </c>
      <c r="BA149" s="79">
        <f>67.8/1029.6</f>
        <v>6.5850815850815855E-2</v>
      </c>
      <c r="BB149" s="101">
        <v>7.0000000000000007E-2</v>
      </c>
      <c r="BC149" s="101">
        <f>BB149</f>
        <v>7.0000000000000007E-2</v>
      </c>
    </row>
    <row r="150" spans="4:55" x14ac:dyDescent="0.2">
      <c r="D150" s="79">
        <f t="shared" si="46"/>
        <v>325</v>
      </c>
      <c r="F150" s="87">
        <v>3769</v>
      </c>
      <c r="G150" s="79">
        <v>153104</v>
      </c>
      <c r="H150" s="87">
        <f t="shared" si="44"/>
        <v>522.39084800000001</v>
      </c>
      <c r="I150" s="87">
        <f t="shared" si="39"/>
        <v>3246.609152</v>
      </c>
      <c r="O150" s="79">
        <f t="shared" si="45"/>
        <v>331</v>
      </c>
      <c r="P150" s="88">
        <f t="shared" si="43"/>
        <v>493.04082399999999</v>
      </c>
      <c r="Q150" s="88">
        <f t="shared" si="43"/>
        <v>1629.9591760000001</v>
      </c>
      <c r="AA150" s="79">
        <f>7.4+14.3</f>
        <v>21.700000000000003</v>
      </c>
      <c r="AB150" s="79" t="s">
        <v>266</v>
      </c>
      <c r="AF150" s="79">
        <f>AA150/526.3</f>
        <v>4.1231236937108125E-2</v>
      </c>
      <c r="AG150" s="101">
        <v>0.04</v>
      </c>
      <c r="AH150" s="101">
        <f>AG150</f>
        <v>0.04</v>
      </c>
      <c r="AI150" s="79">
        <f>AG150*AA131</f>
        <v>4.3140383999999994</v>
      </c>
      <c r="AL150" s="107">
        <f t="shared" si="38"/>
        <v>0.04</v>
      </c>
      <c r="AM150" s="107">
        <f>BC150</f>
        <v>0.04</v>
      </c>
      <c r="AO150" s="108">
        <f t="shared" si="40"/>
        <v>3.9999999999999994E-2</v>
      </c>
      <c r="AQ150" s="108">
        <f t="shared" si="41"/>
        <v>0.04</v>
      </c>
      <c r="AS150" s="101">
        <f t="shared" si="42"/>
        <v>0.04</v>
      </c>
      <c r="AV150" s="79">
        <f>4.4+11.9</f>
        <v>16.3</v>
      </c>
      <c r="AW150" s="79" t="s">
        <v>266</v>
      </c>
      <c r="BA150" s="79">
        <f>AV150/435</f>
        <v>3.7471264367816094E-2</v>
      </c>
      <c r="BB150" s="101">
        <v>0.04</v>
      </c>
      <c r="BC150" s="101">
        <f>BB150</f>
        <v>0.04</v>
      </c>
    </row>
    <row r="151" spans="4:55" x14ac:dyDescent="0.2">
      <c r="D151" s="79">
        <f t="shared" si="46"/>
        <v>326</v>
      </c>
      <c r="F151" s="87">
        <v>348</v>
      </c>
      <c r="G151" s="79">
        <v>53181</v>
      </c>
      <c r="H151" s="87">
        <f t="shared" si="44"/>
        <v>181.45357199999998</v>
      </c>
      <c r="I151" s="87">
        <f t="shared" si="39"/>
        <v>166.54642800000002</v>
      </c>
      <c r="O151" s="79">
        <f t="shared" si="45"/>
        <v>332</v>
      </c>
      <c r="P151" s="88">
        <f t="shared" si="43"/>
        <v>160.78367600000001</v>
      </c>
      <c r="Q151" s="88">
        <f t="shared" si="43"/>
        <v>226.21632399999999</v>
      </c>
      <c r="AA151" s="79">
        <f>12.4+29.3+199.8+14.3</f>
        <v>255.8</v>
      </c>
      <c r="AB151" s="79" t="s">
        <v>267</v>
      </c>
      <c r="AF151" s="79">
        <f>AA151/526.3</f>
        <v>0.48603458103743119</v>
      </c>
      <c r="AG151" s="101">
        <v>0.5</v>
      </c>
      <c r="AH151" s="109">
        <v>0.33</v>
      </c>
      <c r="AI151" s="79">
        <f>AG151*AA131</f>
        <v>53.925479999999993</v>
      </c>
      <c r="AL151" s="107">
        <f t="shared" si="38"/>
        <v>0.42</v>
      </c>
      <c r="AM151" s="107">
        <f>BC151</f>
        <v>0.28000000000000003</v>
      </c>
      <c r="AO151" s="108">
        <f t="shared" si="40"/>
        <v>0.29500000000000004</v>
      </c>
      <c r="AQ151" s="108">
        <f t="shared" si="41"/>
        <v>0.31000000000000005</v>
      </c>
      <c r="AS151" s="101">
        <f t="shared" si="42"/>
        <v>0.33</v>
      </c>
      <c r="AV151" s="79">
        <f>11.2+27.6+138.7+6.9</f>
        <v>184.4</v>
      </c>
      <c r="AW151" s="79" t="s">
        <v>268</v>
      </c>
      <c r="BA151" s="79">
        <f>AV151/435</f>
        <v>0.42390804597701148</v>
      </c>
      <c r="BB151" s="101">
        <v>0.42</v>
      </c>
      <c r="BC151" s="109">
        <v>0.28000000000000003</v>
      </c>
    </row>
    <row r="152" spans="4:55" x14ac:dyDescent="0.2">
      <c r="D152" s="79">
        <f t="shared" si="46"/>
        <v>327</v>
      </c>
      <c r="F152" s="87">
        <v>1052</v>
      </c>
      <c r="G152" s="79">
        <v>41393</v>
      </c>
      <c r="H152" s="87">
        <f t="shared" si="44"/>
        <v>141.23291599999999</v>
      </c>
      <c r="I152" s="87">
        <f t="shared" si="39"/>
        <v>910.76708400000007</v>
      </c>
      <c r="O152" s="79">
        <f t="shared" si="45"/>
        <v>333</v>
      </c>
      <c r="P152" s="88">
        <f t="shared" si="43"/>
        <v>83.808955999999995</v>
      </c>
      <c r="Q152" s="88">
        <f t="shared" si="43"/>
        <v>91.191044000000005</v>
      </c>
      <c r="AL152" s="107"/>
      <c r="AM152" s="107"/>
      <c r="AO152" s="108"/>
      <c r="AQ152" s="108"/>
      <c r="AS152" s="101"/>
    </row>
    <row r="153" spans="4:55" x14ac:dyDescent="0.2">
      <c r="D153" s="79">
        <f t="shared" si="46"/>
        <v>331</v>
      </c>
      <c r="F153" s="87">
        <v>2123</v>
      </c>
      <c r="G153" s="79">
        <v>144502</v>
      </c>
      <c r="H153" s="87">
        <f t="shared" si="44"/>
        <v>493.04082399999999</v>
      </c>
      <c r="I153" s="87">
        <f t="shared" si="39"/>
        <v>1629.9591760000001</v>
      </c>
      <c r="O153" s="79">
        <f t="shared" si="45"/>
        <v>334</v>
      </c>
      <c r="P153" s="88">
        <f t="shared" si="43"/>
        <v>130.857024</v>
      </c>
      <c r="Q153" s="88">
        <f t="shared" si="43"/>
        <v>69.142976000000004</v>
      </c>
      <c r="AA153" s="79" t="s">
        <v>269</v>
      </c>
      <c r="AG153" s="101">
        <v>0.38</v>
      </c>
      <c r="AH153" s="101">
        <f>AG153</f>
        <v>0.38</v>
      </c>
      <c r="AL153" s="107">
        <f>BB153</f>
        <v>0.34</v>
      </c>
      <c r="AM153" s="107">
        <f>BC153</f>
        <v>0.34</v>
      </c>
      <c r="AO153" s="108">
        <f t="shared" si="40"/>
        <v>0.35199999999999998</v>
      </c>
      <c r="AQ153" s="108">
        <f t="shared" si="41"/>
        <v>0.36399999999999999</v>
      </c>
      <c r="AS153" s="101">
        <f t="shared" si="42"/>
        <v>0.38</v>
      </c>
      <c r="AV153" s="79" t="s">
        <v>269</v>
      </c>
      <c r="BB153" s="101">
        <v>0.34</v>
      </c>
      <c r="BC153" s="101">
        <f>BB153</f>
        <v>0.34</v>
      </c>
    </row>
    <row r="154" spans="4:55" x14ac:dyDescent="0.2">
      <c r="D154" s="79">
        <f t="shared" si="46"/>
        <v>332</v>
      </c>
      <c r="F154" s="87">
        <v>387</v>
      </c>
      <c r="G154" s="79">
        <v>47123</v>
      </c>
      <c r="H154" s="87">
        <f t="shared" si="44"/>
        <v>160.78367600000001</v>
      </c>
      <c r="I154" s="87">
        <f t="shared" si="39"/>
        <v>226.21632399999999</v>
      </c>
      <c r="O154" s="79">
        <f t="shared" si="45"/>
        <v>335</v>
      </c>
      <c r="P154" s="88">
        <f t="shared" si="43"/>
        <v>47.430211999999997</v>
      </c>
      <c r="Q154" s="88">
        <f t="shared" si="43"/>
        <v>55.569788000000003</v>
      </c>
    </row>
    <row r="155" spans="4:55" x14ac:dyDescent="0.2">
      <c r="D155" s="79">
        <f t="shared" si="46"/>
        <v>333</v>
      </c>
      <c r="F155" s="87">
        <v>175</v>
      </c>
      <c r="G155" s="79">
        <v>24563</v>
      </c>
      <c r="H155" s="87">
        <f t="shared" si="44"/>
        <v>83.808955999999995</v>
      </c>
      <c r="I155" s="87">
        <f t="shared" si="39"/>
        <v>91.191044000000005</v>
      </c>
      <c r="O155" s="79">
        <f t="shared" si="45"/>
        <v>336</v>
      </c>
      <c r="P155" s="88">
        <f t="shared" si="43"/>
        <v>172.33329600000002</v>
      </c>
      <c r="Q155" s="88">
        <f t="shared" si="43"/>
        <v>251.66670399999998</v>
      </c>
    </row>
    <row r="156" spans="4:55" x14ac:dyDescent="0.2">
      <c r="D156" s="79">
        <f t="shared" si="46"/>
        <v>334</v>
      </c>
      <c r="E156" s="93"/>
      <c r="F156" s="87">
        <v>200</v>
      </c>
      <c r="G156" s="79">
        <v>38352</v>
      </c>
      <c r="H156" s="87">
        <f t="shared" si="44"/>
        <v>130.857024</v>
      </c>
      <c r="I156" s="87">
        <f t="shared" si="39"/>
        <v>69.142976000000004</v>
      </c>
      <c r="O156" s="79">
        <f t="shared" si="45"/>
        <v>337</v>
      </c>
      <c r="P156" s="88">
        <f t="shared" si="43"/>
        <v>24.095544</v>
      </c>
      <c r="Q156" s="88">
        <f t="shared" si="43"/>
        <v>38.904455999999996</v>
      </c>
      <c r="AH156" s="101">
        <f>AH146+AH147+AH153</f>
        <v>1</v>
      </c>
    </row>
    <row r="157" spans="4:55" x14ac:dyDescent="0.2">
      <c r="D157" s="79">
        <f t="shared" si="46"/>
        <v>335</v>
      </c>
      <c r="F157" s="79">
        <v>103</v>
      </c>
      <c r="G157" s="79">
        <v>13901</v>
      </c>
      <c r="H157" s="87">
        <f t="shared" si="44"/>
        <v>47.430211999999997</v>
      </c>
      <c r="I157" s="87">
        <f t="shared" si="39"/>
        <v>55.569788000000003</v>
      </c>
      <c r="O157" s="79">
        <f t="shared" si="45"/>
        <v>339</v>
      </c>
      <c r="P157" s="88">
        <f t="shared" si="43"/>
        <v>35.396087999999999</v>
      </c>
      <c r="Q157" s="88">
        <f t="shared" si="43"/>
        <v>35.603912000000001</v>
      </c>
    </row>
    <row r="158" spans="4:55" x14ac:dyDescent="0.2">
      <c r="D158" s="79">
        <f t="shared" si="46"/>
        <v>336</v>
      </c>
      <c r="F158" s="87">
        <v>424</v>
      </c>
      <c r="G158" s="79">
        <v>50508</v>
      </c>
      <c r="H158" s="87">
        <f t="shared" si="44"/>
        <v>172.33329600000002</v>
      </c>
      <c r="I158" s="87">
        <f t="shared" si="39"/>
        <v>251.66670399999998</v>
      </c>
      <c r="P158" s="88">
        <f>SUM(P140:P157)</f>
        <v>2839.3586319999999</v>
      </c>
      <c r="Q158" s="88">
        <f>SUM(Q140:Q157)</f>
        <v>13433.641368000002</v>
      </c>
    </row>
    <row r="159" spans="4:55" x14ac:dyDescent="0.2">
      <c r="D159" s="79">
        <f t="shared" si="46"/>
        <v>337</v>
      </c>
      <c r="F159" s="87">
        <v>63</v>
      </c>
      <c r="G159" s="79">
        <v>7062</v>
      </c>
      <c r="H159" s="87">
        <f t="shared" si="44"/>
        <v>24.095544</v>
      </c>
      <c r="I159" s="87">
        <f t="shared" si="39"/>
        <v>38.904455999999996</v>
      </c>
    </row>
    <row r="160" spans="4:55" x14ac:dyDescent="0.2">
      <c r="D160" s="79">
        <f t="shared" si="46"/>
        <v>339</v>
      </c>
      <c r="F160" s="112">
        <v>71</v>
      </c>
      <c r="G160" s="113">
        <v>10374</v>
      </c>
      <c r="H160" s="112">
        <f t="shared" si="44"/>
        <v>35.396087999999999</v>
      </c>
      <c r="I160" s="112">
        <f t="shared" si="39"/>
        <v>35.603912000000001</v>
      </c>
    </row>
    <row r="161" spans="4:17" x14ac:dyDescent="0.2">
      <c r="F161" s="88">
        <f>SUM(F140:F160)</f>
        <v>16273</v>
      </c>
      <c r="G161" s="88">
        <f>SUM(G140:G160)</f>
        <v>832061</v>
      </c>
      <c r="H161" s="88">
        <f>SUM(H140:H160)</f>
        <v>2839.3586319999999</v>
      </c>
      <c r="I161" s="88">
        <f>SUM(I140:I160)</f>
        <v>13433.641368000002</v>
      </c>
    </row>
    <row r="164" spans="4:17" x14ac:dyDescent="0.2">
      <c r="D164" s="79">
        <v>2006</v>
      </c>
      <c r="E164" s="79" t="s">
        <v>205</v>
      </c>
      <c r="F164" s="79" t="s">
        <v>247</v>
      </c>
      <c r="H164" s="79" t="s">
        <v>270</v>
      </c>
      <c r="J164" s="93"/>
      <c r="K164" s="93"/>
      <c r="L164" s="93"/>
      <c r="M164" s="93"/>
      <c r="O164" s="79" t="s">
        <v>227</v>
      </c>
    </row>
    <row r="165" spans="4:17" ht="34.5" thickBot="1" x14ac:dyDescent="0.25">
      <c r="F165" s="94" t="s">
        <v>210</v>
      </c>
      <c r="G165" s="95" t="s">
        <v>211</v>
      </c>
      <c r="H165" s="95" t="s">
        <v>212</v>
      </c>
      <c r="I165" s="95" t="s">
        <v>213</v>
      </c>
      <c r="J165" s="97"/>
      <c r="K165" s="97"/>
      <c r="L165" s="97"/>
      <c r="M165" s="97"/>
      <c r="P165" s="82" t="s">
        <v>212</v>
      </c>
      <c r="Q165" s="82" t="s">
        <v>213</v>
      </c>
    </row>
    <row r="166" spans="4:17" x14ac:dyDescent="0.2">
      <c r="D166" s="86">
        <v>311</v>
      </c>
      <c r="F166" s="87">
        <v>1186</v>
      </c>
      <c r="G166" s="87">
        <v>73440</v>
      </c>
      <c r="H166" s="87">
        <f>G166*3.412*0.001</f>
        <v>250.57728</v>
      </c>
      <c r="I166" s="87">
        <f t="shared" ref="I166:I186" si="47">F166-H166</f>
        <v>935.42272000000003</v>
      </c>
      <c r="J166" s="99"/>
      <c r="K166" s="99"/>
      <c r="L166" s="99"/>
      <c r="M166" s="99"/>
      <c r="O166" s="79" t="s">
        <v>217</v>
      </c>
      <c r="P166" s="88">
        <f>H166+H167</f>
        <v>280.80077599999998</v>
      </c>
      <c r="Q166" s="88">
        <f>I166+I167</f>
        <v>1014.1992240000001</v>
      </c>
    </row>
    <row r="167" spans="4:17" x14ac:dyDescent="0.2">
      <c r="D167" s="86">
        <v>312</v>
      </c>
      <c r="F167" s="99">
        <v>109</v>
      </c>
      <c r="G167" s="87">
        <v>8858</v>
      </c>
      <c r="H167" s="87">
        <f>G167*3.412*0.001</f>
        <v>30.223496000000001</v>
      </c>
      <c r="I167" s="87">
        <f t="shared" si="47"/>
        <v>78.776504000000003</v>
      </c>
      <c r="J167" s="99"/>
      <c r="K167" s="99"/>
      <c r="L167" s="99"/>
      <c r="M167" s="99"/>
      <c r="O167" s="79" t="s">
        <v>218</v>
      </c>
      <c r="P167" s="88">
        <f>H168+H169</f>
        <v>85.592287999999996</v>
      </c>
      <c r="Q167" s="88">
        <f>I168+I169</f>
        <v>164.407712</v>
      </c>
    </row>
    <row r="168" spans="4:17" x14ac:dyDescent="0.2">
      <c r="D168" s="86">
        <v>313</v>
      </c>
      <c r="F168" s="87">
        <v>178</v>
      </c>
      <c r="G168" s="87">
        <v>19224</v>
      </c>
      <c r="H168" s="87">
        <f>G168*3.412*0.001</f>
        <v>65.592287999999996</v>
      </c>
      <c r="I168" s="87">
        <f t="shared" si="47"/>
        <v>112.407712</v>
      </c>
      <c r="J168" s="99"/>
      <c r="K168" s="99"/>
      <c r="L168" s="99"/>
      <c r="M168" s="99"/>
      <c r="O168" s="79" t="s">
        <v>219</v>
      </c>
      <c r="P168" s="88">
        <f>H170+H171</f>
        <v>8.2775119999999998</v>
      </c>
      <c r="Q168" s="88">
        <f>I170+I171</f>
        <v>8.7224880000000002</v>
      </c>
    </row>
    <row r="169" spans="4:17" x14ac:dyDescent="0.2">
      <c r="D169" s="79">
        <v>314</v>
      </c>
      <c r="F169" s="87">
        <v>72</v>
      </c>
      <c r="G169" s="87">
        <v>5920</v>
      </c>
      <c r="H169" s="79">
        <v>20</v>
      </c>
      <c r="I169" s="87">
        <f t="shared" si="47"/>
        <v>52</v>
      </c>
      <c r="J169" s="93"/>
      <c r="K169" s="93"/>
      <c r="L169" s="93"/>
      <c r="M169" s="93"/>
      <c r="O169" s="79">
        <v>321</v>
      </c>
      <c r="P169" s="88">
        <f t="shared" ref="P169:Q183" si="48">H172</f>
        <v>91.178876000000002</v>
      </c>
      <c r="Q169" s="88">
        <f t="shared" si="48"/>
        <v>353.821124</v>
      </c>
    </row>
    <row r="170" spans="4:17" x14ac:dyDescent="0.2">
      <c r="D170" s="79">
        <v>315</v>
      </c>
      <c r="F170" s="79">
        <v>14</v>
      </c>
      <c r="G170" s="79">
        <v>2013</v>
      </c>
      <c r="H170" s="87">
        <f>G170*3.412*0.001</f>
        <v>6.8683560000000003</v>
      </c>
      <c r="I170" s="87">
        <f t="shared" si="47"/>
        <v>7.1316439999999997</v>
      </c>
      <c r="J170" s="99"/>
      <c r="K170" s="99"/>
      <c r="L170" s="99"/>
      <c r="M170" s="99"/>
      <c r="O170" s="79">
        <f>D173</f>
        <v>322</v>
      </c>
      <c r="P170" s="88">
        <f t="shared" si="48"/>
        <v>247.43141600000001</v>
      </c>
      <c r="Q170" s="88">
        <f t="shared" si="48"/>
        <v>2106.5685840000001</v>
      </c>
    </row>
    <row r="171" spans="4:17" x14ac:dyDescent="0.2">
      <c r="D171" s="79">
        <v>316</v>
      </c>
      <c r="F171" s="99">
        <v>3</v>
      </c>
      <c r="G171" s="79">
        <v>413</v>
      </c>
      <c r="H171" s="87">
        <f t="shared" ref="H171:H186" si="49">G171*3.412*0.001</f>
        <v>1.4091560000000001</v>
      </c>
      <c r="I171" s="87">
        <f t="shared" si="47"/>
        <v>1.5908439999999999</v>
      </c>
      <c r="J171" s="93"/>
      <c r="K171" s="93"/>
      <c r="L171" s="93"/>
      <c r="M171" s="93"/>
      <c r="O171" s="79">
        <f t="shared" ref="O171:O183" si="50">D174</f>
        <v>323</v>
      </c>
      <c r="P171" s="88">
        <f t="shared" si="48"/>
        <v>44.625548000000002</v>
      </c>
      <c r="Q171" s="88">
        <f t="shared" si="48"/>
        <v>40.374451999999998</v>
      </c>
    </row>
    <row r="172" spans="4:17" x14ac:dyDescent="0.2">
      <c r="D172" s="79">
        <f>D66</f>
        <v>321</v>
      </c>
      <c r="F172" s="99">
        <v>445</v>
      </c>
      <c r="G172" s="79">
        <v>26723</v>
      </c>
      <c r="H172" s="87">
        <f t="shared" si="49"/>
        <v>91.178876000000002</v>
      </c>
      <c r="I172" s="87">
        <f t="shared" si="47"/>
        <v>353.821124</v>
      </c>
      <c r="O172" s="79">
        <f t="shared" si="50"/>
        <v>324</v>
      </c>
      <c r="P172" s="88">
        <f t="shared" si="48"/>
        <v>136.937208</v>
      </c>
      <c r="Q172" s="88">
        <f t="shared" si="48"/>
        <v>3259.0627920000002</v>
      </c>
    </row>
    <row r="173" spans="4:17" x14ac:dyDescent="0.2">
      <c r="D173" s="79">
        <f t="shared" ref="D173:D186" si="51">D67</f>
        <v>322</v>
      </c>
      <c r="F173" s="87">
        <v>2354</v>
      </c>
      <c r="G173" s="79">
        <v>72518</v>
      </c>
      <c r="H173" s="87">
        <f t="shared" si="49"/>
        <v>247.43141600000001</v>
      </c>
      <c r="I173" s="87">
        <f t="shared" si="47"/>
        <v>2106.5685840000001</v>
      </c>
      <c r="O173" s="79">
        <f t="shared" si="50"/>
        <v>325</v>
      </c>
      <c r="P173" s="88">
        <f t="shared" si="48"/>
        <v>517.24214000000006</v>
      </c>
      <c r="Q173" s="88">
        <f t="shared" si="48"/>
        <v>2677.7578599999997</v>
      </c>
    </row>
    <row r="174" spans="4:17" x14ac:dyDescent="0.2">
      <c r="D174" s="79">
        <f t="shared" si="51"/>
        <v>323</v>
      </c>
      <c r="F174" s="87">
        <v>85</v>
      </c>
      <c r="G174" s="79">
        <v>13079</v>
      </c>
      <c r="H174" s="87">
        <f t="shared" si="49"/>
        <v>44.625548000000002</v>
      </c>
      <c r="I174" s="87">
        <f t="shared" si="47"/>
        <v>40.374451999999998</v>
      </c>
      <c r="O174" s="79">
        <f t="shared" si="50"/>
        <v>326</v>
      </c>
      <c r="P174" s="88">
        <f t="shared" si="48"/>
        <v>182.214448</v>
      </c>
      <c r="Q174" s="88">
        <f t="shared" si="48"/>
        <v>153.785552</v>
      </c>
    </row>
    <row r="175" spans="4:17" x14ac:dyDescent="0.2">
      <c r="D175" s="79">
        <f t="shared" si="51"/>
        <v>324</v>
      </c>
      <c r="F175" s="87">
        <v>3396</v>
      </c>
      <c r="G175" s="79">
        <v>40134</v>
      </c>
      <c r="H175" s="87">
        <f t="shared" si="49"/>
        <v>136.937208</v>
      </c>
      <c r="I175" s="87">
        <f t="shared" si="47"/>
        <v>3259.0627920000002</v>
      </c>
      <c r="O175" s="79">
        <f t="shared" si="50"/>
        <v>327</v>
      </c>
      <c r="P175" s="88">
        <f t="shared" si="48"/>
        <v>146.63411199999999</v>
      </c>
      <c r="Q175" s="88">
        <f t="shared" si="48"/>
        <v>958.36588800000004</v>
      </c>
    </row>
    <row r="176" spans="4:17" x14ac:dyDescent="0.2">
      <c r="D176" s="79">
        <f t="shared" si="51"/>
        <v>325</v>
      </c>
      <c r="F176" s="87">
        <v>3195</v>
      </c>
      <c r="G176" s="79">
        <v>151595</v>
      </c>
      <c r="H176" s="87">
        <f t="shared" si="49"/>
        <v>517.24214000000006</v>
      </c>
      <c r="I176" s="87">
        <f t="shared" si="47"/>
        <v>2677.7578599999997</v>
      </c>
      <c r="O176" s="79">
        <f t="shared" si="50"/>
        <v>331</v>
      </c>
      <c r="P176" s="88">
        <f t="shared" si="48"/>
        <v>458.31689999999998</v>
      </c>
      <c r="Q176" s="88">
        <f t="shared" si="48"/>
        <v>1285.6831</v>
      </c>
    </row>
    <row r="177" spans="4:17" x14ac:dyDescent="0.2">
      <c r="D177" s="79">
        <f t="shared" si="51"/>
        <v>326</v>
      </c>
      <c r="F177" s="87">
        <v>336</v>
      </c>
      <c r="G177" s="79">
        <v>53404</v>
      </c>
      <c r="H177" s="87">
        <f t="shared" si="49"/>
        <v>182.214448</v>
      </c>
      <c r="I177" s="87">
        <f t="shared" si="47"/>
        <v>153.785552</v>
      </c>
      <c r="O177" s="79">
        <f t="shared" si="50"/>
        <v>332</v>
      </c>
      <c r="P177" s="88">
        <f t="shared" si="48"/>
        <v>143.18457999999998</v>
      </c>
      <c r="Q177" s="88">
        <f t="shared" si="48"/>
        <v>253.81542000000002</v>
      </c>
    </row>
    <row r="178" spans="4:17" x14ac:dyDescent="0.2">
      <c r="D178" s="79">
        <f t="shared" si="51"/>
        <v>327</v>
      </c>
      <c r="F178" s="87">
        <v>1105</v>
      </c>
      <c r="G178" s="79">
        <v>42976</v>
      </c>
      <c r="H178" s="87">
        <f t="shared" si="49"/>
        <v>146.63411199999999</v>
      </c>
      <c r="I178" s="87">
        <f t="shared" si="47"/>
        <v>958.36588800000004</v>
      </c>
      <c r="O178" s="79">
        <f t="shared" si="50"/>
        <v>333</v>
      </c>
      <c r="P178" s="88">
        <f t="shared" si="48"/>
        <v>110.528328</v>
      </c>
      <c r="Q178" s="88">
        <f t="shared" si="48"/>
        <v>93.471671999999998</v>
      </c>
    </row>
    <row r="179" spans="4:17" x14ac:dyDescent="0.2">
      <c r="D179" s="79">
        <f t="shared" si="51"/>
        <v>331</v>
      </c>
      <c r="F179" s="87">
        <v>1744</v>
      </c>
      <c r="G179" s="79">
        <v>134325</v>
      </c>
      <c r="H179" s="87">
        <f t="shared" si="49"/>
        <v>458.31689999999998</v>
      </c>
      <c r="I179" s="87">
        <f t="shared" si="47"/>
        <v>1285.6831</v>
      </c>
      <c r="O179" s="79">
        <f t="shared" si="50"/>
        <v>334</v>
      </c>
      <c r="P179" s="88">
        <f t="shared" si="48"/>
        <v>93.860708000000002</v>
      </c>
      <c r="Q179" s="88">
        <f t="shared" si="48"/>
        <v>47.139291999999998</v>
      </c>
    </row>
    <row r="180" spans="4:17" x14ac:dyDescent="0.2">
      <c r="D180" s="79">
        <f t="shared" si="51"/>
        <v>332</v>
      </c>
      <c r="F180" s="87">
        <v>397</v>
      </c>
      <c r="G180" s="79">
        <v>41965</v>
      </c>
      <c r="H180" s="87">
        <f t="shared" si="49"/>
        <v>143.18457999999998</v>
      </c>
      <c r="I180" s="87">
        <f t="shared" si="47"/>
        <v>253.81542000000002</v>
      </c>
      <c r="O180" s="79">
        <f t="shared" si="50"/>
        <v>335</v>
      </c>
      <c r="P180" s="88">
        <f t="shared" si="48"/>
        <v>43.902203999999998</v>
      </c>
      <c r="Q180" s="88">
        <f t="shared" si="48"/>
        <v>43.097796000000002</v>
      </c>
    </row>
    <row r="181" spans="4:17" x14ac:dyDescent="0.2">
      <c r="D181" s="79">
        <f t="shared" si="51"/>
        <v>333</v>
      </c>
      <c r="F181" s="87">
        <v>204</v>
      </c>
      <c r="G181" s="79">
        <v>32394</v>
      </c>
      <c r="H181" s="87">
        <f t="shared" si="49"/>
        <v>110.528328</v>
      </c>
      <c r="I181" s="87">
        <f t="shared" si="47"/>
        <v>93.471671999999998</v>
      </c>
      <c r="O181" s="79">
        <f t="shared" si="50"/>
        <v>336</v>
      </c>
      <c r="P181" s="88">
        <f t="shared" si="48"/>
        <v>195.06062800000001</v>
      </c>
      <c r="Q181" s="88">
        <f t="shared" si="48"/>
        <v>283.93937199999999</v>
      </c>
    </row>
    <row r="182" spans="4:17" x14ac:dyDescent="0.2">
      <c r="D182" s="79">
        <f t="shared" si="51"/>
        <v>334</v>
      </c>
      <c r="E182" s="100"/>
      <c r="F182" s="87">
        <v>141</v>
      </c>
      <c r="G182" s="79">
        <v>27509</v>
      </c>
      <c r="H182" s="87">
        <f t="shared" si="49"/>
        <v>93.860708000000002</v>
      </c>
      <c r="I182" s="87">
        <f t="shared" si="47"/>
        <v>47.139291999999998</v>
      </c>
      <c r="O182" s="79">
        <f t="shared" si="50"/>
        <v>337</v>
      </c>
      <c r="P182" s="88">
        <f t="shared" si="48"/>
        <v>31.608768000000001</v>
      </c>
      <c r="Q182" s="88">
        <f t="shared" si="48"/>
        <v>28.391231999999999</v>
      </c>
    </row>
    <row r="183" spans="4:17" x14ac:dyDescent="0.2">
      <c r="D183" s="79">
        <f t="shared" si="51"/>
        <v>335</v>
      </c>
      <c r="F183" s="79">
        <v>87</v>
      </c>
      <c r="G183" s="79">
        <v>12867</v>
      </c>
      <c r="H183" s="87">
        <f t="shared" si="49"/>
        <v>43.902203999999998</v>
      </c>
      <c r="I183" s="87">
        <f t="shared" si="47"/>
        <v>43.097796000000002</v>
      </c>
      <c r="O183" s="79">
        <f t="shared" si="50"/>
        <v>339</v>
      </c>
      <c r="P183" s="88">
        <f t="shared" si="48"/>
        <v>33.017924000000001</v>
      </c>
      <c r="Q183" s="88">
        <f t="shared" si="48"/>
        <v>32.982075999999999</v>
      </c>
    </row>
    <row r="184" spans="4:17" x14ac:dyDescent="0.2">
      <c r="D184" s="79">
        <f t="shared" si="51"/>
        <v>336</v>
      </c>
      <c r="F184" s="87">
        <v>479</v>
      </c>
      <c r="G184" s="79">
        <v>57169</v>
      </c>
      <c r="H184" s="87">
        <f t="shared" si="49"/>
        <v>195.06062800000001</v>
      </c>
      <c r="I184" s="87">
        <f t="shared" si="47"/>
        <v>283.93937199999999</v>
      </c>
      <c r="P184" s="88">
        <f>SUM(P166:P183)</f>
        <v>2850.4143640000007</v>
      </c>
      <c r="Q184" s="88">
        <f>SUM(Q166:Q183)</f>
        <v>12805.585636000002</v>
      </c>
    </row>
    <row r="185" spans="4:17" x14ac:dyDescent="0.2">
      <c r="D185" s="79">
        <f t="shared" si="51"/>
        <v>337</v>
      </c>
      <c r="F185" s="87">
        <v>60</v>
      </c>
      <c r="G185" s="79">
        <v>9264</v>
      </c>
      <c r="H185" s="87">
        <f t="shared" si="49"/>
        <v>31.608768000000001</v>
      </c>
      <c r="I185" s="87">
        <f t="shared" si="47"/>
        <v>28.391231999999999</v>
      </c>
    </row>
    <row r="186" spans="4:17" x14ac:dyDescent="0.2">
      <c r="D186" s="79">
        <f t="shared" si="51"/>
        <v>339</v>
      </c>
      <c r="F186" s="112">
        <v>66</v>
      </c>
      <c r="G186" s="113">
        <v>9677</v>
      </c>
      <c r="H186" s="112">
        <f t="shared" si="49"/>
        <v>33.017924000000001</v>
      </c>
      <c r="I186" s="112">
        <f t="shared" si="47"/>
        <v>32.982075999999999</v>
      </c>
    </row>
    <row r="187" spans="4:17" x14ac:dyDescent="0.2">
      <c r="F187" s="88">
        <f>SUM(F166:F186)</f>
        <v>15656</v>
      </c>
      <c r="G187" s="88">
        <f>SUM(G166:G186)</f>
        <v>835467</v>
      </c>
      <c r="H187" s="88">
        <f>SUM(H166:H186)</f>
        <v>2850.4143640000007</v>
      </c>
      <c r="I187" s="88">
        <f>SUM(I166:I186)</f>
        <v>12805.585636000002</v>
      </c>
    </row>
    <row r="188" spans="4:17" x14ac:dyDescent="0.2">
      <c r="F188" s="88"/>
      <c r="G188" s="88"/>
      <c r="H188" s="88"/>
      <c r="I188" s="88"/>
    </row>
    <row r="189" spans="4:17" x14ac:dyDescent="0.2">
      <c r="F189" s="88"/>
      <c r="G189" s="88"/>
      <c r="H189" s="88"/>
      <c r="I189" s="88"/>
    </row>
    <row r="190" spans="4:17" x14ac:dyDescent="0.2">
      <c r="D190" s="79">
        <v>2010</v>
      </c>
      <c r="E190" s="79" t="s">
        <v>205</v>
      </c>
      <c r="F190" s="79" t="s">
        <v>247</v>
      </c>
      <c r="H190" s="79" t="s">
        <v>270</v>
      </c>
      <c r="J190" s="93"/>
      <c r="K190" s="93"/>
      <c r="L190" s="93"/>
      <c r="M190" s="93"/>
      <c r="O190" s="79" t="s">
        <v>227</v>
      </c>
    </row>
    <row r="191" spans="4:17" ht="34.5" thickBot="1" x14ac:dyDescent="0.25">
      <c r="F191" s="94" t="s">
        <v>210</v>
      </c>
      <c r="G191" s="95" t="s">
        <v>211</v>
      </c>
      <c r="H191" s="95" t="s">
        <v>212</v>
      </c>
      <c r="I191" s="95" t="s">
        <v>213</v>
      </c>
      <c r="J191" s="97"/>
      <c r="K191" s="97"/>
      <c r="L191" s="97"/>
      <c r="M191" s="97"/>
      <c r="P191" s="82" t="s">
        <v>212</v>
      </c>
      <c r="Q191" s="82" t="s">
        <v>213</v>
      </c>
    </row>
    <row r="192" spans="4:17" x14ac:dyDescent="0.2">
      <c r="D192" s="86">
        <v>311</v>
      </c>
      <c r="F192" s="87">
        <v>1158</v>
      </c>
      <c r="G192" s="87">
        <v>73440</v>
      </c>
      <c r="H192" s="87">
        <v>257</v>
      </c>
      <c r="I192" s="87">
        <f t="shared" ref="I192:I212" si="52">F192-H192</f>
        <v>901</v>
      </c>
      <c r="J192" s="99"/>
      <c r="K192" s="99"/>
      <c r="L192" s="99"/>
      <c r="M192" s="99"/>
      <c r="O192" s="79" t="s">
        <v>217</v>
      </c>
      <c r="P192" s="88">
        <f>H192+H193</f>
        <v>286</v>
      </c>
      <c r="Q192" s="88">
        <f>I192+I193</f>
        <v>958</v>
      </c>
    </row>
    <row r="193" spans="4:17" x14ac:dyDescent="0.2">
      <c r="D193" s="86">
        <v>312</v>
      </c>
      <c r="F193" s="99">
        <v>86</v>
      </c>
      <c r="G193" s="87">
        <v>8858</v>
      </c>
      <c r="H193" s="87">
        <v>29</v>
      </c>
      <c r="I193" s="87">
        <f t="shared" si="52"/>
        <v>57</v>
      </c>
      <c r="J193" s="99"/>
      <c r="K193" s="99"/>
      <c r="L193" s="99"/>
      <c r="M193" s="99"/>
      <c r="O193" s="79" t="s">
        <v>218</v>
      </c>
      <c r="P193" s="88">
        <f>H194+H195</f>
        <v>53</v>
      </c>
      <c r="Q193" s="88">
        <f>I194+I195</f>
        <v>62</v>
      </c>
    </row>
    <row r="194" spans="4:17" x14ac:dyDescent="0.2">
      <c r="D194" s="86">
        <v>313</v>
      </c>
      <c r="F194" s="87">
        <v>95</v>
      </c>
      <c r="G194" s="87">
        <v>19224</v>
      </c>
      <c r="H194" s="87">
        <v>45</v>
      </c>
      <c r="I194" s="87">
        <f t="shared" si="52"/>
        <v>50</v>
      </c>
      <c r="J194" s="99"/>
      <c r="K194" s="99"/>
      <c r="L194" s="99"/>
      <c r="M194" s="99"/>
      <c r="O194" s="79" t="s">
        <v>219</v>
      </c>
      <c r="P194" s="88">
        <f>H196+H197</f>
        <v>5</v>
      </c>
      <c r="Q194" s="88">
        <f>I196+I197</f>
        <v>3</v>
      </c>
    </row>
    <row r="195" spans="4:17" x14ac:dyDescent="0.2">
      <c r="D195" s="79">
        <v>314</v>
      </c>
      <c r="F195" s="87">
        <v>20</v>
      </c>
      <c r="G195" s="87">
        <v>5920</v>
      </c>
      <c r="H195" s="87">
        <v>8</v>
      </c>
      <c r="I195" s="87">
        <f t="shared" si="52"/>
        <v>12</v>
      </c>
      <c r="J195" s="93"/>
      <c r="K195" s="93"/>
      <c r="L195" s="93"/>
      <c r="M195" s="93"/>
      <c r="O195" s="79">
        <v>321</v>
      </c>
      <c r="P195" s="88">
        <f t="shared" ref="P195:Q209" si="53">H198</f>
        <v>52</v>
      </c>
      <c r="Q195" s="88">
        <f t="shared" si="53"/>
        <v>418</v>
      </c>
    </row>
    <row r="196" spans="4:17" x14ac:dyDescent="0.2">
      <c r="D196" s="79">
        <v>315</v>
      </c>
      <c r="F196" s="79">
        <v>6</v>
      </c>
      <c r="G196" s="79">
        <v>2013</v>
      </c>
      <c r="H196" s="87">
        <v>4</v>
      </c>
      <c r="I196" s="87">
        <f t="shared" si="52"/>
        <v>2</v>
      </c>
      <c r="J196" s="99"/>
      <c r="K196" s="99"/>
      <c r="L196" s="99"/>
      <c r="M196" s="99"/>
      <c r="O196" s="79">
        <f>D199</f>
        <v>322</v>
      </c>
      <c r="P196" s="88">
        <f t="shared" si="53"/>
        <v>206</v>
      </c>
      <c r="Q196" s="88">
        <f t="shared" si="53"/>
        <v>1904</v>
      </c>
    </row>
    <row r="197" spans="4:17" x14ac:dyDescent="0.2">
      <c r="D197" s="79">
        <v>316</v>
      </c>
      <c r="F197" s="99">
        <v>2</v>
      </c>
      <c r="G197" s="79">
        <v>413</v>
      </c>
      <c r="H197" s="87">
        <v>1</v>
      </c>
      <c r="I197" s="87">
        <f t="shared" si="52"/>
        <v>1</v>
      </c>
      <c r="J197" s="93"/>
      <c r="K197" s="93"/>
      <c r="L197" s="93"/>
      <c r="M197" s="93"/>
      <c r="O197" s="79">
        <f t="shared" ref="O197:O209" si="54">D200</f>
        <v>323</v>
      </c>
      <c r="P197" s="88">
        <f t="shared" si="53"/>
        <v>47</v>
      </c>
      <c r="Q197" s="88">
        <f t="shared" si="53"/>
        <v>36</v>
      </c>
    </row>
    <row r="198" spans="4:17" x14ac:dyDescent="0.2">
      <c r="D198" s="79">
        <f t="shared" ref="D198:D212" si="55">D92</f>
        <v>321</v>
      </c>
      <c r="F198" s="99">
        <v>470</v>
      </c>
      <c r="G198" s="79">
        <v>26723</v>
      </c>
      <c r="H198" s="87">
        <v>52</v>
      </c>
      <c r="I198" s="87">
        <f t="shared" si="52"/>
        <v>418</v>
      </c>
      <c r="O198" s="79">
        <f t="shared" si="54"/>
        <v>324</v>
      </c>
      <c r="P198" s="88">
        <f t="shared" si="53"/>
        <v>160</v>
      </c>
      <c r="Q198" s="88">
        <f t="shared" si="53"/>
        <v>3159</v>
      </c>
    </row>
    <row r="199" spans="4:17" x14ac:dyDescent="0.2">
      <c r="D199" s="79">
        <f t="shared" si="55"/>
        <v>322</v>
      </c>
      <c r="F199" s="87">
        <v>2110</v>
      </c>
      <c r="G199" s="79">
        <v>72518</v>
      </c>
      <c r="H199" s="87">
        <v>206</v>
      </c>
      <c r="I199" s="87">
        <f t="shared" si="52"/>
        <v>1904</v>
      </c>
      <c r="O199" s="79">
        <f t="shared" si="54"/>
        <v>325</v>
      </c>
      <c r="P199" s="88">
        <f t="shared" si="53"/>
        <v>450</v>
      </c>
      <c r="Q199" s="88">
        <f t="shared" si="53"/>
        <v>2772</v>
      </c>
    </row>
    <row r="200" spans="4:17" x14ac:dyDescent="0.2">
      <c r="D200" s="79">
        <f t="shared" si="55"/>
        <v>323</v>
      </c>
      <c r="F200" s="87">
        <v>83</v>
      </c>
      <c r="G200" s="79">
        <v>13079</v>
      </c>
      <c r="H200" s="87">
        <v>47</v>
      </c>
      <c r="I200" s="87">
        <f t="shared" si="52"/>
        <v>36</v>
      </c>
      <c r="O200" s="79">
        <f t="shared" si="54"/>
        <v>326</v>
      </c>
      <c r="P200" s="88">
        <f t="shared" si="53"/>
        <v>156</v>
      </c>
      <c r="Q200" s="88">
        <f t="shared" si="53"/>
        <v>116</v>
      </c>
    </row>
    <row r="201" spans="4:17" x14ac:dyDescent="0.2">
      <c r="D201" s="79">
        <f t="shared" si="55"/>
        <v>324</v>
      </c>
      <c r="F201" s="87">
        <v>3319</v>
      </c>
      <c r="G201" s="79">
        <v>40134</v>
      </c>
      <c r="H201" s="87">
        <v>160</v>
      </c>
      <c r="I201" s="87">
        <f t="shared" si="52"/>
        <v>3159</v>
      </c>
      <c r="O201" s="79">
        <f t="shared" si="54"/>
        <v>327</v>
      </c>
      <c r="P201" s="88">
        <f t="shared" si="53"/>
        <v>111</v>
      </c>
      <c r="Q201" s="88">
        <f t="shared" si="53"/>
        <v>600</v>
      </c>
    </row>
    <row r="202" spans="4:17" x14ac:dyDescent="0.2">
      <c r="D202" s="79">
        <f t="shared" si="55"/>
        <v>325</v>
      </c>
      <c r="F202" s="87">
        <v>3222</v>
      </c>
      <c r="G202" s="79">
        <v>151595</v>
      </c>
      <c r="H202" s="87">
        <v>450</v>
      </c>
      <c r="I202" s="87">
        <f t="shared" si="52"/>
        <v>2772</v>
      </c>
      <c r="O202" s="79">
        <f t="shared" si="54"/>
        <v>331</v>
      </c>
      <c r="P202" s="88">
        <f t="shared" si="53"/>
        <v>400</v>
      </c>
      <c r="Q202" s="88">
        <f t="shared" si="53"/>
        <v>1255</v>
      </c>
    </row>
    <row r="203" spans="4:17" x14ac:dyDescent="0.2">
      <c r="D203" s="79">
        <f t="shared" si="55"/>
        <v>326</v>
      </c>
      <c r="F203" s="87">
        <v>272</v>
      </c>
      <c r="G203" s="79">
        <v>53404</v>
      </c>
      <c r="H203" s="87">
        <v>156</v>
      </c>
      <c r="I203" s="87">
        <f t="shared" si="52"/>
        <v>116</v>
      </c>
      <c r="O203" s="79">
        <f t="shared" si="54"/>
        <v>332</v>
      </c>
      <c r="P203" s="88">
        <f t="shared" si="53"/>
        <v>127</v>
      </c>
      <c r="Q203" s="88">
        <f t="shared" si="53"/>
        <v>174</v>
      </c>
    </row>
    <row r="204" spans="4:17" x14ac:dyDescent="0.2">
      <c r="D204" s="79">
        <f t="shared" si="55"/>
        <v>327</v>
      </c>
      <c r="F204" s="87">
        <v>711</v>
      </c>
      <c r="G204" s="79">
        <v>42976</v>
      </c>
      <c r="H204" s="87">
        <v>111</v>
      </c>
      <c r="I204" s="87">
        <f t="shared" si="52"/>
        <v>600</v>
      </c>
      <c r="O204" s="79">
        <f t="shared" si="54"/>
        <v>333</v>
      </c>
      <c r="P204" s="88">
        <f t="shared" si="53"/>
        <v>70</v>
      </c>
      <c r="Q204" s="88">
        <f t="shared" si="53"/>
        <v>78</v>
      </c>
    </row>
    <row r="205" spans="4:17" x14ac:dyDescent="0.2">
      <c r="D205" s="79">
        <f t="shared" si="55"/>
        <v>331</v>
      </c>
      <c r="F205" s="87">
        <v>1655</v>
      </c>
      <c r="G205" s="79">
        <v>134325</v>
      </c>
      <c r="H205" s="87">
        <v>400</v>
      </c>
      <c r="I205" s="87">
        <f t="shared" si="52"/>
        <v>1255</v>
      </c>
      <c r="O205" s="79">
        <f t="shared" si="54"/>
        <v>334</v>
      </c>
      <c r="P205" s="88">
        <f t="shared" si="53"/>
        <v>101</v>
      </c>
      <c r="Q205" s="88">
        <f t="shared" si="53"/>
        <v>43</v>
      </c>
    </row>
    <row r="206" spans="4:17" x14ac:dyDescent="0.2">
      <c r="D206" s="79">
        <f t="shared" si="55"/>
        <v>332</v>
      </c>
      <c r="F206" s="87">
        <v>301</v>
      </c>
      <c r="G206" s="79">
        <v>41965</v>
      </c>
      <c r="H206" s="87">
        <v>127</v>
      </c>
      <c r="I206" s="87">
        <f t="shared" si="52"/>
        <v>174</v>
      </c>
      <c r="O206" s="79">
        <f t="shared" si="54"/>
        <v>335</v>
      </c>
      <c r="P206" s="88">
        <f t="shared" si="53"/>
        <v>36</v>
      </c>
      <c r="Q206" s="88">
        <f t="shared" si="53"/>
        <v>38</v>
      </c>
    </row>
    <row r="207" spans="4:17" x14ac:dyDescent="0.2">
      <c r="D207" s="79">
        <f t="shared" si="55"/>
        <v>333</v>
      </c>
      <c r="F207" s="87">
        <v>148</v>
      </c>
      <c r="G207" s="79">
        <v>32394</v>
      </c>
      <c r="H207" s="87">
        <v>70</v>
      </c>
      <c r="I207" s="87">
        <f t="shared" si="52"/>
        <v>78</v>
      </c>
      <c r="O207" s="79">
        <f t="shared" si="54"/>
        <v>336</v>
      </c>
      <c r="P207" s="88">
        <f t="shared" si="53"/>
        <v>132</v>
      </c>
      <c r="Q207" s="88">
        <f t="shared" si="53"/>
        <v>143</v>
      </c>
    </row>
    <row r="208" spans="4:17" x14ac:dyDescent="0.2">
      <c r="D208" s="79">
        <f t="shared" si="55"/>
        <v>334</v>
      </c>
      <c r="E208" s="93"/>
      <c r="F208" s="87">
        <v>144</v>
      </c>
      <c r="G208" s="79">
        <v>27509</v>
      </c>
      <c r="H208" s="87">
        <v>101</v>
      </c>
      <c r="I208" s="87">
        <f t="shared" si="52"/>
        <v>43</v>
      </c>
      <c r="O208" s="79">
        <f t="shared" si="54"/>
        <v>337</v>
      </c>
      <c r="P208" s="88">
        <f t="shared" si="53"/>
        <v>17</v>
      </c>
      <c r="Q208" s="88">
        <f t="shared" si="53"/>
        <v>19</v>
      </c>
    </row>
    <row r="209" spans="4:27" x14ac:dyDescent="0.2">
      <c r="D209" s="79">
        <f t="shared" si="55"/>
        <v>335</v>
      </c>
      <c r="F209" s="79">
        <v>74</v>
      </c>
      <c r="G209" s="79">
        <v>12867</v>
      </c>
      <c r="H209" s="87">
        <v>36</v>
      </c>
      <c r="I209" s="87">
        <f t="shared" si="52"/>
        <v>38</v>
      </c>
      <c r="O209" s="79">
        <f t="shared" si="54"/>
        <v>339</v>
      </c>
      <c r="P209" s="88">
        <f t="shared" si="53"/>
        <v>26</v>
      </c>
      <c r="Q209" s="88">
        <f t="shared" si="53"/>
        <v>17</v>
      </c>
    </row>
    <row r="210" spans="4:27" x14ac:dyDescent="0.2">
      <c r="D210" s="79">
        <f t="shared" si="55"/>
        <v>336</v>
      </c>
      <c r="F210" s="87">
        <v>275</v>
      </c>
      <c r="G210" s="79">
        <v>57169</v>
      </c>
      <c r="H210" s="87">
        <v>132</v>
      </c>
      <c r="I210" s="87">
        <f t="shared" si="52"/>
        <v>143</v>
      </c>
      <c r="P210" s="88">
        <f>SUM(P192:P209)</f>
        <v>2435</v>
      </c>
      <c r="Q210" s="88">
        <f>SUM(Q192:Q209)</f>
        <v>11795</v>
      </c>
    </row>
    <row r="211" spans="4:27" x14ac:dyDescent="0.2">
      <c r="D211" s="79">
        <f t="shared" si="55"/>
        <v>337</v>
      </c>
      <c r="F211" s="87">
        <v>36</v>
      </c>
      <c r="G211" s="79">
        <v>9264</v>
      </c>
      <c r="H211" s="87">
        <v>17</v>
      </c>
      <c r="I211" s="87">
        <f t="shared" si="52"/>
        <v>19</v>
      </c>
    </row>
    <row r="212" spans="4:27" x14ac:dyDescent="0.2">
      <c r="D212" s="79">
        <f t="shared" si="55"/>
        <v>339</v>
      </c>
      <c r="F212" s="112">
        <v>43</v>
      </c>
      <c r="G212" s="113">
        <v>9677</v>
      </c>
      <c r="H212" s="112">
        <v>26</v>
      </c>
      <c r="I212" s="112">
        <f t="shared" si="52"/>
        <v>17</v>
      </c>
    </row>
    <row r="213" spans="4:27" x14ac:dyDescent="0.2">
      <c r="F213" s="88">
        <v>14228</v>
      </c>
      <c r="G213" s="88">
        <f>SUM(G192:G212)</f>
        <v>835467</v>
      </c>
      <c r="H213" s="88">
        <v>2437</v>
      </c>
      <c r="I213" s="88">
        <f>SUM(I192:I212)</f>
        <v>11795</v>
      </c>
      <c r="AA213" s="114" t="s">
        <v>271</v>
      </c>
    </row>
    <row r="214" spans="4:27" x14ac:dyDescent="0.2">
      <c r="F214" s="88"/>
      <c r="G214" s="88"/>
      <c r="H214" s="88"/>
      <c r="I214" s="88"/>
      <c r="AA214" s="114"/>
    </row>
    <row r="215" spans="4:27" x14ac:dyDescent="0.2">
      <c r="F215" s="88"/>
      <c r="G215" s="88"/>
      <c r="H215" s="88"/>
      <c r="I215" s="88"/>
      <c r="AA215" s="114"/>
    </row>
    <row r="216" spans="4:27" x14ac:dyDescent="0.2">
      <c r="F216" s="88"/>
      <c r="G216" s="88"/>
      <c r="H216" s="88"/>
      <c r="I216" s="88"/>
      <c r="AA216" s="114"/>
    </row>
    <row r="217" spans="4:27" x14ac:dyDescent="0.2">
      <c r="D217" s="79">
        <v>2014</v>
      </c>
      <c r="E217" s="79" t="s">
        <v>205</v>
      </c>
      <c r="F217" s="79" t="s">
        <v>247</v>
      </c>
      <c r="H217" s="79" t="s">
        <v>335</v>
      </c>
      <c r="O217" s="79" t="s">
        <v>227</v>
      </c>
      <c r="AA217" s="114"/>
    </row>
    <row r="218" spans="4:27" ht="34.5" thickBot="1" x14ac:dyDescent="0.25">
      <c r="F218" s="94" t="s">
        <v>210</v>
      </c>
      <c r="G218" s="95" t="s">
        <v>211</v>
      </c>
      <c r="H218" s="95" t="s">
        <v>212</v>
      </c>
      <c r="I218" s="95" t="s">
        <v>213</v>
      </c>
      <c r="P218" s="82" t="s">
        <v>212</v>
      </c>
      <c r="Q218" s="82" t="s">
        <v>213</v>
      </c>
      <c r="AA218" s="114"/>
    </row>
    <row r="219" spans="4:27" x14ac:dyDescent="0.2">
      <c r="D219" s="86">
        <v>311</v>
      </c>
      <c r="F219" s="87">
        <f>'[24]table 3.2'!C100</f>
        <v>1114</v>
      </c>
      <c r="G219" s="87" t="s">
        <v>336</v>
      </c>
      <c r="H219" s="87">
        <f>'[24]table 3.2'!D100</f>
        <v>247</v>
      </c>
      <c r="I219" s="87">
        <f t="shared" ref="I219:I239" si="56">F219-H219</f>
        <v>867</v>
      </c>
      <c r="O219" s="79" t="s">
        <v>217</v>
      </c>
      <c r="P219" s="88">
        <f>H219+H220</f>
        <v>280</v>
      </c>
      <c r="Q219" s="88">
        <f>I219+I220</f>
        <v>929</v>
      </c>
      <c r="AA219" s="114"/>
    </row>
    <row r="220" spans="4:27" x14ac:dyDescent="0.2">
      <c r="D220" s="86">
        <v>312</v>
      </c>
      <c r="F220" s="99">
        <f>'[24]table 3.2'!C101</f>
        <v>95</v>
      </c>
      <c r="G220" s="87" t="s">
        <v>336</v>
      </c>
      <c r="H220" s="87">
        <f>'[24]table 3.2'!D101</f>
        <v>33</v>
      </c>
      <c r="I220" s="87">
        <f t="shared" si="56"/>
        <v>62</v>
      </c>
      <c r="O220" s="79" t="s">
        <v>218</v>
      </c>
      <c r="P220" s="88">
        <f>H221+H222</f>
        <v>52</v>
      </c>
      <c r="Q220" s="88">
        <f>I221+I222</f>
        <v>72</v>
      </c>
      <c r="AA220" s="114"/>
    </row>
    <row r="221" spans="4:27" x14ac:dyDescent="0.2">
      <c r="D221" s="86">
        <v>313</v>
      </c>
      <c r="F221" s="87">
        <f>'[24]table 3.2'!C102</f>
        <v>97</v>
      </c>
      <c r="G221" s="87" t="s">
        <v>336</v>
      </c>
      <c r="H221" s="87">
        <f>'[24]table 3.2'!D102</f>
        <v>43</v>
      </c>
      <c r="I221" s="87">
        <f t="shared" si="56"/>
        <v>54</v>
      </c>
      <c r="O221" s="79" t="s">
        <v>219</v>
      </c>
      <c r="P221" s="88">
        <f>H223+H224</f>
        <v>4</v>
      </c>
      <c r="Q221" s="88">
        <f>I223+I224</f>
        <v>4</v>
      </c>
      <c r="AA221" s="114"/>
    </row>
    <row r="222" spans="4:27" x14ac:dyDescent="0.2">
      <c r="D222" s="79">
        <v>314</v>
      </c>
      <c r="F222" s="87">
        <f>'[24]table 3.2'!C103</f>
        <v>27</v>
      </c>
      <c r="G222" s="87" t="s">
        <v>336</v>
      </c>
      <c r="H222" s="87">
        <f>'[24]table 3.2'!D103</f>
        <v>9</v>
      </c>
      <c r="I222" s="87">
        <f t="shared" si="56"/>
        <v>18</v>
      </c>
      <c r="O222" s="79">
        <v>321</v>
      </c>
      <c r="P222" s="88">
        <f t="shared" ref="P222:P236" si="57">H225</f>
        <v>73</v>
      </c>
      <c r="Q222" s="88">
        <f t="shared" ref="Q222:Q236" si="58">I225</f>
        <v>311</v>
      </c>
      <c r="AA222" s="114"/>
    </row>
    <row r="223" spans="4:27" x14ac:dyDescent="0.2">
      <c r="D223" s="79">
        <v>315</v>
      </c>
      <c r="F223" s="119">
        <f>'[24]table 3.2'!C104</f>
        <v>5</v>
      </c>
      <c r="G223" s="87" t="s">
        <v>336</v>
      </c>
      <c r="H223" s="87">
        <f>'[24]table 3.2'!D104</f>
        <v>3</v>
      </c>
      <c r="I223" s="87">
        <f t="shared" si="56"/>
        <v>2</v>
      </c>
      <c r="O223" s="79">
        <f>D226</f>
        <v>321</v>
      </c>
      <c r="P223" s="88">
        <f t="shared" si="57"/>
        <v>191</v>
      </c>
      <c r="Q223" s="88">
        <f t="shared" si="58"/>
        <v>1899</v>
      </c>
      <c r="AA223" s="114"/>
    </row>
    <row r="224" spans="4:27" x14ac:dyDescent="0.2">
      <c r="D224" s="79">
        <v>316</v>
      </c>
      <c r="F224" s="99">
        <f>'[24]table 3.2'!C105</f>
        <v>3</v>
      </c>
      <c r="G224" s="87" t="s">
        <v>336</v>
      </c>
      <c r="H224" s="87">
        <f>'[24]table 3.2'!D105</f>
        <v>1</v>
      </c>
      <c r="I224" s="87">
        <f t="shared" si="56"/>
        <v>2</v>
      </c>
      <c r="O224" s="79">
        <f t="shared" ref="O224:O236" si="59">D227</f>
        <v>322</v>
      </c>
      <c r="P224" s="88">
        <f t="shared" si="57"/>
        <v>49</v>
      </c>
      <c r="Q224" s="88">
        <f t="shared" si="58"/>
        <v>40</v>
      </c>
      <c r="AA224" s="114"/>
    </row>
    <row r="225" spans="4:27" x14ac:dyDescent="0.2">
      <c r="D225" s="79">
        <f t="shared" ref="D225:D239" si="60">D119</f>
        <v>316</v>
      </c>
      <c r="F225" s="99">
        <f>'[24]table 3.2'!C106</f>
        <v>384</v>
      </c>
      <c r="G225" s="87" t="s">
        <v>336</v>
      </c>
      <c r="H225" s="87">
        <f>'[24]table 3.2'!D106</f>
        <v>73</v>
      </c>
      <c r="I225" s="87">
        <f t="shared" si="56"/>
        <v>311</v>
      </c>
      <c r="O225" s="79">
        <f t="shared" si="59"/>
        <v>323</v>
      </c>
      <c r="P225" s="88">
        <f t="shared" si="57"/>
        <v>167</v>
      </c>
      <c r="Q225" s="88">
        <f t="shared" si="58"/>
        <v>3346</v>
      </c>
      <c r="AA225" s="114"/>
    </row>
    <row r="226" spans="4:27" x14ac:dyDescent="0.2">
      <c r="D226" s="79">
        <f t="shared" si="60"/>
        <v>321</v>
      </c>
      <c r="F226" s="87">
        <f>'[24]table 3.2'!C107</f>
        <v>2090</v>
      </c>
      <c r="G226" s="87" t="s">
        <v>336</v>
      </c>
      <c r="H226" s="87">
        <f>'[24]table 3.2'!D107</f>
        <v>191</v>
      </c>
      <c r="I226" s="87">
        <f t="shared" si="56"/>
        <v>1899</v>
      </c>
      <c r="O226" s="79">
        <f t="shared" si="59"/>
        <v>324</v>
      </c>
      <c r="P226" s="88">
        <f t="shared" si="57"/>
        <v>458</v>
      </c>
      <c r="Q226" s="88">
        <f t="shared" si="58"/>
        <v>3069</v>
      </c>
      <c r="AA226" s="114"/>
    </row>
    <row r="227" spans="4:27" x14ac:dyDescent="0.2">
      <c r="D227" s="79">
        <f t="shared" si="60"/>
        <v>322</v>
      </c>
      <c r="F227" s="87">
        <f>'[24]table 3.2'!C108</f>
        <v>89</v>
      </c>
      <c r="G227" s="87" t="s">
        <v>336</v>
      </c>
      <c r="H227" s="87">
        <f>'[24]table 3.2'!D108</f>
        <v>49</v>
      </c>
      <c r="I227" s="87">
        <f t="shared" si="56"/>
        <v>40</v>
      </c>
      <c r="O227" s="79">
        <f t="shared" si="59"/>
        <v>325</v>
      </c>
      <c r="P227" s="88">
        <f t="shared" si="57"/>
        <v>190</v>
      </c>
      <c r="Q227" s="88">
        <f t="shared" si="58"/>
        <v>104</v>
      </c>
      <c r="AA227" s="114"/>
    </row>
    <row r="228" spans="4:27" x14ac:dyDescent="0.2">
      <c r="D228" s="79">
        <f t="shared" si="60"/>
        <v>323</v>
      </c>
      <c r="F228" s="87">
        <f>'[24]table 3.2'!C109</f>
        <v>3513</v>
      </c>
      <c r="G228" s="87" t="s">
        <v>336</v>
      </c>
      <c r="H228" s="87">
        <f>'[24]table 3.2'!D109</f>
        <v>167</v>
      </c>
      <c r="I228" s="87">
        <f t="shared" si="56"/>
        <v>3346</v>
      </c>
      <c r="O228" s="79">
        <f t="shared" si="59"/>
        <v>326</v>
      </c>
      <c r="P228" s="88">
        <f t="shared" si="57"/>
        <v>128</v>
      </c>
      <c r="Q228" s="88">
        <f t="shared" si="58"/>
        <v>699</v>
      </c>
      <c r="AA228" s="114"/>
    </row>
    <row r="229" spans="4:27" x14ac:dyDescent="0.2">
      <c r="D229" s="79">
        <f t="shared" si="60"/>
        <v>324</v>
      </c>
      <c r="F229" s="87">
        <f>'[24]table 3.2'!C110</f>
        <v>3527</v>
      </c>
      <c r="G229" s="87" t="s">
        <v>336</v>
      </c>
      <c r="H229" s="87">
        <f>'[24]table 3.2'!D110</f>
        <v>458</v>
      </c>
      <c r="I229" s="87">
        <f t="shared" si="56"/>
        <v>3069</v>
      </c>
      <c r="O229" s="79">
        <f t="shared" si="59"/>
        <v>327</v>
      </c>
      <c r="P229" s="88">
        <f t="shared" si="57"/>
        <v>433</v>
      </c>
      <c r="Q229" s="88">
        <f t="shared" si="58"/>
        <v>1251</v>
      </c>
      <c r="AA229" s="114"/>
    </row>
    <row r="230" spans="4:27" x14ac:dyDescent="0.2">
      <c r="D230" s="79">
        <f t="shared" si="60"/>
        <v>325</v>
      </c>
      <c r="F230" s="87">
        <f>'[24]table 3.2'!C111</f>
        <v>294</v>
      </c>
      <c r="G230" s="87" t="s">
        <v>336</v>
      </c>
      <c r="H230" s="87">
        <f>'[24]table 3.2'!D111</f>
        <v>190</v>
      </c>
      <c r="I230" s="87">
        <f t="shared" si="56"/>
        <v>104</v>
      </c>
      <c r="O230" s="79">
        <f t="shared" si="59"/>
        <v>331</v>
      </c>
      <c r="P230" s="88">
        <f t="shared" si="57"/>
        <v>143</v>
      </c>
      <c r="Q230" s="88">
        <f t="shared" si="58"/>
        <v>201</v>
      </c>
      <c r="AA230" s="114"/>
    </row>
    <row r="231" spans="4:27" x14ac:dyDescent="0.2">
      <c r="D231" s="79">
        <f t="shared" si="60"/>
        <v>326</v>
      </c>
      <c r="F231" s="87">
        <f>'[24]table 3.2'!C112</f>
        <v>827</v>
      </c>
      <c r="G231" s="87" t="s">
        <v>336</v>
      </c>
      <c r="H231" s="87">
        <f>'[24]table 3.2'!D112</f>
        <v>128</v>
      </c>
      <c r="I231" s="87">
        <f t="shared" si="56"/>
        <v>699</v>
      </c>
      <c r="O231" s="79">
        <f t="shared" si="59"/>
        <v>332</v>
      </c>
      <c r="P231" s="88">
        <f t="shared" si="57"/>
        <v>80</v>
      </c>
      <c r="Q231" s="88">
        <f t="shared" si="58"/>
        <v>84</v>
      </c>
      <c r="AA231" s="114"/>
    </row>
    <row r="232" spans="4:27" x14ac:dyDescent="0.2">
      <c r="D232" s="79">
        <f t="shared" si="60"/>
        <v>327</v>
      </c>
      <c r="F232" s="87">
        <f>'[24]table 3.2'!C113</f>
        <v>1684</v>
      </c>
      <c r="G232" s="87" t="s">
        <v>336</v>
      </c>
      <c r="H232" s="87">
        <f>'[24]table 3.2'!D113</f>
        <v>433</v>
      </c>
      <c r="I232" s="87">
        <f t="shared" si="56"/>
        <v>1251</v>
      </c>
      <c r="O232" s="79">
        <f t="shared" si="59"/>
        <v>333</v>
      </c>
      <c r="P232" s="88">
        <f t="shared" si="57"/>
        <v>112</v>
      </c>
      <c r="Q232" s="88">
        <f t="shared" si="58"/>
        <v>50</v>
      </c>
      <c r="AA232" s="114"/>
    </row>
    <row r="233" spans="4:27" x14ac:dyDescent="0.2">
      <c r="D233" s="79">
        <f t="shared" si="60"/>
        <v>331</v>
      </c>
      <c r="F233" s="87">
        <f>'[24]table 3.2'!C114</f>
        <v>344</v>
      </c>
      <c r="G233" s="87" t="s">
        <v>336</v>
      </c>
      <c r="H233" s="87">
        <f>'[24]table 3.2'!D114</f>
        <v>143</v>
      </c>
      <c r="I233" s="87">
        <f t="shared" si="56"/>
        <v>201</v>
      </c>
      <c r="O233" s="79">
        <f t="shared" si="59"/>
        <v>334</v>
      </c>
      <c r="P233" s="88">
        <f t="shared" si="57"/>
        <v>40</v>
      </c>
      <c r="Q233" s="88">
        <f t="shared" si="58"/>
        <v>31</v>
      </c>
      <c r="AA233" s="114"/>
    </row>
    <row r="234" spans="4:27" x14ac:dyDescent="0.2">
      <c r="D234" s="79">
        <f t="shared" si="60"/>
        <v>332</v>
      </c>
      <c r="F234" s="87">
        <f>'[24]table 3.2'!C115</f>
        <v>164</v>
      </c>
      <c r="G234" s="87" t="s">
        <v>336</v>
      </c>
      <c r="H234" s="87">
        <f>'[24]table 3.2'!D115</f>
        <v>80</v>
      </c>
      <c r="I234" s="87">
        <f t="shared" si="56"/>
        <v>84</v>
      </c>
      <c r="O234" s="79">
        <f t="shared" si="59"/>
        <v>335</v>
      </c>
      <c r="P234" s="88">
        <f t="shared" si="57"/>
        <v>154</v>
      </c>
      <c r="Q234" s="88">
        <f t="shared" si="58"/>
        <v>164</v>
      </c>
      <c r="AA234" s="114"/>
    </row>
    <row r="235" spans="4:27" x14ac:dyDescent="0.2">
      <c r="D235" s="79">
        <f t="shared" si="60"/>
        <v>333</v>
      </c>
      <c r="E235" s="93"/>
      <c r="F235" s="87">
        <f>'[24]table 3.2'!C116</f>
        <v>162</v>
      </c>
      <c r="G235" s="87" t="s">
        <v>336</v>
      </c>
      <c r="H235" s="87">
        <f>'[24]table 3.2'!D116</f>
        <v>112</v>
      </c>
      <c r="I235" s="87">
        <f t="shared" si="56"/>
        <v>50</v>
      </c>
      <c r="O235" s="79">
        <f t="shared" si="59"/>
        <v>336</v>
      </c>
      <c r="P235" s="88">
        <f t="shared" si="57"/>
        <v>17</v>
      </c>
      <c r="Q235" s="88">
        <f t="shared" si="58"/>
        <v>20</v>
      </c>
      <c r="AA235" s="114"/>
    </row>
    <row r="236" spans="4:27" x14ac:dyDescent="0.2">
      <c r="D236" s="79">
        <f t="shared" si="60"/>
        <v>334</v>
      </c>
      <c r="F236" s="119">
        <f>'[24]table 3.2'!C117</f>
        <v>71</v>
      </c>
      <c r="G236" s="87" t="s">
        <v>336</v>
      </c>
      <c r="H236" s="87">
        <f>'[24]table 3.2'!D117</f>
        <v>40</v>
      </c>
      <c r="I236" s="87">
        <f t="shared" si="56"/>
        <v>31</v>
      </c>
      <c r="O236" s="79">
        <f t="shared" si="59"/>
        <v>337</v>
      </c>
      <c r="P236" s="88">
        <f t="shared" si="57"/>
        <v>29</v>
      </c>
      <c r="Q236" s="88">
        <f t="shared" si="58"/>
        <v>28</v>
      </c>
      <c r="AA236" s="114"/>
    </row>
    <row r="237" spans="4:27" x14ac:dyDescent="0.2">
      <c r="D237" s="79">
        <f t="shared" si="60"/>
        <v>335</v>
      </c>
      <c r="F237" s="87">
        <f>'[24]table 3.2'!C118</f>
        <v>318</v>
      </c>
      <c r="G237" s="87" t="s">
        <v>336</v>
      </c>
      <c r="H237" s="87">
        <f>'[24]table 3.2'!D118</f>
        <v>154</v>
      </c>
      <c r="I237" s="87">
        <f t="shared" si="56"/>
        <v>164</v>
      </c>
      <c r="P237" s="88">
        <f>SUM(P219:P236)</f>
        <v>2600</v>
      </c>
      <c r="Q237" s="88">
        <f>SUM(Q219:Q236)</f>
        <v>12302</v>
      </c>
      <c r="AA237" s="114"/>
    </row>
    <row r="238" spans="4:27" x14ac:dyDescent="0.2">
      <c r="D238" s="79">
        <f t="shared" si="60"/>
        <v>336</v>
      </c>
      <c r="F238" s="87">
        <f>'[24]table 3.2'!C119</f>
        <v>37</v>
      </c>
      <c r="G238" s="87" t="s">
        <v>336</v>
      </c>
      <c r="H238" s="87">
        <f>'[24]table 3.2'!D119</f>
        <v>17</v>
      </c>
      <c r="I238" s="87">
        <f t="shared" si="56"/>
        <v>20</v>
      </c>
      <c r="AA238" s="114"/>
    </row>
    <row r="239" spans="4:27" x14ac:dyDescent="0.2">
      <c r="D239" s="79">
        <f t="shared" si="60"/>
        <v>337</v>
      </c>
      <c r="F239" s="112">
        <f>'[24]table 3.2'!C120</f>
        <v>57</v>
      </c>
      <c r="G239" s="112" t="s">
        <v>336</v>
      </c>
      <c r="H239" s="112">
        <f>'[24]table 3.2'!D120</f>
        <v>29</v>
      </c>
      <c r="I239" s="87">
        <f t="shared" si="56"/>
        <v>28</v>
      </c>
      <c r="AA239" s="114"/>
    </row>
    <row r="240" spans="4:27" x14ac:dyDescent="0.2">
      <c r="F240" s="88">
        <f>'[24]table 3.2'!C122</f>
        <v>14903</v>
      </c>
      <c r="G240" s="87" t="s">
        <v>336</v>
      </c>
      <c r="H240" s="88">
        <f>'[24]table 3.2'!D121</f>
        <v>2600</v>
      </c>
      <c r="I240" s="88">
        <f>SUM(I219:I239)</f>
        <v>12302</v>
      </c>
      <c r="AA240" s="114"/>
    </row>
    <row r="241" spans="4:43" x14ac:dyDescent="0.2">
      <c r="F241" s="88"/>
      <c r="G241" s="88"/>
      <c r="H241" s="88">
        <f>'[24]table 3.2'!D122</f>
        <v>2600</v>
      </c>
      <c r="I241" s="88"/>
      <c r="AA241" s="114"/>
    </row>
    <row r="242" spans="4:43" x14ac:dyDescent="0.2">
      <c r="F242" s="88"/>
      <c r="G242" s="88"/>
      <c r="H242" s="88"/>
      <c r="I242" s="88"/>
      <c r="AA242" s="114"/>
    </row>
    <row r="243" spans="4:43" x14ac:dyDescent="0.2">
      <c r="F243" s="88"/>
      <c r="G243" s="88"/>
      <c r="H243" s="88"/>
      <c r="I243" s="88"/>
      <c r="AA243" s="114"/>
    </row>
    <row r="244" spans="4:43" x14ac:dyDescent="0.2">
      <c r="F244" s="88"/>
      <c r="G244" s="88"/>
      <c r="H244" s="88"/>
      <c r="I244" s="88"/>
      <c r="AA244" s="114"/>
    </row>
    <row r="245" spans="4:43" x14ac:dyDescent="0.2">
      <c r="AA245" s="114" t="s">
        <v>272</v>
      </c>
      <c r="AD245" s="114" t="s">
        <v>273</v>
      </c>
      <c r="AG245" s="114" t="s">
        <v>274</v>
      </c>
      <c r="AJ245" s="114" t="s">
        <v>275</v>
      </c>
      <c r="AM245" s="114" t="s">
        <v>276</v>
      </c>
      <c r="AP245" s="114" t="s">
        <v>277</v>
      </c>
    </row>
    <row r="246" spans="4:43" x14ac:dyDescent="0.2">
      <c r="AA246" s="79" t="s">
        <v>278</v>
      </c>
      <c r="AB246" s="79" t="s">
        <v>279</v>
      </c>
      <c r="AD246" s="79" t="s">
        <v>278</v>
      </c>
      <c r="AE246" s="79" t="s">
        <v>279</v>
      </c>
      <c r="AJ246" s="79" t="s">
        <v>278</v>
      </c>
      <c r="AK246" s="79" t="s">
        <v>279</v>
      </c>
      <c r="AM246" s="79" t="s">
        <v>278</v>
      </c>
      <c r="AN246" s="79" t="s">
        <v>279</v>
      </c>
      <c r="AP246" s="79" t="s">
        <v>278</v>
      </c>
      <c r="AQ246" s="79" t="s">
        <v>279</v>
      </c>
    </row>
    <row r="247" spans="4:43" ht="13.5" thickBot="1" x14ac:dyDescent="0.25">
      <c r="E247" s="80">
        <v>1985</v>
      </c>
      <c r="F247" s="80">
        <v>1988</v>
      </c>
      <c r="G247" s="80">
        <v>1991</v>
      </c>
      <c r="H247" s="80">
        <v>1994</v>
      </c>
      <c r="I247" s="80">
        <v>1998</v>
      </c>
      <c r="J247" s="80">
        <v>2002</v>
      </c>
      <c r="K247" s="80">
        <v>2006</v>
      </c>
      <c r="L247" s="80">
        <v>2010</v>
      </c>
      <c r="M247" s="80">
        <v>2014</v>
      </c>
      <c r="Z247" s="79">
        <f>F247</f>
        <v>1988</v>
      </c>
      <c r="AA247" s="79">
        <v>1988</v>
      </c>
      <c r="AB247" s="79">
        <f>F247</f>
        <v>1988</v>
      </c>
      <c r="AD247" s="79">
        <v>1991</v>
      </c>
      <c r="AE247" s="79">
        <v>1991</v>
      </c>
      <c r="AG247" s="79">
        <v>1994</v>
      </c>
      <c r="AH247" s="79">
        <v>1994</v>
      </c>
      <c r="AJ247" s="79">
        <v>1998</v>
      </c>
      <c r="AK247" s="79">
        <v>1998</v>
      </c>
      <c r="AM247" s="79">
        <v>2002</v>
      </c>
      <c r="AN247" s="79">
        <v>2002</v>
      </c>
      <c r="AP247" s="79">
        <v>2002</v>
      </c>
      <c r="AQ247" s="79">
        <v>2002</v>
      </c>
    </row>
    <row r="248" spans="4:43" x14ac:dyDescent="0.2">
      <c r="D248" s="79" t="str">
        <f t="shared" ref="D248:D265" si="61">O166</f>
        <v>311-312</v>
      </c>
      <c r="E248" s="90">
        <f t="shared" ref="E248:E265" si="62">S8</f>
        <v>814.40918409036976</v>
      </c>
      <c r="F248" s="90">
        <f t="shared" ref="F248:F265" si="63">S34</f>
        <v>851.12053122624513</v>
      </c>
      <c r="G248" s="90">
        <f t="shared" ref="G248:G265" si="64">S60</f>
        <v>809.67414956814787</v>
      </c>
      <c r="H248" s="90">
        <f t="shared" ref="H248:H265" si="65">S86</f>
        <v>1008.5825527109854</v>
      </c>
      <c r="I248" s="88">
        <f t="shared" ref="I248:I265" si="66">Q114</f>
        <v>914.596452</v>
      </c>
      <c r="J248" s="88">
        <f t="shared" ref="J248:J265" si="67">Q140</f>
        <v>963.55408</v>
      </c>
      <c r="K248" s="88">
        <f t="shared" ref="K248:K265" si="68">Q166</f>
        <v>1014.1992240000001</v>
      </c>
      <c r="L248" s="88">
        <f t="shared" ref="L248:L266" si="69">Q192</f>
        <v>958</v>
      </c>
      <c r="M248" s="88">
        <f>Q219</f>
        <v>929</v>
      </c>
      <c r="Z248" s="79" t="str">
        <f>D248</f>
        <v>311-312</v>
      </c>
      <c r="AA248" s="79">
        <v>832.64244910083971</v>
      </c>
      <c r="AB248" s="79">
        <f t="shared" ref="AB248:AB265" si="70">F248</f>
        <v>851.12053122624513</v>
      </c>
      <c r="AD248" s="79">
        <v>825.06814544225392</v>
      </c>
      <c r="AE248" s="90">
        <f>G248</f>
        <v>809.67414956814787</v>
      </c>
      <c r="AG248" s="79">
        <v>1019.6176246830094</v>
      </c>
      <c r="AH248" s="90">
        <f>H248</f>
        <v>1008.5825527109854</v>
      </c>
      <c r="AJ248" s="79">
        <v>913.99999999999989</v>
      </c>
      <c r="AK248" s="88">
        <f>I248</f>
        <v>914.596452</v>
      </c>
      <c r="AM248" s="79">
        <v>972.00000000000023</v>
      </c>
      <c r="AN248" s="88">
        <f>J248</f>
        <v>963.55408</v>
      </c>
      <c r="AP248" s="79">
        <v>1012.9999999999999</v>
      </c>
      <c r="AQ248" s="88">
        <f t="shared" ref="AQ248:AQ265" si="71">K248</f>
        <v>1014.1992240000001</v>
      </c>
    </row>
    <row r="249" spans="4:43" x14ac:dyDescent="0.2">
      <c r="D249" s="79" t="str">
        <f t="shared" si="61"/>
        <v>313-314</v>
      </c>
      <c r="E249" s="90">
        <f t="shared" si="62"/>
        <v>156.1414043262503</v>
      </c>
      <c r="F249" s="90">
        <f t="shared" si="63"/>
        <v>168.48905994885055</v>
      </c>
      <c r="G249" s="90">
        <f t="shared" si="64"/>
        <v>167.22964134569051</v>
      </c>
      <c r="H249" s="90">
        <f t="shared" si="65"/>
        <v>192.94392268146368</v>
      </c>
      <c r="I249" s="88">
        <f t="shared" si="66"/>
        <v>183.883668</v>
      </c>
      <c r="J249" s="88">
        <f t="shared" si="67"/>
        <v>161.77534800000001</v>
      </c>
      <c r="K249" s="88">
        <f t="shared" si="68"/>
        <v>164.407712</v>
      </c>
      <c r="L249" s="88">
        <f t="shared" si="69"/>
        <v>62</v>
      </c>
      <c r="M249" s="88">
        <f t="shared" ref="M249:M266" si="72">Q220</f>
        <v>72</v>
      </c>
      <c r="Z249" s="79" t="str">
        <f t="shared" ref="Z249:Z265" si="73">D249</f>
        <v>313-314</v>
      </c>
      <c r="AA249" s="79">
        <v>172.9272250155245</v>
      </c>
      <c r="AB249" s="79">
        <f t="shared" si="70"/>
        <v>168.48905994885055</v>
      </c>
      <c r="AD249" s="79">
        <v>172</v>
      </c>
      <c r="AE249" s="90">
        <f t="shared" ref="AE249:AE265" si="74">G249</f>
        <v>167.22964134569051</v>
      </c>
      <c r="AG249" s="79">
        <v>199.00000000000003</v>
      </c>
      <c r="AH249" s="90">
        <f t="shared" ref="AH249:AH265" si="75">H249</f>
        <v>192.94392268146368</v>
      </c>
      <c r="AJ249" s="79">
        <v>163.1132797985552</v>
      </c>
      <c r="AK249" s="88">
        <f t="shared" ref="AK249:AK265" si="76">I249</f>
        <v>183.883668</v>
      </c>
      <c r="AM249" s="79">
        <v>163.00000000000003</v>
      </c>
      <c r="AN249" s="88">
        <f t="shared" ref="AN249:AN265" si="77">J249</f>
        <v>161.77534800000001</v>
      </c>
      <c r="AP249" s="79">
        <v>164.50000000000003</v>
      </c>
      <c r="AQ249" s="88">
        <f t="shared" si="71"/>
        <v>164.407712</v>
      </c>
    </row>
    <row r="250" spans="4:43" x14ac:dyDescent="0.2">
      <c r="D250" s="79" t="str">
        <f t="shared" si="61"/>
        <v>315-316</v>
      </c>
      <c r="E250" s="90">
        <f t="shared" si="62"/>
        <v>27.870927218965459</v>
      </c>
      <c r="F250" s="90">
        <f t="shared" si="63"/>
        <v>46.203934666809843</v>
      </c>
      <c r="G250" s="90">
        <f t="shared" si="64"/>
        <v>36.963147733447869</v>
      </c>
      <c r="H250" s="90">
        <f t="shared" si="65"/>
        <v>39.957336159874167</v>
      </c>
      <c r="I250" s="88">
        <f t="shared" si="66"/>
        <v>35.487055999999995</v>
      </c>
      <c r="J250" s="88">
        <f t="shared" si="67"/>
        <v>22.314752000000002</v>
      </c>
      <c r="K250" s="88">
        <f t="shared" si="68"/>
        <v>8.7224880000000002</v>
      </c>
      <c r="L250" s="88">
        <f t="shared" si="69"/>
        <v>3</v>
      </c>
      <c r="M250" s="88">
        <f t="shared" si="72"/>
        <v>4</v>
      </c>
      <c r="Z250" s="79" t="str">
        <f t="shared" si="73"/>
        <v>315-316</v>
      </c>
      <c r="AA250" s="79">
        <v>42.262922050854527</v>
      </c>
      <c r="AB250" s="79">
        <f t="shared" si="70"/>
        <v>46.203934666809843</v>
      </c>
      <c r="AD250" s="79">
        <v>34.35</v>
      </c>
      <c r="AE250" s="90">
        <f t="shared" si="74"/>
        <v>36.963147733447869</v>
      </c>
      <c r="AG250" s="79">
        <v>43.690100000000008</v>
      </c>
      <c r="AH250" s="90">
        <f t="shared" si="75"/>
        <v>39.957336159874167</v>
      </c>
      <c r="AJ250" s="79">
        <v>37.000000000000014</v>
      </c>
      <c r="AK250" s="88">
        <f t="shared" si="76"/>
        <v>35.487055999999995</v>
      </c>
      <c r="AM250" s="79">
        <v>23.300000000000022</v>
      </c>
      <c r="AN250" s="88">
        <f t="shared" si="77"/>
        <v>22.314752000000002</v>
      </c>
      <c r="AP250" s="79">
        <v>9.9000000000000234</v>
      </c>
      <c r="AQ250" s="88">
        <f t="shared" si="71"/>
        <v>8.7224880000000002</v>
      </c>
    </row>
    <row r="251" spans="4:43" x14ac:dyDescent="0.2">
      <c r="D251" s="79">
        <f t="shared" si="61"/>
        <v>321</v>
      </c>
      <c r="E251" s="90">
        <f t="shared" si="62"/>
        <v>248.79987339144392</v>
      </c>
      <c r="F251" s="90">
        <f t="shared" si="63"/>
        <v>302.60197307912358</v>
      </c>
      <c r="G251" s="90">
        <f t="shared" si="64"/>
        <v>314.83245355703338</v>
      </c>
      <c r="H251" s="90">
        <f t="shared" si="65"/>
        <v>319.45866435321039</v>
      </c>
      <c r="I251" s="88">
        <f t="shared" si="66"/>
        <v>431.76796000000002</v>
      </c>
      <c r="J251" s="88">
        <f t="shared" si="67"/>
        <v>303.39918</v>
      </c>
      <c r="K251" s="88">
        <f t="shared" si="68"/>
        <v>353.821124</v>
      </c>
      <c r="L251" s="88">
        <f t="shared" si="69"/>
        <v>418</v>
      </c>
      <c r="M251" s="88">
        <f t="shared" si="72"/>
        <v>311</v>
      </c>
      <c r="Z251" s="79">
        <f t="shared" si="73"/>
        <v>321</v>
      </c>
      <c r="AA251" s="79">
        <v>350.60134196252159</v>
      </c>
      <c r="AB251" s="79">
        <f t="shared" si="70"/>
        <v>302.60197307912358</v>
      </c>
      <c r="AD251" s="79">
        <v>390</v>
      </c>
      <c r="AE251" s="90">
        <f t="shared" si="74"/>
        <v>314.83245355703338</v>
      </c>
      <c r="AG251" s="79">
        <v>422.27533333333326</v>
      </c>
      <c r="AH251" s="90">
        <f t="shared" si="75"/>
        <v>319.45866435321039</v>
      </c>
      <c r="AJ251" s="79">
        <v>436</v>
      </c>
      <c r="AK251" s="88">
        <f t="shared" si="76"/>
        <v>431.76796000000002</v>
      </c>
      <c r="AM251" s="79">
        <v>305</v>
      </c>
      <c r="AN251" s="88">
        <f t="shared" si="77"/>
        <v>303.39918</v>
      </c>
      <c r="AP251" s="79">
        <v>359.2</v>
      </c>
      <c r="AQ251" s="88">
        <f t="shared" si="71"/>
        <v>353.821124</v>
      </c>
    </row>
    <row r="252" spans="4:43" x14ac:dyDescent="0.2">
      <c r="D252" s="79">
        <f t="shared" si="61"/>
        <v>322</v>
      </c>
      <c r="E252" s="90">
        <f t="shared" si="62"/>
        <v>2017.3632372266716</v>
      </c>
      <c r="F252" s="90">
        <f t="shared" si="63"/>
        <v>2153.9562641132611</v>
      </c>
      <c r="G252" s="90">
        <f t="shared" si="64"/>
        <v>2267.2367478194155</v>
      </c>
      <c r="H252" s="90">
        <f t="shared" si="65"/>
        <v>2406.5414497255788</v>
      </c>
      <c r="I252" s="88">
        <f t="shared" si="66"/>
        <v>2503.918032</v>
      </c>
      <c r="J252" s="88">
        <f t="shared" si="67"/>
        <v>2137.503764</v>
      </c>
      <c r="K252" s="88">
        <f t="shared" si="68"/>
        <v>2106.5685840000001</v>
      </c>
      <c r="L252" s="88">
        <f t="shared" si="69"/>
        <v>1904</v>
      </c>
      <c r="M252" s="88">
        <f t="shared" si="72"/>
        <v>1899</v>
      </c>
      <c r="Z252" s="79">
        <f t="shared" si="73"/>
        <v>322</v>
      </c>
      <c r="AA252" s="79">
        <v>2182.6146710187259</v>
      </c>
      <c r="AB252" s="79">
        <f t="shared" si="70"/>
        <v>2153.9562641132611</v>
      </c>
      <c r="AD252" s="79">
        <v>2295.8260517799358</v>
      </c>
      <c r="AE252" s="90">
        <f t="shared" si="74"/>
        <v>2267.2367478194155</v>
      </c>
      <c r="AG252" s="79">
        <v>2442</v>
      </c>
      <c r="AH252" s="90">
        <f t="shared" si="75"/>
        <v>2406.5414497255788</v>
      </c>
      <c r="AJ252" s="79">
        <v>2506</v>
      </c>
      <c r="AK252" s="88">
        <f t="shared" si="76"/>
        <v>2503.918032</v>
      </c>
      <c r="AM252" s="79">
        <v>2139</v>
      </c>
      <c r="AN252" s="88">
        <f t="shared" si="77"/>
        <v>2137.503764</v>
      </c>
      <c r="AP252" s="79">
        <v>2106</v>
      </c>
      <c r="AQ252" s="88">
        <f t="shared" si="71"/>
        <v>2106.5685840000001</v>
      </c>
    </row>
    <row r="253" spans="4:43" x14ac:dyDescent="0.2">
      <c r="D253" s="79">
        <f t="shared" si="61"/>
        <v>323</v>
      </c>
      <c r="E253" s="90">
        <f t="shared" si="62"/>
        <v>26.699079874753146</v>
      </c>
      <c r="F253" s="90">
        <f t="shared" si="63"/>
        <v>40.089746346787351</v>
      </c>
      <c r="G253" s="90">
        <f t="shared" si="64"/>
        <v>38.576483481067747</v>
      </c>
      <c r="H253" s="90">
        <f t="shared" si="65"/>
        <v>37.113573244007682</v>
      </c>
      <c r="I253" s="88">
        <f t="shared" si="66"/>
        <v>47.004247999999997</v>
      </c>
      <c r="J253" s="88">
        <f t="shared" si="67"/>
        <v>47.795832000000004</v>
      </c>
      <c r="K253" s="88">
        <f t="shared" si="68"/>
        <v>40.374451999999998</v>
      </c>
      <c r="L253" s="88">
        <f t="shared" si="69"/>
        <v>36</v>
      </c>
      <c r="M253" s="88">
        <f t="shared" si="72"/>
        <v>40</v>
      </c>
      <c r="Z253" s="79">
        <f t="shared" si="73"/>
        <v>323</v>
      </c>
      <c r="AA253" s="79">
        <v>57.995021896532847</v>
      </c>
      <c r="AB253" s="79">
        <f t="shared" si="70"/>
        <v>40.089746346787351</v>
      </c>
      <c r="AD253" s="79">
        <v>55.25010000000001</v>
      </c>
      <c r="AE253" s="90">
        <f t="shared" si="74"/>
        <v>38.576483481067747</v>
      </c>
      <c r="AG253" s="79">
        <v>55.473451797996589</v>
      </c>
      <c r="AH253" s="90">
        <f t="shared" si="75"/>
        <v>37.113573244007682</v>
      </c>
      <c r="AJ253" s="79">
        <v>47.749999999999993</v>
      </c>
      <c r="AK253" s="88">
        <f t="shared" si="76"/>
        <v>47.004247999999997</v>
      </c>
      <c r="AM253" s="79">
        <v>48.600000000000009</v>
      </c>
      <c r="AN253" s="88">
        <f t="shared" si="77"/>
        <v>47.795832000000004</v>
      </c>
      <c r="AP253" s="79">
        <v>41.1</v>
      </c>
      <c r="AQ253" s="88">
        <f t="shared" si="71"/>
        <v>40.374451999999998</v>
      </c>
    </row>
    <row r="254" spans="4:43" x14ac:dyDescent="0.2">
      <c r="D254" s="79">
        <f t="shared" si="61"/>
        <v>324</v>
      </c>
      <c r="E254" s="90">
        <f t="shared" si="62"/>
        <v>2519.6333802647096</v>
      </c>
      <c r="F254" s="90">
        <f t="shared" si="63"/>
        <v>3018.3157833208888</v>
      </c>
      <c r="G254" s="90">
        <f t="shared" si="64"/>
        <v>2884.3712617836486</v>
      </c>
      <c r="H254" s="90">
        <f t="shared" si="65"/>
        <v>3144.6947232151383</v>
      </c>
      <c r="I254" s="88">
        <f t="shared" si="66"/>
        <v>3495.5546920000002</v>
      </c>
      <c r="J254" s="88">
        <f t="shared" si="67"/>
        <v>3075.1213680000001</v>
      </c>
      <c r="K254" s="88">
        <f t="shared" si="68"/>
        <v>3259.0627920000002</v>
      </c>
      <c r="L254" s="88">
        <f t="shared" si="69"/>
        <v>3159</v>
      </c>
      <c r="M254" s="88">
        <f t="shared" si="72"/>
        <v>3346</v>
      </c>
      <c r="Z254" s="79">
        <f t="shared" si="73"/>
        <v>324</v>
      </c>
      <c r="AA254" s="79">
        <v>3033.8152666626552</v>
      </c>
      <c r="AB254" s="79">
        <f t="shared" si="70"/>
        <v>3018.3157833208888</v>
      </c>
      <c r="AD254" s="79">
        <v>3068.805433545363</v>
      </c>
      <c r="AE254" s="90">
        <f t="shared" si="74"/>
        <v>2884.3712617836486</v>
      </c>
      <c r="AG254" s="79">
        <v>3150.1787281642669</v>
      </c>
      <c r="AH254" s="90">
        <f t="shared" si="75"/>
        <v>3144.6947232151383</v>
      </c>
      <c r="AJ254" s="79">
        <v>3510.0000000000005</v>
      </c>
      <c r="AK254" s="88">
        <f t="shared" si="76"/>
        <v>3495.5546920000002</v>
      </c>
      <c r="AM254" s="79">
        <v>3044.4</v>
      </c>
      <c r="AN254" s="88">
        <f t="shared" si="77"/>
        <v>3075.1213680000001</v>
      </c>
      <c r="AP254" s="79">
        <v>3294.1839619321863</v>
      </c>
      <c r="AQ254" s="88">
        <f t="shared" si="71"/>
        <v>3259.0627920000002</v>
      </c>
    </row>
    <row r="255" spans="4:43" x14ac:dyDescent="0.2">
      <c r="D255" s="79">
        <f t="shared" si="61"/>
        <v>325</v>
      </c>
      <c r="E255" s="90">
        <f t="shared" si="62"/>
        <v>1982.3306729500532</v>
      </c>
      <c r="F255" s="90">
        <f t="shared" si="63"/>
        <v>2425.2974275342949</v>
      </c>
      <c r="G255" s="90">
        <f t="shared" si="64"/>
        <v>2577.2858974832011</v>
      </c>
      <c r="H255" s="90">
        <f t="shared" si="65"/>
        <v>2729.1714558311169</v>
      </c>
      <c r="I255" s="88">
        <f t="shared" si="66"/>
        <v>3126.5770039999998</v>
      </c>
      <c r="J255" s="88">
        <f t="shared" si="67"/>
        <v>3246.609152</v>
      </c>
      <c r="K255" s="88">
        <f t="shared" si="68"/>
        <v>2677.7578599999997</v>
      </c>
      <c r="L255" s="88">
        <f t="shared" si="69"/>
        <v>2772</v>
      </c>
      <c r="M255" s="88">
        <f t="shared" si="72"/>
        <v>3069</v>
      </c>
      <c r="Z255" s="79">
        <f t="shared" si="73"/>
        <v>325</v>
      </c>
      <c r="AA255" s="79">
        <v>2269.4432942787175</v>
      </c>
      <c r="AB255" s="79">
        <f t="shared" si="70"/>
        <v>2425.2974275342949</v>
      </c>
      <c r="AD255" s="79">
        <v>2502.5291955158073</v>
      </c>
      <c r="AE255" s="90">
        <f t="shared" si="74"/>
        <v>2577.2858974832011</v>
      </c>
      <c r="AG255" s="79">
        <v>2511.0000000000005</v>
      </c>
      <c r="AH255" s="90">
        <f t="shared" si="75"/>
        <v>2729.1714558311169</v>
      </c>
      <c r="AJ255" s="79">
        <v>2824.9999999999995</v>
      </c>
      <c r="AK255" s="88">
        <f t="shared" si="76"/>
        <v>3126.5770039999998</v>
      </c>
      <c r="AM255" s="79">
        <v>2694.63</v>
      </c>
      <c r="AN255" s="88">
        <f t="shared" si="77"/>
        <v>3246.609152</v>
      </c>
      <c r="AP255" s="79">
        <v>2234</v>
      </c>
      <c r="AQ255" s="88">
        <f t="shared" si="71"/>
        <v>2677.7578599999997</v>
      </c>
    </row>
    <row r="256" spans="4:43" x14ac:dyDescent="0.2">
      <c r="D256" s="79">
        <f t="shared" si="61"/>
        <v>326</v>
      </c>
      <c r="E256" s="90">
        <f t="shared" si="62"/>
        <v>128.43055874180072</v>
      </c>
      <c r="F256" s="90">
        <f t="shared" si="63"/>
        <v>150.36582650079393</v>
      </c>
      <c r="G256" s="90">
        <f t="shared" si="64"/>
        <v>125.61488437265322</v>
      </c>
      <c r="H256" s="90">
        <f t="shared" si="65"/>
        <v>141.58522460569185</v>
      </c>
      <c r="I256" s="88">
        <f t="shared" si="66"/>
        <v>144.39999600000002</v>
      </c>
      <c r="J256" s="88">
        <f t="shared" si="67"/>
        <v>166.54642800000002</v>
      </c>
      <c r="K256" s="88">
        <f t="shared" si="68"/>
        <v>153.785552</v>
      </c>
      <c r="L256" s="88">
        <f t="shared" si="69"/>
        <v>116</v>
      </c>
      <c r="M256" s="88">
        <f t="shared" si="72"/>
        <v>104</v>
      </c>
      <c r="Z256" s="79">
        <f t="shared" si="73"/>
        <v>326</v>
      </c>
      <c r="AA256" s="79">
        <v>147.1333302440305</v>
      </c>
      <c r="AB256" s="79">
        <f t="shared" si="70"/>
        <v>150.36582650079393</v>
      </c>
      <c r="AD256" s="79">
        <v>122.99999999999999</v>
      </c>
      <c r="AE256" s="90">
        <f t="shared" si="74"/>
        <v>125.61488437265322</v>
      </c>
      <c r="AG256" s="79">
        <v>138</v>
      </c>
      <c r="AH256" s="90">
        <f t="shared" si="75"/>
        <v>141.58522460569185</v>
      </c>
      <c r="AJ256" s="79">
        <v>145.00000000000003</v>
      </c>
      <c r="AK256" s="88">
        <f t="shared" si="76"/>
        <v>144.39999600000002</v>
      </c>
      <c r="AM256" s="79">
        <v>152.4</v>
      </c>
      <c r="AN256" s="88">
        <f t="shared" si="77"/>
        <v>166.54642800000002</v>
      </c>
      <c r="AP256" s="79">
        <v>150.25000000000003</v>
      </c>
      <c r="AQ256" s="88">
        <f t="shared" si="71"/>
        <v>153.785552</v>
      </c>
    </row>
    <row r="257" spans="4:43" x14ac:dyDescent="0.2">
      <c r="D257" s="79">
        <f t="shared" si="61"/>
        <v>327</v>
      </c>
      <c r="E257" s="90">
        <f t="shared" si="62"/>
        <v>791.01545520082436</v>
      </c>
      <c r="F257" s="90">
        <f t="shared" si="63"/>
        <v>884.64406029384702</v>
      </c>
      <c r="G257" s="90">
        <f t="shared" si="64"/>
        <v>788.81428212035598</v>
      </c>
      <c r="H257" s="90">
        <f t="shared" si="65"/>
        <v>822.05619657793363</v>
      </c>
      <c r="I257" s="88">
        <f t="shared" si="66"/>
        <v>834.98687599999994</v>
      </c>
      <c r="J257" s="88">
        <f t="shared" si="67"/>
        <v>910.76708400000007</v>
      </c>
      <c r="K257" s="88">
        <f t="shared" si="68"/>
        <v>958.36588800000004</v>
      </c>
      <c r="L257" s="88">
        <f t="shared" si="69"/>
        <v>600</v>
      </c>
      <c r="M257" s="88">
        <f t="shared" si="72"/>
        <v>699</v>
      </c>
      <c r="Z257" s="79">
        <f t="shared" si="73"/>
        <v>327</v>
      </c>
      <c r="AA257" s="79">
        <v>850.36157634567508</v>
      </c>
      <c r="AB257" s="79">
        <f t="shared" si="70"/>
        <v>884.64406029384702</v>
      </c>
      <c r="AD257" s="79">
        <v>788.63758389261773</v>
      </c>
      <c r="AE257" s="90">
        <f t="shared" si="74"/>
        <v>788.81428212035598</v>
      </c>
      <c r="AG257" s="79">
        <v>821</v>
      </c>
      <c r="AH257" s="90">
        <f t="shared" si="75"/>
        <v>822.05619657793363</v>
      </c>
      <c r="AJ257" s="79">
        <v>845.00000000000011</v>
      </c>
      <c r="AK257" s="88">
        <f t="shared" si="76"/>
        <v>834.98687599999994</v>
      </c>
      <c r="AM257" s="79">
        <v>917.99999999999989</v>
      </c>
      <c r="AN257" s="88">
        <f t="shared" si="77"/>
        <v>910.76708400000007</v>
      </c>
      <c r="AP257" s="79">
        <v>967</v>
      </c>
      <c r="AQ257" s="88">
        <f t="shared" si="71"/>
        <v>958.36588800000004</v>
      </c>
    </row>
    <row r="258" spans="4:43" x14ac:dyDescent="0.2">
      <c r="D258" s="79">
        <f t="shared" si="61"/>
        <v>331</v>
      </c>
      <c r="E258" s="90">
        <f t="shared" si="62"/>
        <v>1931.5726855408925</v>
      </c>
      <c r="F258" s="90">
        <f t="shared" si="63"/>
        <v>2134.8918237453663</v>
      </c>
      <c r="G258" s="90">
        <f t="shared" si="64"/>
        <v>1811.54797443144</v>
      </c>
      <c r="H258" s="90">
        <f t="shared" si="65"/>
        <v>2096.657607556745</v>
      </c>
      <c r="I258" s="88">
        <f t="shared" si="66"/>
        <v>2031.356088</v>
      </c>
      <c r="J258" s="88">
        <f t="shared" si="67"/>
        <v>1629.9591760000001</v>
      </c>
      <c r="K258" s="88">
        <f t="shared" si="68"/>
        <v>1285.6831</v>
      </c>
      <c r="L258" s="88">
        <f t="shared" si="69"/>
        <v>1255</v>
      </c>
      <c r="M258" s="88">
        <f t="shared" si="72"/>
        <v>1251</v>
      </c>
      <c r="Z258" s="79">
        <f t="shared" si="73"/>
        <v>331</v>
      </c>
      <c r="AA258" s="79">
        <v>2316.543394649877</v>
      </c>
      <c r="AB258" s="79">
        <f t="shared" si="70"/>
        <v>2134.8918237453663</v>
      </c>
      <c r="AD258" s="79">
        <v>1858.7486910994764</v>
      </c>
      <c r="AE258" s="90">
        <f t="shared" si="74"/>
        <v>1811.54797443144</v>
      </c>
      <c r="AG258" s="79">
        <v>2217.9999999999995</v>
      </c>
      <c r="AH258" s="90">
        <f t="shared" si="75"/>
        <v>2096.657607556745</v>
      </c>
      <c r="AJ258" s="79">
        <v>2093</v>
      </c>
      <c r="AK258" s="88">
        <f t="shared" si="76"/>
        <v>2031.356088</v>
      </c>
      <c r="AM258" s="79">
        <v>1583.7875226039782</v>
      </c>
      <c r="AN258" s="88">
        <f t="shared" si="77"/>
        <v>1629.9591760000001</v>
      </c>
      <c r="AP258" s="79">
        <v>1245</v>
      </c>
      <c r="AQ258" s="88">
        <f t="shared" si="71"/>
        <v>1285.6831</v>
      </c>
    </row>
    <row r="259" spans="4:43" x14ac:dyDescent="0.2">
      <c r="D259" s="79">
        <f t="shared" si="61"/>
        <v>332</v>
      </c>
      <c r="E259" s="90">
        <f t="shared" si="62"/>
        <v>218.6220851003327</v>
      </c>
      <c r="F259" s="90">
        <f t="shared" si="63"/>
        <v>251.14969713900282</v>
      </c>
      <c r="G259" s="90">
        <f t="shared" si="64"/>
        <v>217.28105279356296</v>
      </c>
      <c r="H259" s="90">
        <f t="shared" si="65"/>
        <v>263.57968281835372</v>
      </c>
      <c r="I259" s="88">
        <f t="shared" si="66"/>
        <v>265.28541200000001</v>
      </c>
      <c r="J259" s="88">
        <f t="shared" si="67"/>
        <v>226.21632399999999</v>
      </c>
      <c r="K259" s="88">
        <f t="shared" si="68"/>
        <v>253.81542000000002</v>
      </c>
      <c r="L259" s="88">
        <f t="shared" si="69"/>
        <v>174</v>
      </c>
      <c r="M259" s="88">
        <f t="shared" si="72"/>
        <v>201</v>
      </c>
      <c r="Z259" s="79">
        <f t="shared" si="73"/>
        <v>332</v>
      </c>
      <c r="AA259" s="79">
        <v>240.23437500000003</v>
      </c>
      <c r="AB259" s="79">
        <f t="shared" si="70"/>
        <v>251.14969713900282</v>
      </c>
      <c r="AD259" s="79">
        <v>209.02439344262294</v>
      </c>
      <c r="AE259" s="90">
        <f t="shared" si="74"/>
        <v>217.28105279356296</v>
      </c>
      <c r="AG259" s="79">
        <v>242.9004754650787</v>
      </c>
      <c r="AH259" s="90">
        <f t="shared" si="75"/>
        <v>263.57968281835372</v>
      </c>
      <c r="AJ259" s="79">
        <v>269.99999999999994</v>
      </c>
      <c r="AK259" s="88">
        <f t="shared" si="76"/>
        <v>265.28541200000001</v>
      </c>
      <c r="AM259" s="79">
        <v>226.89999999999998</v>
      </c>
      <c r="AN259" s="88">
        <f t="shared" si="77"/>
        <v>226.21632399999999</v>
      </c>
      <c r="AP259" s="79">
        <v>253.1</v>
      </c>
      <c r="AQ259" s="88">
        <f t="shared" si="71"/>
        <v>253.81542000000002</v>
      </c>
    </row>
    <row r="260" spans="4:43" x14ac:dyDescent="0.2">
      <c r="D260" s="79">
        <f t="shared" si="61"/>
        <v>333</v>
      </c>
      <c r="E260" s="90">
        <f t="shared" si="62"/>
        <v>118.55685257512636</v>
      </c>
      <c r="F260" s="90">
        <f t="shared" si="63"/>
        <v>138.88393804304263</v>
      </c>
      <c r="G260" s="90">
        <f t="shared" si="64"/>
        <v>113.47965946591772</v>
      </c>
      <c r="H260" s="90">
        <f t="shared" si="65"/>
        <v>112.92234511482371</v>
      </c>
      <c r="I260" s="88">
        <f t="shared" si="66"/>
        <v>116.85666400000001</v>
      </c>
      <c r="J260" s="88">
        <f t="shared" si="67"/>
        <v>91.191044000000005</v>
      </c>
      <c r="K260" s="88">
        <f t="shared" si="68"/>
        <v>93.471671999999998</v>
      </c>
      <c r="L260" s="88">
        <f t="shared" si="69"/>
        <v>78</v>
      </c>
      <c r="M260" s="88">
        <f t="shared" si="72"/>
        <v>84</v>
      </c>
      <c r="Z260" s="79">
        <f t="shared" si="73"/>
        <v>333</v>
      </c>
      <c r="AA260" s="79">
        <v>164.9545736113979</v>
      </c>
      <c r="AB260" s="79">
        <f t="shared" si="70"/>
        <v>138.88393804304263</v>
      </c>
      <c r="AD260" s="79">
        <v>135</v>
      </c>
      <c r="AE260" s="90">
        <f t="shared" si="74"/>
        <v>113.47965946591772</v>
      </c>
      <c r="AG260" s="79">
        <v>139.56432627059959</v>
      </c>
      <c r="AH260" s="90">
        <f t="shared" si="75"/>
        <v>112.92234511482371</v>
      </c>
      <c r="AJ260" s="79">
        <v>118.99999999999997</v>
      </c>
      <c r="AK260" s="88">
        <f t="shared" si="76"/>
        <v>116.85666400000001</v>
      </c>
      <c r="AM260" s="79">
        <v>93.5</v>
      </c>
      <c r="AN260" s="88">
        <f t="shared" si="77"/>
        <v>91.191044000000005</v>
      </c>
      <c r="AP260" s="79">
        <v>93</v>
      </c>
      <c r="AQ260" s="88">
        <f t="shared" si="71"/>
        <v>93.471671999999998</v>
      </c>
    </row>
    <row r="261" spans="4:43" x14ac:dyDescent="0.2">
      <c r="D261" s="79">
        <f t="shared" si="61"/>
        <v>334</v>
      </c>
      <c r="E261" s="90">
        <f t="shared" si="62"/>
        <v>54.789455724294967</v>
      </c>
      <c r="F261" s="90">
        <f t="shared" si="63"/>
        <v>62.693189717341816</v>
      </c>
      <c r="G261" s="90">
        <f t="shared" si="64"/>
        <v>56.220714404637988</v>
      </c>
      <c r="H261" s="90">
        <f t="shared" si="65"/>
        <v>66.930484972733723</v>
      </c>
      <c r="I261" s="88">
        <f t="shared" si="66"/>
        <v>67.813715999999999</v>
      </c>
      <c r="J261" s="88">
        <f t="shared" si="67"/>
        <v>69.142976000000004</v>
      </c>
      <c r="K261" s="88">
        <f t="shared" si="68"/>
        <v>47.139291999999998</v>
      </c>
      <c r="L261" s="88">
        <f t="shared" si="69"/>
        <v>43</v>
      </c>
      <c r="M261" s="88">
        <f t="shared" si="72"/>
        <v>50</v>
      </c>
      <c r="Z261" s="79">
        <f t="shared" si="73"/>
        <v>334</v>
      </c>
      <c r="AA261" s="79">
        <v>64</v>
      </c>
      <c r="AB261" s="79">
        <f t="shared" si="70"/>
        <v>62.693189717341816</v>
      </c>
      <c r="AD261" s="79">
        <v>57.84</v>
      </c>
      <c r="AE261" s="90">
        <f t="shared" si="74"/>
        <v>56.220714404637988</v>
      </c>
      <c r="AG261" s="79">
        <v>55.453215159488536</v>
      </c>
      <c r="AH261" s="90">
        <f t="shared" si="75"/>
        <v>66.930484972733723</v>
      </c>
      <c r="AJ261" s="79">
        <v>67.5</v>
      </c>
      <c r="AK261" s="88">
        <f t="shared" si="76"/>
        <v>67.813715999999999</v>
      </c>
      <c r="AM261" s="79">
        <v>70.400000000000006</v>
      </c>
      <c r="AN261" s="88">
        <f t="shared" si="77"/>
        <v>69.142976000000004</v>
      </c>
      <c r="AP261" s="79">
        <v>48.7</v>
      </c>
      <c r="AQ261" s="88">
        <f t="shared" si="71"/>
        <v>47.139291999999998</v>
      </c>
    </row>
    <row r="262" spans="4:43" x14ac:dyDescent="0.2">
      <c r="D262" s="79">
        <f t="shared" si="61"/>
        <v>335</v>
      </c>
      <c r="E262" s="90">
        <f t="shared" si="62"/>
        <v>62.919467623803939</v>
      </c>
      <c r="F262" s="90">
        <f t="shared" si="63"/>
        <v>64.55717435203718</v>
      </c>
      <c r="G262" s="90">
        <f t="shared" si="64"/>
        <v>55.611292613491038</v>
      </c>
      <c r="H262" s="90">
        <f t="shared" si="65"/>
        <v>67.848599515192888</v>
      </c>
      <c r="I262" s="88">
        <f t="shared" si="66"/>
        <v>60.671008</v>
      </c>
      <c r="J262" s="88">
        <f t="shared" si="67"/>
        <v>55.569788000000003</v>
      </c>
      <c r="K262" s="88">
        <f t="shared" si="68"/>
        <v>43.097796000000002</v>
      </c>
      <c r="L262" s="88">
        <f t="shared" si="69"/>
        <v>38</v>
      </c>
      <c r="M262" s="88">
        <f t="shared" si="72"/>
        <v>31</v>
      </c>
      <c r="Z262" s="79">
        <f t="shared" si="73"/>
        <v>335</v>
      </c>
      <c r="AA262" s="79">
        <v>113.85067607289831</v>
      </c>
      <c r="AB262" s="79">
        <f t="shared" si="70"/>
        <v>64.55717435203718</v>
      </c>
      <c r="AD262" s="79">
        <v>94.898340868611612</v>
      </c>
      <c r="AE262" s="90">
        <f t="shared" si="74"/>
        <v>55.611292613491038</v>
      </c>
      <c r="AG262" s="79">
        <v>117.59261285048281</v>
      </c>
      <c r="AH262" s="90">
        <f t="shared" si="75"/>
        <v>67.848599515192888</v>
      </c>
      <c r="AJ262" s="79">
        <v>93.031378227033059</v>
      </c>
      <c r="AK262" s="88">
        <f t="shared" si="76"/>
        <v>60.671008</v>
      </c>
      <c r="AM262" s="79">
        <v>101.63336599739804</v>
      </c>
      <c r="AN262" s="88">
        <f t="shared" si="77"/>
        <v>55.569788000000003</v>
      </c>
      <c r="AP262" s="79">
        <v>59.88341438443819</v>
      </c>
      <c r="AQ262" s="88">
        <f t="shared" si="71"/>
        <v>43.097796000000002</v>
      </c>
    </row>
    <row r="263" spans="4:43" x14ac:dyDescent="0.2">
      <c r="D263" s="79">
        <f t="shared" si="61"/>
        <v>336</v>
      </c>
      <c r="E263" s="90">
        <f t="shared" si="62"/>
        <v>234.98001273849101</v>
      </c>
      <c r="F263" s="90">
        <f t="shared" si="63"/>
        <v>254.78050349600764</v>
      </c>
      <c r="G263" s="90">
        <f t="shared" si="64"/>
        <v>244.13057132985355</v>
      </c>
      <c r="H263" s="90">
        <f t="shared" si="65"/>
        <v>260.23443301298028</v>
      </c>
      <c r="I263" s="88">
        <f t="shared" si="66"/>
        <v>292.75512400000002</v>
      </c>
      <c r="J263" s="88">
        <f t="shared" si="67"/>
        <v>251.66670399999998</v>
      </c>
      <c r="K263" s="88">
        <f t="shared" si="68"/>
        <v>283.93937199999999</v>
      </c>
      <c r="L263" s="88">
        <f t="shared" si="69"/>
        <v>143</v>
      </c>
      <c r="M263" s="88">
        <f t="shared" si="72"/>
        <v>164</v>
      </c>
      <c r="Z263" s="79">
        <f t="shared" si="73"/>
        <v>336</v>
      </c>
      <c r="AA263" s="79">
        <v>222.83681208084479</v>
      </c>
      <c r="AB263" s="79">
        <f t="shared" si="70"/>
        <v>254.78050349600764</v>
      </c>
      <c r="AD263" s="79">
        <v>203.97897897897897</v>
      </c>
      <c r="AE263" s="90">
        <f t="shared" si="74"/>
        <v>244.13057132985355</v>
      </c>
      <c r="AG263" s="79">
        <v>231.00000000000006</v>
      </c>
      <c r="AH263" s="90">
        <f t="shared" si="75"/>
        <v>260.23443301298028</v>
      </c>
      <c r="AJ263" s="79">
        <v>297.00000000000006</v>
      </c>
      <c r="AK263" s="88">
        <f t="shared" si="76"/>
        <v>292.75512400000002</v>
      </c>
      <c r="AM263" s="79">
        <v>255.6</v>
      </c>
      <c r="AN263" s="88">
        <f t="shared" si="77"/>
        <v>251.66670399999998</v>
      </c>
      <c r="AP263" s="79">
        <v>282.8</v>
      </c>
      <c r="AQ263" s="88">
        <f t="shared" si="71"/>
        <v>283.93937199999999</v>
      </c>
    </row>
    <row r="264" spans="4:43" x14ac:dyDescent="0.2">
      <c r="D264" s="79">
        <f t="shared" si="61"/>
        <v>337</v>
      </c>
      <c r="E264" s="90">
        <f t="shared" si="62"/>
        <v>37.383822846973821</v>
      </c>
      <c r="F264" s="90">
        <f t="shared" si="63"/>
        <v>48.640156995919362</v>
      </c>
      <c r="G264" s="90">
        <f t="shared" si="64"/>
        <v>55.8843501953478</v>
      </c>
      <c r="H264" s="90">
        <f t="shared" si="65"/>
        <v>47.300771088826892</v>
      </c>
      <c r="I264" s="88">
        <f t="shared" si="66"/>
        <v>58.499848</v>
      </c>
      <c r="J264" s="88">
        <f t="shared" si="67"/>
        <v>38.904455999999996</v>
      </c>
      <c r="K264" s="88">
        <f t="shared" si="68"/>
        <v>28.391231999999999</v>
      </c>
      <c r="L264" s="88">
        <f t="shared" si="69"/>
        <v>19</v>
      </c>
      <c r="M264" s="88">
        <f t="shared" si="72"/>
        <v>20</v>
      </c>
      <c r="Z264" s="79">
        <f t="shared" si="73"/>
        <v>337</v>
      </c>
      <c r="AA264" s="79">
        <v>42.960646735814535</v>
      </c>
      <c r="AB264" s="79">
        <f t="shared" si="70"/>
        <v>48.640156995919362</v>
      </c>
      <c r="AD264" s="79">
        <v>52.000000000000007</v>
      </c>
      <c r="AE264" s="90">
        <f t="shared" si="74"/>
        <v>55.8843501953478</v>
      </c>
      <c r="AG264" s="79">
        <v>47.25</v>
      </c>
      <c r="AH264" s="90">
        <f t="shared" si="75"/>
        <v>47.300771088826892</v>
      </c>
      <c r="AJ264" s="79">
        <v>59.250000000000007</v>
      </c>
      <c r="AK264" s="88">
        <f t="shared" si="76"/>
        <v>58.499848</v>
      </c>
      <c r="AM264" s="79">
        <v>39.70000000000001</v>
      </c>
      <c r="AN264" s="88">
        <f t="shared" si="77"/>
        <v>38.904455999999996</v>
      </c>
      <c r="AP264" s="79">
        <v>27.985139548693589</v>
      </c>
      <c r="AQ264" s="88">
        <f t="shared" si="71"/>
        <v>28.391231999999999</v>
      </c>
    </row>
    <row r="265" spans="4:43" ht="13.5" thickBot="1" x14ac:dyDescent="0.25">
      <c r="D265" s="79">
        <f t="shared" si="61"/>
        <v>339</v>
      </c>
      <c r="E265" s="90">
        <f t="shared" si="62"/>
        <v>33.863505680901589</v>
      </c>
      <c r="F265" s="90">
        <f t="shared" si="63"/>
        <v>45.434393503358493</v>
      </c>
      <c r="G265" s="90">
        <f t="shared" si="64"/>
        <v>34.793804965135031</v>
      </c>
      <c r="H265" s="90">
        <f t="shared" si="65"/>
        <v>48.376910834473634</v>
      </c>
      <c r="I265" s="88">
        <f t="shared" si="66"/>
        <v>47.700868</v>
      </c>
      <c r="J265" s="88">
        <f t="shared" si="67"/>
        <v>35.603912000000001</v>
      </c>
      <c r="K265" s="88">
        <f t="shared" si="68"/>
        <v>32.982075999999999</v>
      </c>
      <c r="L265" s="88">
        <f t="shared" si="69"/>
        <v>17</v>
      </c>
      <c r="M265" s="88">
        <f t="shared" si="72"/>
        <v>28</v>
      </c>
      <c r="Z265" s="80">
        <f t="shared" si="73"/>
        <v>339</v>
      </c>
      <c r="AA265" s="80">
        <v>27</v>
      </c>
      <c r="AB265" s="80">
        <f t="shared" si="70"/>
        <v>45.434393503358493</v>
      </c>
      <c r="AD265" s="79">
        <v>19.820322580645165</v>
      </c>
      <c r="AE265" s="90">
        <f t="shared" si="74"/>
        <v>34.793804965135031</v>
      </c>
      <c r="AG265" s="79">
        <v>24.71</v>
      </c>
      <c r="AH265" s="90">
        <f t="shared" si="75"/>
        <v>48.376910834473634</v>
      </c>
      <c r="AJ265" s="79">
        <v>48.250000000000007</v>
      </c>
      <c r="AK265" s="88">
        <f t="shared" si="76"/>
        <v>47.700868</v>
      </c>
      <c r="AM265" s="79">
        <v>36.500000000000014</v>
      </c>
      <c r="AN265" s="88">
        <f t="shared" si="77"/>
        <v>35.603912000000001</v>
      </c>
      <c r="AP265" s="79">
        <v>32.6</v>
      </c>
      <c r="AQ265" s="88">
        <f t="shared" si="71"/>
        <v>32.982075999999999</v>
      </c>
    </row>
    <row r="266" spans="4:43" x14ac:dyDescent="0.2">
      <c r="E266" s="90">
        <f t="shared" ref="E266:K266" si="78">SUM(E248:E265)</f>
        <v>11405.381661116657</v>
      </c>
      <c r="F266" s="90">
        <f t="shared" si="78"/>
        <v>13042.115484022981</v>
      </c>
      <c r="G266" s="90">
        <f t="shared" si="78"/>
        <v>12599.548369464048</v>
      </c>
      <c r="H266" s="90">
        <f t="shared" si="78"/>
        <v>13805.955934019132</v>
      </c>
      <c r="I266" s="90">
        <f t="shared" si="78"/>
        <v>14659.114711999997</v>
      </c>
      <c r="J266" s="90">
        <f t="shared" si="78"/>
        <v>13433.641368000002</v>
      </c>
      <c r="K266" s="90">
        <f t="shared" si="78"/>
        <v>12805.585636000002</v>
      </c>
      <c r="L266" s="90">
        <f t="shared" si="69"/>
        <v>11795</v>
      </c>
      <c r="M266" s="88">
        <f t="shared" si="72"/>
        <v>12302</v>
      </c>
    </row>
    <row r="272" spans="4:43" x14ac:dyDescent="0.2">
      <c r="E272" s="79">
        <f t="shared" ref="E272:L272" si="79">E247</f>
        <v>1985</v>
      </c>
      <c r="F272" s="79">
        <f t="shared" si="79"/>
        <v>1988</v>
      </c>
      <c r="G272" s="79">
        <f t="shared" si="79"/>
        <v>1991</v>
      </c>
      <c r="H272" s="79">
        <f t="shared" si="79"/>
        <v>1994</v>
      </c>
      <c r="I272" s="79">
        <f t="shared" si="79"/>
        <v>1998</v>
      </c>
      <c r="J272" s="79">
        <f t="shared" si="79"/>
        <v>2002</v>
      </c>
      <c r="K272" s="79">
        <f t="shared" si="79"/>
        <v>2006</v>
      </c>
      <c r="L272" s="79">
        <f t="shared" si="79"/>
        <v>2010</v>
      </c>
      <c r="M272" s="79">
        <f t="shared" ref="M272" si="80">M247</f>
        <v>2014</v>
      </c>
    </row>
    <row r="273" spans="4:13" x14ac:dyDescent="0.2">
      <c r="D273" s="79">
        <f>D252</f>
        <v>322</v>
      </c>
      <c r="E273" s="90">
        <f t="shared" ref="E273:L276" si="81">E252</f>
        <v>2017.3632372266716</v>
      </c>
      <c r="F273" s="90">
        <f t="shared" si="81"/>
        <v>2153.9562641132611</v>
      </c>
      <c r="G273" s="90">
        <f t="shared" si="81"/>
        <v>2267.2367478194155</v>
      </c>
      <c r="H273" s="90">
        <f t="shared" si="81"/>
        <v>2406.5414497255788</v>
      </c>
      <c r="I273" s="90">
        <f t="shared" si="81"/>
        <v>2503.918032</v>
      </c>
      <c r="J273" s="90">
        <f t="shared" si="81"/>
        <v>2137.503764</v>
      </c>
      <c r="K273" s="90">
        <f t="shared" si="81"/>
        <v>2106.5685840000001</v>
      </c>
      <c r="L273" s="90">
        <f t="shared" si="81"/>
        <v>1904</v>
      </c>
      <c r="M273" s="90">
        <f t="shared" ref="M273" si="82">M252</f>
        <v>1899</v>
      </c>
    </row>
    <row r="274" spans="4:13" x14ac:dyDescent="0.2">
      <c r="D274" s="79">
        <f t="shared" ref="D274:J276" si="83">D253</f>
        <v>323</v>
      </c>
      <c r="E274" s="90">
        <f t="shared" si="83"/>
        <v>26.699079874753146</v>
      </c>
      <c r="F274" s="90">
        <f t="shared" si="83"/>
        <v>40.089746346787351</v>
      </c>
      <c r="G274" s="90">
        <f t="shared" si="83"/>
        <v>38.576483481067747</v>
      </c>
      <c r="H274" s="90">
        <f t="shared" si="83"/>
        <v>37.113573244007682</v>
      </c>
      <c r="I274" s="90">
        <f t="shared" si="83"/>
        <v>47.004247999999997</v>
      </c>
      <c r="J274" s="90">
        <f t="shared" si="83"/>
        <v>47.795832000000004</v>
      </c>
      <c r="K274" s="90">
        <f t="shared" si="81"/>
        <v>40.374451999999998</v>
      </c>
      <c r="L274" s="90">
        <f t="shared" si="81"/>
        <v>36</v>
      </c>
      <c r="M274" s="90">
        <f t="shared" ref="M274" si="84">M253</f>
        <v>40</v>
      </c>
    </row>
    <row r="275" spans="4:13" x14ac:dyDescent="0.2">
      <c r="D275" s="79">
        <f t="shared" si="83"/>
        <v>324</v>
      </c>
      <c r="E275" s="90">
        <f t="shared" si="83"/>
        <v>2519.6333802647096</v>
      </c>
      <c r="F275" s="90">
        <f t="shared" si="83"/>
        <v>3018.3157833208888</v>
      </c>
      <c r="G275" s="90">
        <f t="shared" si="83"/>
        <v>2884.3712617836486</v>
      </c>
      <c r="H275" s="90">
        <f t="shared" si="83"/>
        <v>3144.6947232151383</v>
      </c>
      <c r="I275" s="90">
        <f t="shared" si="83"/>
        <v>3495.5546920000002</v>
      </c>
      <c r="J275" s="90">
        <f t="shared" si="83"/>
        <v>3075.1213680000001</v>
      </c>
      <c r="K275" s="90">
        <f t="shared" si="81"/>
        <v>3259.0627920000002</v>
      </c>
      <c r="L275" s="90">
        <f t="shared" si="81"/>
        <v>3159</v>
      </c>
      <c r="M275" s="90">
        <f t="shared" ref="M275" si="85">M254</f>
        <v>3346</v>
      </c>
    </row>
    <row r="276" spans="4:13" x14ac:dyDescent="0.2">
      <c r="D276" s="79">
        <f t="shared" si="83"/>
        <v>325</v>
      </c>
      <c r="E276" s="90">
        <f t="shared" si="83"/>
        <v>1982.3306729500532</v>
      </c>
      <c r="F276" s="90">
        <f t="shared" si="83"/>
        <v>2425.2974275342949</v>
      </c>
      <c r="G276" s="90">
        <f t="shared" si="83"/>
        <v>2577.2858974832011</v>
      </c>
      <c r="H276" s="90">
        <f t="shared" si="83"/>
        <v>2729.1714558311169</v>
      </c>
      <c r="I276" s="90">
        <f t="shared" si="83"/>
        <v>3126.5770039999998</v>
      </c>
      <c r="J276" s="90">
        <f t="shared" si="83"/>
        <v>3246.609152</v>
      </c>
      <c r="K276" s="90">
        <f t="shared" si="81"/>
        <v>2677.7578599999997</v>
      </c>
      <c r="L276" s="90">
        <f t="shared" si="81"/>
        <v>2772</v>
      </c>
      <c r="M276" s="90">
        <f t="shared" ref="M276" si="86">M255</f>
        <v>3069</v>
      </c>
    </row>
    <row r="287" spans="4:13" x14ac:dyDescent="0.2">
      <c r="E287" s="90"/>
      <c r="F287" s="90"/>
      <c r="G287" s="90"/>
      <c r="H287" s="90"/>
      <c r="I287" s="90"/>
      <c r="J287" s="90"/>
      <c r="K287" s="90"/>
      <c r="L287" s="90"/>
      <c r="M287" s="90"/>
    </row>
    <row r="288" spans="4:13" x14ac:dyDescent="0.2">
      <c r="E288" s="90"/>
      <c r="F288" s="90"/>
      <c r="G288" s="90"/>
      <c r="H288" s="90"/>
      <c r="I288" s="90"/>
      <c r="J288" s="90"/>
      <c r="K288" s="90"/>
      <c r="L288" s="90"/>
      <c r="M288" s="90"/>
    </row>
    <row r="289" spans="4:13" x14ac:dyDescent="0.2">
      <c r="E289" s="90"/>
      <c r="F289" s="90"/>
      <c r="G289" s="90"/>
      <c r="H289" s="90"/>
      <c r="I289" s="90"/>
      <c r="J289" s="90"/>
      <c r="K289" s="90"/>
      <c r="L289" s="90"/>
      <c r="M289" s="90"/>
    </row>
    <row r="290" spans="4:13" x14ac:dyDescent="0.2">
      <c r="E290" s="90"/>
      <c r="F290" s="90"/>
      <c r="G290" s="90"/>
      <c r="H290" s="90"/>
      <c r="I290" s="90"/>
      <c r="J290" s="90"/>
      <c r="K290" s="90"/>
      <c r="L290" s="90"/>
      <c r="M290" s="90"/>
    </row>
    <row r="291" spans="4:13" x14ac:dyDescent="0.2">
      <c r="E291" s="90"/>
      <c r="F291" s="90"/>
      <c r="G291" s="90"/>
      <c r="H291" s="90"/>
      <c r="I291" s="90"/>
      <c r="J291" s="90"/>
      <c r="K291" s="90"/>
      <c r="L291" s="90"/>
      <c r="M291" s="90"/>
    </row>
    <row r="292" spans="4:13" x14ac:dyDescent="0.2">
      <c r="E292" s="90"/>
      <c r="F292" s="90"/>
      <c r="G292" s="90"/>
      <c r="H292" s="90"/>
      <c r="I292" s="90"/>
      <c r="J292" s="90"/>
      <c r="K292" s="90"/>
      <c r="L292" s="90"/>
      <c r="M292" s="90"/>
    </row>
    <row r="297" spans="4:13" x14ac:dyDescent="0.2">
      <c r="E297" s="79">
        <f t="shared" ref="E297:L297" si="87">E247</f>
        <v>1985</v>
      </c>
      <c r="F297" s="79">
        <f t="shared" si="87"/>
        <v>1988</v>
      </c>
      <c r="G297" s="79">
        <f t="shared" si="87"/>
        <v>1991</v>
      </c>
      <c r="H297" s="79">
        <f t="shared" si="87"/>
        <v>1994</v>
      </c>
      <c r="I297" s="79">
        <f t="shared" si="87"/>
        <v>1998</v>
      </c>
      <c r="J297" s="79">
        <f t="shared" si="87"/>
        <v>2002</v>
      </c>
      <c r="K297" s="79">
        <f t="shared" si="87"/>
        <v>2006</v>
      </c>
      <c r="L297" s="79">
        <f t="shared" si="87"/>
        <v>2010</v>
      </c>
      <c r="M297" s="79">
        <f t="shared" ref="M297" si="88">M247</f>
        <v>2014</v>
      </c>
    </row>
    <row r="298" spans="4:13" x14ac:dyDescent="0.2">
      <c r="D298" s="79">
        <f t="shared" ref="D298:L301" si="89">D256</f>
        <v>326</v>
      </c>
      <c r="E298" s="90">
        <f t="shared" si="89"/>
        <v>128.43055874180072</v>
      </c>
      <c r="F298" s="90">
        <f t="shared" si="89"/>
        <v>150.36582650079393</v>
      </c>
      <c r="G298" s="90">
        <f t="shared" si="89"/>
        <v>125.61488437265322</v>
      </c>
      <c r="H298" s="90">
        <f t="shared" si="89"/>
        <v>141.58522460569185</v>
      </c>
      <c r="I298" s="90">
        <f t="shared" si="89"/>
        <v>144.39999600000002</v>
      </c>
      <c r="J298" s="90">
        <f t="shared" si="89"/>
        <v>166.54642800000002</v>
      </c>
      <c r="K298" s="90">
        <f t="shared" si="89"/>
        <v>153.785552</v>
      </c>
      <c r="L298" s="90">
        <f t="shared" si="89"/>
        <v>116</v>
      </c>
      <c r="M298" s="90">
        <f t="shared" ref="M298" si="90">M256</f>
        <v>104</v>
      </c>
    </row>
    <row r="299" spans="4:13" x14ac:dyDescent="0.2">
      <c r="D299" s="79">
        <f t="shared" si="89"/>
        <v>327</v>
      </c>
      <c r="E299" s="90">
        <f t="shared" si="89"/>
        <v>791.01545520082436</v>
      </c>
      <c r="F299" s="90">
        <f t="shared" si="89"/>
        <v>884.64406029384702</v>
      </c>
      <c r="G299" s="90">
        <f t="shared" si="89"/>
        <v>788.81428212035598</v>
      </c>
      <c r="H299" s="90">
        <f t="shared" si="89"/>
        <v>822.05619657793363</v>
      </c>
      <c r="I299" s="90">
        <f t="shared" si="89"/>
        <v>834.98687599999994</v>
      </c>
      <c r="J299" s="90">
        <f t="shared" si="89"/>
        <v>910.76708400000007</v>
      </c>
      <c r="K299" s="90">
        <f t="shared" si="89"/>
        <v>958.36588800000004</v>
      </c>
      <c r="L299" s="90">
        <f t="shared" si="89"/>
        <v>600</v>
      </c>
      <c r="M299" s="90">
        <f t="shared" ref="M299" si="91">M257</f>
        <v>699</v>
      </c>
    </row>
    <row r="300" spans="4:13" x14ac:dyDescent="0.2">
      <c r="D300" s="79">
        <f t="shared" si="89"/>
        <v>331</v>
      </c>
      <c r="E300" s="90">
        <f t="shared" si="89"/>
        <v>1931.5726855408925</v>
      </c>
      <c r="F300" s="90">
        <f t="shared" si="89"/>
        <v>2134.8918237453663</v>
      </c>
      <c r="G300" s="90">
        <f t="shared" si="89"/>
        <v>1811.54797443144</v>
      </c>
      <c r="H300" s="90">
        <f t="shared" si="89"/>
        <v>2096.657607556745</v>
      </c>
      <c r="I300" s="90">
        <f t="shared" si="89"/>
        <v>2031.356088</v>
      </c>
      <c r="J300" s="90">
        <f t="shared" si="89"/>
        <v>1629.9591760000001</v>
      </c>
      <c r="K300" s="90">
        <f t="shared" si="89"/>
        <v>1285.6831</v>
      </c>
      <c r="L300" s="90">
        <f t="shared" si="89"/>
        <v>1255</v>
      </c>
      <c r="M300" s="90">
        <f t="shared" ref="M300" si="92">M258</f>
        <v>1251</v>
      </c>
    </row>
    <row r="301" spans="4:13" x14ac:dyDescent="0.2">
      <c r="D301" s="79">
        <f t="shared" si="89"/>
        <v>332</v>
      </c>
      <c r="E301" s="90">
        <f t="shared" si="89"/>
        <v>218.6220851003327</v>
      </c>
      <c r="F301" s="90">
        <f t="shared" si="89"/>
        <v>251.14969713900282</v>
      </c>
      <c r="G301" s="90">
        <f t="shared" si="89"/>
        <v>217.28105279356296</v>
      </c>
      <c r="H301" s="90">
        <f t="shared" si="89"/>
        <v>263.57968281835372</v>
      </c>
      <c r="I301" s="90">
        <f t="shared" si="89"/>
        <v>265.28541200000001</v>
      </c>
      <c r="J301" s="90">
        <f t="shared" si="89"/>
        <v>226.21632399999999</v>
      </c>
      <c r="K301" s="90">
        <f t="shared" si="89"/>
        <v>253.81542000000002</v>
      </c>
      <c r="L301" s="90">
        <f t="shared" si="89"/>
        <v>174</v>
      </c>
      <c r="M301" s="90">
        <f t="shared" ref="M301" si="93">M259</f>
        <v>201</v>
      </c>
    </row>
    <row r="322" spans="4:13" x14ac:dyDescent="0.2">
      <c r="E322" s="79">
        <f t="shared" ref="E322:L322" si="94">E247</f>
        <v>1985</v>
      </c>
      <c r="F322" s="79">
        <f t="shared" si="94"/>
        <v>1988</v>
      </c>
      <c r="G322" s="79">
        <f t="shared" si="94"/>
        <v>1991</v>
      </c>
      <c r="H322" s="79">
        <f t="shared" si="94"/>
        <v>1994</v>
      </c>
      <c r="I322" s="79">
        <f t="shared" si="94"/>
        <v>1998</v>
      </c>
      <c r="J322" s="79">
        <f t="shared" si="94"/>
        <v>2002</v>
      </c>
      <c r="K322" s="79">
        <f t="shared" si="94"/>
        <v>2006</v>
      </c>
      <c r="L322" s="79">
        <f t="shared" si="94"/>
        <v>2010</v>
      </c>
      <c r="M322" s="79">
        <f t="shared" ref="M322" si="95">M247</f>
        <v>2014</v>
      </c>
    </row>
    <row r="323" spans="4:13" x14ac:dyDescent="0.2">
      <c r="D323" s="79">
        <f t="shared" ref="D323:L326" si="96">D260</f>
        <v>333</v>
      </c>
      <c r="E323" s="90">
        <f t="shared" si="96"/>
        <v>118.55685257512636</v>
      </c>
      <c r="F323" s="90">
        <f t="shared" si="96"/>
        <v>138.88393804304263</v>
      </c>
      <c r="G323" s="90">
        <f t="shared" si="96"/>
        <v>113.47965946591772</v>
      </c>
      <c r="H323" s="90">
        <f t="shared" si="96"/>
        <v>112.92234511482371</v>
      </c>
      <c r="I323" s="90">
        <f t="shared" si="96"/>
        <v>116.85666400000001</v>
      </c>
      <c r="J323" s="90">
        <f t="shared" si="96"/>
        <v>91.191044000000005</v>
      </c>
      <c r="K323" s="90">
        <f t="shared" si="96"/>
        <v>93.471671999999998</v>
      </c>
      <c r="L323" s="90">
        <f t="shared" si="96"/>
        <v>78</v>
      </c>
      <c r="M323" s="90">
        <f t="shared" ref="M323" si="97">M260</f>
        <v>84</v>
      </c>
    </row>
    <row r="324" spans="4:13" x14ac:dyDescent="0.2">
      <c r="D324" s="79">
        <f t="shared" si="96"/>
        <v>334</v>
      </c>
      <c r="E324" s="90">
        <f t="shared" si="96"/>
        <v>54.789455724294967</v>
      </c>
      <c r="F324" s="90">
        <f t="shared" si="96"/>
        <v>62.693189717341816</v>
      </c>
      <c r="G324" s="90">
        <f t="shared" si="96"/>
        <v>56.220714404637988</v>
      </c>
      <c r="H324" s="90">
        <f t="shared" si="96"/>
        <v>66.930484972733723</v>
      </c>
      <c r="I324" s="90">
        <f t="shared" si="96"/>
        <v>67.813715999999999</v>
      </c>
      <c r="J324" s="90">
        <f t="shared" si="96"/>
        <v>69.142976000000004</v>
      </c>
      <c r="K324" s="90">
        <f t="shared" si="96"/>
        <v>47.139291999999998</v>
      </c>
      <c r="L324" s="90">
        <f t="shared" si="96"/>
        <v>43</v>
      </c>
      <c r="M324" s="90">
        <f t="shared" ref="M324" si="98">M261</f>
        <v>50</v>
      </c>
    </row>
    <row r="325" spans="4:13" x14ac:dyDescent="0.2">
      <c r="D325" s="79">
        <f t="shared" si="96"/>
        <v>335</v>
      </c>
      <c r="E325" s="90">
        <f t="shared" si="96"/>
        <v>62.919467623803939</v>
      </c>
      <c r="F325" s="90">
        <f t="shared" si="96"/>
        <v>64.55717435203718</v>
      </c>
      <c r="G325" s="90">
        <f t="shared" si="96"/>
        <v>55.611292613491038</v>
      </c>
      <c r="H325" s="90">
        <f t="shared" si="96"/>
        <v>67.848599515192888</v>
      </c>
      <c r="I325" s="90">
        <f t="shared" si="96"/>
        <v>60.671008</v>
      </c>
      <c r="J325" s="90">
        <f t="shared" si="96"/>
        <v>55.569788000000003</v>
      </c>
      <c r="K325" s="90">
        <f t="shared" si="96"/>
        <v>43.097796000000002</v>
      </c>
      <c r="L325" s="90">
        <f t="shared" si="96"/>
        <v>38</v>
      </c>
      <c r="M325" s="90">
        <f t="shared" ref="M325" si="99">M262</f>
        <v>31</v>
      </c>
    </row>
    <row r="326" spans="4:13" x14ac:dyDescent="0.2">
      <c r="D326" s="79">
        <f t="shared" si="96"/>
        <v>336</v>
      </c>
      <c r="E326" s="90">
        <f t="shared" si="96"/>
        <v>234.98001273849101</v>
      </c>
      <c r="F326" s="90">
        <f t="shared" si="96"/>
        <v>254.78050349600764</v>
      </c>
      <c r="G326" s="90">
        <f t="shared" si="96"/>
        <v>244.13057132985355</v>
      </c>
      <c r="H326" s="90">
        <f t="shared" si="96"/>
        <v>260.23443301298028</v>
      </c>
      <c r="I326" s="90">
        <f t="shared" si="96"/>
        <v>292.75512400000002</v>
      </c>
      <c r="J326" s="90">
        <f t="shared" si="96"/>
        <v>251.66670399999998</v>
      </c>
      <c r="K326" s="90">
        <f t="shared" si="96"/>
        <v>283.93937199999999</v>
      </c>
      <c r="L326" s="90">
        <f t="shared" si="96"/>
        <v>143</v>
      </c>
      <c r="M326" s="90">
        <f t="shared" ref="M326" si="100">M263</f>
        <v>164</v>
      </c>
    </row>
    <row r="346" spans="4:13" x14ac:dyDescent="0.2">
      <c r="E346" s="79">
        <f t="shared" ref="E346:L346" si="101">E247</f>
        <v>1985</v>
      </c>
      <c r="F346" s="79">
        <f t="shared" si="101"/>
        <v>1988</v>
      </c>
      <c r="G346" s="79">
        <f t="shared" si="101"/>
        <v>1991</v>
      </c>
      <c r="H346" s="79">
        <f t="shared" si="101"/>
        <v>1994</v>
      </c>
      <c r="I346" s="79">
        <f t="shared" si="101"/>
        <v>1998</v>
      </c>
      <c r="J346" s="79">
        <f t="shared" si="101"/>
        <v>2002</v>
      </c>
      <c r="K346" s="79">
        <f t="shared" si="101"/>
        <v>2006</v>
      </c>
      <c r="L346" s="79">
        <f t="shared" si="101"/>
        <v>2010</v>
      </c>
      <c r="M346" s="79">
        <f t="shared" ref="M346" si="102">M247</f>
        <v>2014</v>
      </c>
    </row>
    <row r="347" spans="4:13" x14ac:dyDescent="0.2">
      <c r="D347" s="79">
        <f t="shared" ref="D347:J348" si="103">D264</f>
        <v>337</v>
      </c>
      <c r="E347" s="90">
        <f t="shared" si="103"/>
        <v>37.383822846973821</v>
      </c>
      <c r="F347" s="90">
        <f t="shared" si="103"/>
        <v>48.640156995919362</v>
      </c>
      <c r="G347" s="90">
        <f t="shared" si="103"/>
        <v>55.8843501953478</v>
      </c>
      <c r="H347" s="90">
        <f t="shared" si="103"/>
        <v>47.300771088826892</v>
      </c>
      <c r="I347" s="90">
        <f t="shared" si="103"/>
        <v>58.499848</v>
      </c>
      <c r="J347" s="90">
        <f t="shared" si="103"/>
        <v>38.904455999999996</v>
      </c>
      <c r="K347" s="90">
        <f t="shared" ref="K347:M348" si="104">K264</f>
        <v>28.391231999999999</v>
      </c>
      <c r="L347" s="90">
        <f t="shared" si="104"/>
        <v>19</v>
      </c>
      <c r="M347" s="90">
        <f t="shared" si="104"/>
        <v>20</v>
      </c>
    </row>
    <row r="348" spans="4:13" x14ac:dyDescent="0.2">
      <c r="D348" s="79">
        <f t="shared" si="103"/>
        <v>339</v>
      </c>
      <c r="E348" s="90">
        <f t="shared" si="103"/>
        <v>33.863505680901589</v>
      </c>
      <c r="F348" s="90">
        <f t="shared" si="103"/>
        <v>45.434393503358493</v>
      </c>
      <c r="G348" s="90">
        <f t="shared" si="103"/>
        <v>34.793804965135031</v>
      </c>
      <c r="H348" s="90">
        <f t="shared" si="103"/>
        <v>48.376910834473634</v>
      </c>
      <c r="I348" s="90">
        <f t="shared" si="103"/>
        <v>47.700868</v>
      </c>
      <c r="J348" s="90">
        <f t="shared" si="103"/>
        <v>35.603912000000001</v>
      </c>
      <c r="K348" s="90">
        <f t="shared" si="104"/>
        <v>32.982075999999999</v>
      </c>
      <c r="L348" s="90">
        <f t="shared" si="104"/>
        <v>17</v>
      </c>
      <c r="M348" s="90">
        <f t="shared" si="104"/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M216"/>
  <sheetViews>
    <sheetView topLeftCell="A83" workbookViewId="0">
      <selection activeCell="B96" sqref="B96"/>
    </sheetView>
  </sheetViews>
  <sheetFormatPr defaultRowHeight="12.75" x14ac:dyDescent="0.2"/>
  <cols>
    <col min="2" max="2" width="40" customWidth="1"/>
    <col min="3" max="3" width="11.28515625" customWidth="1"/>
  </cols>
  <sheetData>
    <row r="8" spans="1:11" x14ac:dyDescent="0.2">
      <c r="C8" t="s">
        <v>169</v>
      </c>
    </row>
    <row r="9" spans="1:11" x14ac:dyDescent="0.2">
      <c r="B9" s="33" t="s">
        <v>102</v>
      </c>
    </row>
    <row r="10" spans="1:11" x14ac:dyDescent="0.2">
      <c r="C10">
        <v>1985</v>
      </c>
      <c r="D10">
        <v>1988</v>
      </c>
      <c r="E10">
        <v>1991</v>
      </c>
      <c r="F10">
        <v>1994</v>
      </c>
      <c r="G10">
        <v>1998</v>
      </c>
      <c r="H10">
        <v>2002</v>
      </c>
      <c r="I10">
        <v>2006</v>
      </c>
      <c r="J10">
        <v>2010</v>
      </c>
      <c r="K10">
        <v>2014</v>
      </c>
    </row>
    <row r="11" spans="1:11" x14ac:dyDescent="0.2">
      <c r="A11" t="s">
        <v>10</v>
      </c>
      <c r="B11" t="s">
        <v>11</v>
      </c>
      <c r="C11">
        <v>4.21</v>
      </c>
      <c r="D11">
        <v>2.91</v>
      </c>
      <c r="E11">
        <v>2.6970000000000001</v>
      </c>
      <c r="F11">
        <v>2.85</v>
      </c>
      <c r="G11" s="5">
        <f>MECS_data!U5</f>
        <v>2.95</v>
      </c>
      <c r="H11" s="4">
        <f>MECS_data!U32</f>
        <v>4.38</v>
      </c>
      <c r="I11" s="4">
        <f>MECS_data!U62</f>
        <v>7.54</v>
      </c>
      <c r="J11" s="4">
        <f>MECS_data!U90</f>
        <v>5.85</v>
      </c>
      <c r="K11" s="4">
        <f>MECS_data!U118</f>
        <v>5.48</v>
      </c>
    </row>
    <row r="12" spans="1:11" x14ac:dyDescent="0.2">
      <c r="A12" t="s">
        <v>12</v>
      </c>
      <c r="B12" t="s">
        <v>13</v>
      </c>
      <c r="C12" s="76">
        <f>0.3*4.61+0.7*C11</f>
        <v>4.33</v>
      </c>
      <c r="D12" s="76">
        <f t="shared" ref="D12:F12" si="0">0.3*4.61+0.7*D11</f>
        <v>3.42</v>
      </c>
      <c r="E12" s="76">
        <f t="shared" si="0"/>
        <v>3.2709000000000001</v>
      </c>
      <c r="F12" s="76">
        <f t="shared" si="0"/>
        <v>3.3780000000000001</v>
      </c>
      <c r="G12" s="5">
        <f>MECS_data!U6</f>
        <v>3.22</v>
      </c>
      <c r="H12" s="4">
        <f>MECS_data!U33</f>
        <v>4.3899999999999997</v>
      </c>
      <c r="I12" s="4">
        <f>MECS_data!U63</f>
        <v>9.24</v>
      </c>
      <c r="J12" s="4">
        <f>MECS_data!U91</f>
        <v>6.48</v>
      </c>
      <c r="K12" s="4">
        <f>MECS_data!U119</f>
        <v>5.35</v>
      </c>
    </row>
    <row r="13" spans="1:11" x14ac:dyDescent="0.2">
      <c r="A13" t="s">
        <v>14</v>
      </c>
      <c r="B13" t="s">
        <v>15</v>
      </c>
      <c r="C13">
        <v>4.54</v>
      </c>
      <c r="D13">
        <v>3.4</v>
      </c>
      <c r="E13">
        <v>3.3170000000000002</v>
      </c>
      <c r="F13">
        <v>3.46</v>
      </c>
      <c r="G13" s="5">
        <f>MECS_data!U7</f>
        <v>3.33</v>
      </c>
      <c r="H13" s="4">
        <f>MECS_data!U34</f>
        <v>4.6100000000000003</v>
      </c>
      <c r="I13" s="4">
        <f>MECS_data!U64</f>
        <v>8.7799999999999994</v>
      </c>
      <c r="J13" s="4">
        <f>MECS_data!U92</f>
        <v>6.95</v>
      </c>
      <c r="K13" s="4">
        <f>MECS_data!U120</f>
        <v>6.55</v>
      </c>
    </row>
    <row r="14" spans="1:11" x14ac:dyDescent="0.2">
      <c r="A14" t="s">
        <v>16</v>
      </c>
      <c r="B14" t="s">
        <v>17</v>
      </c>
      <c r="C14">
        <v>4.54</v>
      </c>
      <c r="D14">
        <v>3.4</v>
      </c>
      <c r="E14">
        <v>3.3170000000000002</v>
      </c>
      <c r="F14">
        <v>3.46</v>
      </c>
      <c r="G14" s="5">
        <f>MECS_data!U8</f>
        <v>3.5</v>
      </c>
      <c r="H14" s="4">
        <f>MECS_data!U35</f>
        <v>4.46</v>
      </c>
      <c r="I14" s="4">
        <f>MECS_data!U65</f>
        <v>8.9</v>
      </c>
      <c r="J14" s="4">
        <f>MECS_data!U93</f>
        <v>6.77</v>
      </c>
      <c r="K14" s="4">
        <f>MECS_data!U121</f>
        <v>6.76</v>
      </c>
    </row>
    <row r="15" spans="1:11" x14ac:dyDescent="0.2">
      <c r="A15" t="s">
        <v>18</v>
      </c>
      <c r="B15" t="s">
        <v>19</v>
      </c>
      <c r="C15">
        <v>5.17</v>
      </c>
      <c r="D15">
        <v>4.18</v>
      </c>
      <c r="E15">
        <v>3.7410000000000001</v>
      </c>
      <c r="F15">
        <v>4.01</v>
      </c>
      <c r="G15" s="5">
        <f>MECS_data!U9</f>
        <v>3.81</v>
      </c>
      <c r="H15" s="4">
        <f>MECS_data!U36</f>
        <v>5.2</v>
      </c>
      <c r="I15" s="4">
        <f>MECS_data!U66</f>
        <v>9.08</v>
      </c>
      <c r="J15" s="4">
        <f>MECS_data!U94</f>
        <v>8.6199999999999992</v>
      </c>
      <c r="K15" s="4">
        <f>MECS_data!U122</f>
        <v>7.28</v>
      </c>
    </row>
    <row r="16" spans="1:11" x14ac:dyDescent="0.2">
      <c r="A16" t="s">
        <v>20</v>
      </c>
      <c r="B16" t="s">
        <v>21</v>
      </c>
      <c r="C16">
        <v>4.75</v>
      </c>
      <c r="D16">
        <v>3.5</v>
      </c>
      <c r="E16">
        <v>2.863</v>
      </c>
      <c r="F16">
        <v>3.57</v>
      </c>
      <c r="G16" s="5">
        <f>MECS_data!U10</f>
        <v>3.64</v>
      </c>
      <c r="H16" s="4">
        <f>MECS_data!U37</f>
        <v>4.57</v>
      </c>
      <c r="I16" s="4">
        <f>MECS_data!U67</f>
        <v>10.25</v>
      </c>
      <c r="J16" s="4">
        <f>MECS_data!U95</f>
        <v>7.57</v>
      </c>
      <c r="K16" s="4">
        <f>MECS_data!U123</f>
        <v>6.79</v>
      </c>
    </row>
    <row r="17" spans="1:11" x14ac:dyDescent="0.2">
      <c r="A17" t="s">
        <v>22</v>
      </c>
      <c r="B17" t="s">
        <v>23</v>
      </c>
      <c r="C17">
        <v>4.5599999999999996</v>
      </c>
      <c r="D17">
        <v>3.58</v>
      </c>
      <c r="E17">
        <v>3.1339999999999999</v>
      </c>
      <c r="F17">
        <v>3.24</v>
      </c>
      <c r="G17" s="5">
        <f>MECS_data!U11</f>
        <v>2.97</v>
      </c>
      <c r="H17" s="4">
        <f>MECS_data!U38</f>
        <v>4.74</v>
      </c>
      <c r="I17" s="4">
        <f>MECS_data!U68</f>
        <v>8.31</v>
      </c>
      <c r="J17" s="4">
        <f>MECS_data!U96</f>
        <v>6.57</v>
      </c>
      <c r="K17" s="4">
        <f>MECS_data!U124</f>
        <v>6.23</v>
      </c>
    </row>
    <row r="18" spans="1:11" x14ac:dyDescent="0.2">
      <c r="A18" t="s">
        <v>24</v>
      </c>
      <c r="B18" t="s">
        <v>25</v>
      </c>
      <c r="C18">
        <v>3.88</v>
      </c>
      <c r="D18">
        <v>2.48</v>
      </c>
      <c r="E18">
        <v>2.2919999999999998</v>
      </c>
      <c r="F18">
        <v>2.5299999999999998</v>
      </c>
      <c r="G18" s="5">
        <f>MECS_data!U12</f>
        <v>2.7</v>
      </c>
      <c r="H18" s="4">
        <f>MECS_data!U39</f>
        <v>4.1500000000000004</v>
      </c>
      <c r="I18" s="4">
        <f>MECS_data!U69</f>
        <v>8.42</v>
      </c>
      <c r="J18" s="4">
        <f>MECS_data!U97</f>
        <v>5.55</v>
      </c>
      <c r="K18" s="4">
        <f>MECS_data!U125</f>
        <v>5.36</v>
      </c>
    </row>
    <row r="19" spans="1:11" x14ac:dyDescent="0.2">
      <c r="A19" t="s">
        <v>26</v>
      </c>
      <c r="B19" t="s">
        <v>27</v>
      </c>
      <c r="C19">
        <v>4.95</v>
      </c>
      <c r="D19">
        <v>4.01</v>
      </c>
      <c r="E19" s="32">
        <v>3.6</v>
      </c>
      <c r="F19">
        <v>4.08</v>
      </c>
      <c r="G19" s="5">
        <f>MECS_data!U13</f>
        <v>3.87</v>
      </c>
      <c r="H19" s="4">
        <f>MECS_data!U40</f>
        <v>4.9800000000000004</v>
      </c>
      <c r="I19" s="4">
        <f>MECS_data!U70</f>
        <v>7.61</v>
      </c>
      <c r="J19" s="4">
        <f>MECS_data!U98</f>
        <v>7.01</v>
      </c>
      <c r="K19" s="4">
        <f>MECS_data!U126</f>
        <v>6.77</v>
      </c>
    </row>
    <row r="20" spans="1:11" x14ac:dyDescent="0.2">
      <c r="A20" t="s">
        <v>28</v>
      </c>
      <c r="B20" t="s">
        <v>29</v>
      </c>
      <c r="C20">
        <v>3.24</v>
      </c>
      <c r="D20">
        <v>2.09</v>
      </c>
      <c r="E20">
        <v>1.9670000000000001</v>
      </c>
      <c r="F20">
        <v>2.2000000000000002</v>
      </c>
      <c r="G20" s="5">
        <f>MECS_data!U14</f>
        <v>2.4700000000000002</v>
      </c>
      <c r="H20" s="4">
        <f>MECS_data!U41</f>
        <v>3.42</v>
      </c>
      <c r="I20" s="4">
        <f>MECS_data!U71</f>
        <v>6.69</v>
      </c>
      <c r="J20" s="4">
        <f>MECS_data!U99</f>
        <v>4.87</v>
      </c>
      <c r="K20" s="4">
        <f>MECS_data!U127</f>
        <v>5.0999999999999996</v>
      </c>
    </row>
    <row r="21" spans="1:11" x14ac:dyDescent="0.2">
      <c r="A21" t="s">
        <v>30</v>
      </c>
      <c r="B21" t="s">
        <v>31</v>
      </c>
      <c r="C21">
        <v>3.02</v>
      </c>
      <c r="D21">
        <v>1.97</v>
      </c>
      <c r="E21">
        <v>1.8109999999999999</v>
      </c>
      <c r="F21">
        <v>2.15</v>
      </c>
      <c r="G21" s="5">
        <f>MECS_data!U15</f>
        <v>2.38</v>
      </c>
      <c r="H21" s="4">
        <f>MECS_data!U42</f>
        <v>3.37</v>
      </c>
      <c r="I21" s="4">
        <f>MECS_data!U72</f>
        <v>7.47</v>
      </c>
      <c r="J21" s="4">
        <f>MECS_data!U100</f>
        <v>4.8600000000000003</v>
      </c>
      <c r="K21" s="4">
        <f>MECS_data!U128</f>
        <v>4.82</v>
      </c>
    </row>
    <row r="22" spans="1:11" x14ac:dyDescent="0.2">
      <c r="A22" t="s">
        <v>32</v>
      </c>
      <c r="B22" t="s">
        <v>33</v>
      </c>
      <c r="C22">
        <v>4.34</v>
      </c>
      <c r="D22">
        <v>3.15</v>
      </c>
      <c r="E22">
        <v>3.1349999999999998</v>
      </c>
      <c r="F22">
        <v>3.52</v>
      </c>
      <c r="G22" s="5">
        <f>MECS_data!U16</f>
        <v>3.48</v>
      </c>
      <c r="H22" s="4">
        <f>MECS_data!U43</f>
        <v>4.9800000000000004</v>
      </c>
      <c r="I22" s="4">
        <f>MECS_data!U73</f>
        <v>9.02</v>
      </c>
      <c r="J22" s="4">
        <f>MECS_data!U101</f>
        <v>6.45</v>
      </c>
      <c r="K22" s="4">
        <f>MECS_data!U129</f>
        <v>6.79</v>
      </c>
    </row>
    <row r="23" spans="1:11" x14ac:dyDescent="0.2">
      <c r="A23" t="s">
        <v>34</v>
      </c>
      <c r="B23" t="s">
        <v>35</v>
      </c>
      <c r="C23">
        <v>4.18</v>
      </c>
      <c r="D23">
        <v>2.75</v>
      </c>
      <c r="E23">
        <v>2.5270000000000001</v>
      </c>
      <c r="F23">
        <v>3.57</v>
      </c>
      <c r="G23" s="5">
        <f>MECS_data!U17</f>
        <v>2.95</v>
      </c>
      <c r="H23" s="4">
        <f>MECS_data!U44</f>
        <v>4.2</v>
      </c>
      <c r="I23" s="4">
        <f>MECS_data!U74</f>
        <v>8.26</v>
      </c>
      <c r="J23" s="4">
        <f>MECS_data!U102</f>
        <v>5.9</v>
      </c>
      <c r="K23" s="4">
        <f>MECS_data!U130</f>
        <v>5.36</v>
      </c>
    </row>
    <row r="24" spans="1:11" x14ac:dyDescent="0.2">
      <c r="A24" t="s">
        <v>36</v>
      </c>
      <c r="B24" t="s">
        <v>37</v>
      </c>
      <c r="C24">
        <v>4.12</v>
      </c>
      <c r="D24">
        <v>2.78</v>
      </c>
      <c r="E24">
        <v>2.532</v>
      </c>
      <c r="F24">
        <v>2.72</v>
      </c>
      <c r="G24" s="5">
        <f>MECS_data!U18</f>
        <v>2.89</v>
      </c>
      <c r="H24" s="4">
        <f>MECS_data!U45</f>
        <v>4.08</v>
      </c>
      <c r="I24" s="4">
        <f>MECS_data!U75</f>
        <v>8.39</v>
      </c>
      <c r="J24" s="4">
        <f>MECS_data!U103</f>
        <v>5.37</v>
      </c>
      <c r="K24" s="4">
        <f>MECS_data!U131</f>
        <v>5.1100000000000003</v>
      </c>
    </row>
    <row r="25" spans="1:11" x14ac:dyDescent="0.2">
      <c r="A25" t="s">
        <v>38</v>
      </c>
      <c r="B25" t="s">
        <v>39</v>
      </c>
      <c r="C25">
        <v>4.6900000000000004</v>
      </c>
      <c r="D25">
        <v>3.6</v>
      </c>
      <c r="E25">
        <v>3.3730000000000002</v>
      </c>
      <c r="F25">
        <v>3.49</v>
      </c>
      <c r="G25" s="5">
        <f>MECS_data!U19</f>
        <v>3.49</v>
      </c>
      <c r="H25" s="4">
        <f>MECS_data!U46</f>
        <v>4.92</v>
      </c>
      <c r="I25" s="4">
        <f>MECS_data!U76</f>
        <v>8.8699999999999992</v>
      </c>
      <c r="J25" s="4">
        <f>MECS_data!U104</f>
        <v>6.73</v>
      </c>
      <c r="K25" s="4">
        <f>MECS_data!U132</f>
        <v>6.3</v>
      </c>
    </row>
    <row r="26" spans="1:11" x14ac:dyDescent="0.2">
      <c r="A26" t="s">
        <v>40</v>
      </c>
      <c r="B26" t="s">
        <v>41</v>
      </c>
      <c r="C26">
        <v>4.67</v>
      </c>
      <c r="D26">
        <v>3.6</v>
      </c>
      <c r="E26">
        <v>3.45</v>
      </c>
      <c r="F26">
        <v>3.71</v>
      </c>
      <c r="G26" s="5">
        <f>MECS_data!U20</f>
        <v>3.66</v>
      </c>
      <c r="H26" s="4">
        <f>MECS_data!U47</f>
        <v>5.28</v>
      </c>
      <c r="I26" s="4">
        <f>MECS_data!U77</f>
        <v>12.09</v>
      </c>
      <c r="J26" s="4">
        <f>MECS_data!U105</f>
        <v>7.06</v>
      </c>
      <c r="K26" s="4">
        <f>MECS_data!U133</f>
        <v>6.98</v>
      </c>
    </row>
    <row r="27" spans="1:11" x14ac:dyDescent="0.2">
      <c r="A27" t="s">
        <v>42</v>
      </c>
      <c r="B27" t="s">
        <v>43</v>
      </c>
      <c r="C27">
        <f>0.7*C28+0.3*C34</f>
        <v>4.6839999999999993</v>
      </c>
      <c r="D27">
        <f>0.7*D28+0.3*D34</f>
        <v>3.5229999999999997</v>
      </c>
      <c r="E27">
        <f>0.7*E28+0.3*E34</f>
        <v>3.3838999999999997</v>
      </c>
      <c r="F27">
        <f>0.7*F28+0.3*F34</f>
        <v>3.6230000000000002</v>
      </c>
      <c r="G27" s="5">
        <f>MECS_data!U21</f>
        <v>3.71</v>
      </c>
      <c r="H27" s="4">
        <f>MECS_data!U48</f>
        <v>5.47</v>
      </c>
      <c r="I27" s="4">
        <f>MECS_data!U78</f>
        <v>9.7799999999999994</v>
      </c>
      <c r="J27" s="4">
        <f>MECS_data!U106</f>
        <v>6.56</v>
      </c>
      <c r="K27" s="4">
        <f>MECS_data!U134</f>
        <v>6.65</v>
      </c>
    </row>
    <row r="28" spans="1:11" x14ac:dyDescent="0.2">
      <c r="A28" t="s">
        <v>44</v>
      </c>
      <c r="B28" t="s">
        <v>45</v>
      </c>
      <c r="C28">
        <v>4.72</v>
      </c>
      <c r="D28">
        <v>3.43</v>
      </c>
      <c r="E28">
        <v>3.32</v>
      </c>
      <c r="F28">
        <v>3.56</v>
      </c>
      <c r="G28" s="5">
        <f>MECS_data!U22</f>
        <v>3.4</v>
      </c>
      <c r="H28" s="4">
        <f>MECS_data!U49</f>
        <v>4.9000000000000004</v>
      </c>
      <c r="I28" s="4">
        <f>MECS_data!U79</f>
        <v>9.4600000000000009</v>
      </c>
      <c r="J28" s="4">
        <f>MECS_data!U107</f>
        <v>6.78</v>
      </c>
      <c r="K28" s="4">
        <f>MECS_data!U135</f>
        <v>6.18</v>
      </c>
    </row>
    <row r="29" spans="1:11" x14ac:dyDescent="0.2">
      <c r="A29" t="s">
        <v>46</v>
      </c>
      <c r="B29" t="s">
        <v>47</v>
      </c>
      <c r="C29">
        <v>4.6399999999999997</v>
      </c>
      <c r="D29">
        <v>3.48</v>
      </c>
      <c r="E29">
        <v>3.0950000000000002</v>
      </c>
      <c r="F29">
        <v>3.31</v>
      </c>
      <c r="G29" s="5">
        <f>MECS_data!U23</f>
        <v>3.24</v>
      </c>
      <c r="H29" s="4">
        <f>MECS_data!U50</f>
        <v>4.26</v>
      </c>
      <c r="I29" s="4">
        <f>MECS_data!U80</f>
        <v>7.04</v>
      </c>
      <c r="J29" s="4">
        <f>MECS_data!U108</f>
        <v>6.63</v>
      </c>
      <c r="K29" s="4">
        <f>MECS_data!U136</f>
        <v>6.45</v>
      </c>
    </row>
    <row r="30" spans="1:11" x14ac:dyDescent="0.2">
      <c r="A30" t="s">
        <v>48</v>
      </c>
      <c r="B30" t="s">
        <v>49</v>
      </c>
      <c r="C30">
        <v>5.03</v>
      </c>
      <c r="D30">
        <v>3.9</v>
      </c>
      <c r="E30">
        <v>3.6509999999999998</v>
      </c>
      <c r="F30">
        <v>3.88</v>
      </c>
      <c r="G30" s="5">
        <f>MECS_data!U24</f>
        <v>4.1900000000000004</v>
      </c>
      <c r="H30" s="4">
        <f>MECS_data!U51</f>
        <v>5.15</v>
      </c>
      <c r="I30" s="4">
        <f>MECS_data!U81</f>
        <v>10.33</v>
      </c>
      <c r="J30" s="4">
        <f>MECS_data!U109</f>
        <v>8.61</v>
      </c>
      <c r="K30" s="4">
        <f>MECS_data!U137</f>
        <v>7.74</v>
      </c>
    </row>
    <row r="31" spans="1:11" x14ac:dyDescent="0.2">
      <c r="A31" t="s">
        <v>50</v>
      </c>
      <c r="B31" t="s">
        <v>51</v>
      </c>
      <c r="C31">
        <v>3.72</v>
      </c>
      <c r="D31">
        <v>3.74</v>
      </c>
      <c r="E31">
        <v>3.8780000000000001</v>
      </c>
      <c r="F31">
        <v>4.42</v>
      </c>
      <c r="G31" s="5">
        <f>MECS_data!U25</f>
        <v>3.89</v>
      </c>
      <c r="H31" s="4">
        <f>MECS_data!U52</f>
        <v>5.07</v>
      </c>
      <c r="I31" s="4">
        <f>MECS_data!U82</f>
        <v>9.7799999999999994</v>
      </c>
      <c r="J31" s="4">
        <f>MECS_data!U110</f>
        <v>8.32</v>
      </c>
      <c r="K31" s="4">
        <f>MECS_data!U138</f>
        <v>7.44</v>
      </c>
    </row>
    <row r="32" spans="1:11" x14ac:dyDescent="0.2">
      <c r="B32" t="s">
        <v>0</v>
      </c>
      <c r="E32">
        <v>2.3039999999999998</v>
      </c>
      <c r="G32" s="5">
        <f>MECS_data!U26</f>
        <v>2.75</v>
      </c>
      <c r="H32" s="4">
        <f>MECS_data!U53</f>
        <v>3.9</v>
      </c>
      <c r="I32" s="4">
        <f>MECS_data!U83</f>
        <v>7.84</v>
      </c>
      <c r="K32" s="4">
        <f>MECS_data!U139</f>
        <v>5.24</v>
      </c>
    </row>
    <row r="34" spans="1:11" x14ac:dyDescent="0.2">
      <c r="B34" t="s">
        <v>101</v>
      </c>
      <c r="C34">
        <v>4.5999999999999996</v>
      </c>
      <c r="D34">
        <v>3.74</v>
      </c>
      <c r="E34">
        <v>3.5329999999999999</v>
      </c>
      <c r="F34">
        <v>3.77</v>
      </c>
    </row>
    <row r="38" spans="1:11" x14ac:dyDescent="0.2">
      <c r="B38" s="33" t="s">
        <v>68</v>
      </c>
      <c r="C38" t="s">
        <v>103</v>
      </c>
      <c r="D38" t="s">
        <v>105</v>
      </c>
      <c r="F38" t="s">
        <v>104</v>
      </c>
    </row>
    <row r="39" spans="1:11" x14ac:dyDescent="0.2">
      <c r="C39" s="35">
        <v>1985</v>
      </c>
      <c r="D39" s="35">
        <v>1988</v>
      </c>
      <c r="E39" s="35">
        <v>1991</v>
      </c>
      <c r="F39" s="35">
        <v>1994</v>
      </c>
      <c r="G39" s="35">
        <v>1998</v>
      </c>
      <c r="H39" s="35">
        <v>2002</v>
      </c>
      <c r="I39" s="35">
        <v>2006</v>
      </c>
      <c r="J39" s="35">
        <v>2010</v>
      </c>
      <c r="K39" s="35">
        <v>2014</v>
      </c>
    </row>
    <row r="40" spans="1:11" x14ac:dyDescent="0.2">
      <c r="A40" t="s">
        <v>10</v>
      </c>
      <c r="B40" t="s">
        <v>11</v>
      </c>
      <c r="C40">
        <v>6.73</v>
      </c>
      <c r="D40" s="32">
        <v>6.72</v>
      </c>
      <c r="E40">
        <v>7.5960000000000001</v>
      </c>
      <c r="F40">
        <v>7.15</v>
      </c>
      <c r="G40" s="5">
        <f>MECS_data!V5</f>
        <v>7.47</v>
      </c>
      <c r="H40" s="4">
        <f>MECS_data!V32</f>
        <v>8.31</v>
      </c>
      <c r="I40" s="4">
        <f>MECS_data!V62</f>
        <v>17.13</v>
      </c>
      <c r="J40" s="4">
        <f>MECS_data!V90</f>
        <v>19.04</v>
      </c>
      <c r="K40" s="4">
        <f>MECS_data!V118</f>
        <v>19.309999999999999</v>
      </c>
    </row>
    <row r="41" spans="1:11" x14ac:dyDescent="0.2">
      <c r="A41" t="s">
        <v>12</v>
      </c>
      <c r="B41" t="s">
        <v>13</v>
      </c>
      <c r="C41" s="76">
        <f>0.3*8.51+0.7*C40</f>
        <v>7.2640000000000002</v>
      </c>
      <c r="D41" s="76">
        <f>0.3*7+0.7*D40</f>
        <v>6.8040000000000003</v>
      </c>
      <c r="E41" s="76">
        <f>0.4*7.251+0.7*E40</f>
        <v>8.2176000000000009</v>
      </c>
      <c r="F41" s="76">
        <f>0.3*6.87+0.7*F40</f>
        <v>7.0659999999999998</v>
      </c>
      <c r="G41" s="5">
        <f>MECS_data!V6</f>
        <v>6.77</v>
      </c>
      <c r="H41" s="4">
        <f>MECS_data!V33</f>
        <v>9.15</v>
      </c>
      <c r="I41" s="4">
        <f>MECS_data!V63</f>
        <v>18.39</v>
      </c>
      <c r="J41" s="4">
        <f>MECS_data!V91</f>
        <v>20.32</v>
      </c>
      <c r="K41" s="4">
        <f>MECS_data!V119</f>
        <v>21.12</v>
      </c>
    </row>
    <row r="42" spans="1:11" x14ac:dyDescent="0.2">
      <c r="A42" t="s">
        <v>14</v>
      </c>
      <c r="B42" t="s">
        <v>15</v>
      </c>
      <c r="C42">
        <v>6.79</v>
      </c>
      <c r="D42">
        <v>4.59</v>
      </c>
      <c r="E42">
        <v>7.2510000000000003</v>
      </c>
      <c r="F42">
        <v>5.77</v>
      </c>
      <c r="G42" s="5">
        <f>MECS_data!V7</f>
        <v>5.93</v>
      </c>
      <c r="H42" s="4">
        <f>MECS_data!V34</f>
        <v>9.35</v>
      </c>
      <c r="I42" s="4">
        <f>MECS_data!V64</f>
        <v>20.010000000000002</v>
      </c>
      <c r="J42" s="4">
        <f>MECS_data!V92</f>
        <v>17.899999999999999</v>
      </c>
      <c r="K42" s="4">
        <f>MECS_data!V120</f>
        <v>18.579999999999998</v>
      </c>
    </row>
    <row r="43" spans="1:11" x14ac:dyDescent="0.2">
      <c r="A43" t="s">
        <v>16</v>
      </c>
      <c r="B43" t="s">
        <v>17</v>
      </c>
      <c r="C43">
        <v>6.79</v>
      </c>
      <c r="D43">
        <v>4.59</v>
      </c>
      <c r="E43">
        <v>6.1539999999999999</v>
      </c>
      <c r="F43">
        <v>5.77</v>
      </c>
      <c r="G43" s="5">
        <f>MECS_data!V8</f>
        <v>8.35</v>
      </c>
      <c r="H43" s="4">
        <f>MECS_data!V35</f>
        <v>9.1</v>
      </c>
      <c r="I43" s="4">
        <f>MECS_data!V65</f>
        <v>19</v>
      </c>
      <c r="J43" s="4">
        <f>MECS_data!V93</f>
        <v>18.53</v>
      </c>
      <c r="K43" s="4">
        <f>MECS_data!V121</f>
        <v>18.16</v>
      </c>
    </row>
    <row r="44" spans="1:11" x14ac:dyDescent="0.2">
      <c r="A44" t="s">
        <v>18</v>
      </c>
      <c r="B44" t="s">
        <v>19</v>
      </c>
      <c r="C44">
        <v>7.68</v>
      </c>
      <c r="D44">
        <v>6.77</v>
      </c>
      <c r="E44">
        <v>7.86</v>
      </c>
      <c r="F44">
        <v>8.01</v>
      </c>
      <c r="G44" s="5">
        <f>MECS_data!V9</f>
        <v>6.62</v>
      </c>
      <c r="H44" s="4">
        <f>MECS_data!V36</f>
        <v>12.07</v>
      </c>
      <c r="I44" s="4">
        <f>MECS_data!V66</f>
        <v>17.739999999999998</v>
      </c>
      <c r="J44" s="4">
        <f>MECS_data!V94</f>
        <v>23.11</v>
      </c>
      <c r="K44" s="4">
        <f>MECS_data!V122</f>
        <v>21.17</v>
      </c>
    </row>
    <row r="45" spans="1:11" x14ac:dyDescent="0.2">
      <c r="A45" t="s">
        <v>20</v>
      </c>
      <c r="B45" t="s">
        <v>21</v>
      </c>
      <c r="C45">
        <v>7.43</v>
      </c>
      <c r="D45">
        <v>6.79</v>
      </c>
      <c r="E45">
        <v>8.2919999999999998</v>
      </c>
      <c r="F45">
        <v>8.36</v>
      </c>
      <c r="G45" s="5">
        <f>MECS_data!V10</f>
        <v>8.25</v>
      </c>
      <c r="H45" s="4">
        <f>MECS_data!V37</f>
        <v>10.65</v>
      </c>
      <c r="I45" s="4">
        <f>MECS_data!V67</f>
        <v>14.99</v>
      </c>
      <c r="J45" s="4">
        <f>MECS_data!V95</f>
        <v>22.2</v>
      </c>
      <c r="K45" s="4">
        <f>MECS_data!V123</f>
        <v>19.13</v>
      </c>
    </row>
    <row r="46" spans="1:11" x14ac:dyDescent="0.2">
      <c r="A46" t="s">
        <v>22</v>
      </c>
      <c r="B46" t="s">
        <v>23</v>
      </c>
      <c r="C46">
        <v>6.92</v>
      </c>
      <c r="D46">
        <v>5.38</v>
      </c>
      <c r="E46">
        <v>6.399</v>
      </c>
      <c r="F46">
        <v>6.56</v>
      </c>
      <c r="G46" s="5">
        <f>MECS_data!V11</f>
        <v>7.18</v>
      </c>
      <c r="H46" s="4">
        <f>MECS_data!V38</f>
        <v>8.7100000000000009</v>
      </c>
      <c r="I46" s="4">
        <f>MECS_data!V68</f>
        <v>13.22</v>
      </c>
      <c r="J46" s="4">
        <f>MECS_data!V96</f>
        <v>19.46</v>
      </c>
      <c r="K46" s="4">
        <f>MECS_data!V124</f>
        <v>21</v>
      </c>
    </row>
    <row r="47" spans="1:11" x14ac:dyDescent="0.2">
      <c r="A47" t="s">
        <v>24</v>
      </c>
      <c r="B47" t="s">
        <v>25</v>
      </c>
      <c r="C47">
        <v>7.54</v>
      </c>
      <c r="D47">
        <v>5.98</v>
      </c>
      <c r="E47">
        <v>7.0640000000000001</v>
      </c>
      <c r="F47">
        <v>7.18</v>
      </c>
      <c r="G47" s="5">
        <f>MECS_data!V12</f>
        <v>7.28</v>
      </c>
      <c r="H47" s="4">
        <f>MECS_data!V39</f>
        <v>8.9700000000000006</v>
      </c>
      <c r="I47" s="4">
        <f>MECS_data!V69</f>
        <v>17.559999999999999</v>
      </c>
      <c r="J47" s="4">
        <f>MECS_data!V97</f>
        <v>20.43</v>
      </c>
      <c r="K47" s="4">
        <f>MECS_data!V125</f>
        <v>19.97</v>
      </c>
    </row>
    <row r="48" spans="1:11" x14ac:dyDescent="0.2">
      <c r="A48" t="s">
        <v>26</v>
      </c>
      <c r="B48" t="s">
        <v>27</v>
      </c>
      <c r="C48">
        <v>9.9499999999999993</v>
      </c>
      <c r="D48">
        <v>6.62</v>
      </c>
      <c r="E48" s="34">
        <v>9.5489999999999995</v>
      </c>
      <c r="F48">
        <v>8.4600000000000009</v>
      </c>
      <c r="G48" s="5">
        <f>MECS_data!V13</f>
        <v>8.6</v>
      </c>
      <c r="H48" s="4">
        <f>MECS_data!V40</f>
        <v>11.68</v>
      </c>
      <c r="I48" s="4">
        <f>MECS_data!V70</f>
        <v>19.010000000000002</v>
      </c>
      <c r="J48" s="4">
        <f>MECS_data!V98</f>
        <v>19.21</v>
      </c>
      <c r="K48" s="4">
        <f>MECS_data!V126</f>
        <v>19.920000000000002</v>
      </c>
    </row>
    <row r="49" spans="1:11" x14ac:dyDescent="0.2">
      <c r="A49" t="s">
        <v>28</v>
      </c>
      <c r="B49" t="s">
        <v>29</v>
      </c>
      <c r="C49">
        <v>5.08</v>
      </c>
      <c r="D49">
        <v>3.92</v>
      </c>
      <c r="E49" s="34">
        <v>4.6029999999999998</v>
      </c>
      <c r="F49">
        <v>5.45</v>
      </c>
      <c r="G49" s="5">
        <f>MECS_data!V14</f>
        <v>4.29</v>
      </c>
      <c r="H49" s="4">
        <f>MECS_data!V41</f>
        <v>6.68</v>
      </c>
      <c r="I49" s="4">
        <f>MECS_data!V71</f>
        <v>20.13</v>
      </c>
      <c r="J49" s="4">
        <f>MECS_data!V99</f>
        <v>19.82</v>
      </c>
      <c r="K49" s="4">
        <f>MECS_data!V127</f>
        <v>18.489999999999998</v>
      </c>
    </row>
    <row r="50" spans="1:11" x14ac:dyDescent="0.2">
      <c r="A50" t="s">
        <v>30</v>
      </c>
      <c r="B50" t="s">
        <v>31</v>
      </c>
      <c r="C50">
        <v>5.18</v>
      </c>
      <c r="D50">
        <v>5.25</v>
      </c>
      <c r="E50" s="34">
        <v>4.8289999999999997</v>
      </c>
      <c r="F50">
        <v>4.71</v>
      </c>
      <c r="G50" s="5">
        <f>MECS_data!V15</f>
        <v>4.4400000000000004</v>
      </c>
      <c r="H50" s="4">
        <f>MECS_data!V42</f>
        <v>5.77</v>
      </c>
      <c r="I50" s="4">
        <f>MECS_data!V72</f>
        <v>13.06</v>
      </c>
      <c r="J50" s="4">
        <f>MECS_data!V100</f>
        <v>13.98</v>
      </c>
      <c r="K50" s="4">
        <f>MECS_data!V128</f>
        <v>12.04</v>
      </c>
    </row>
    <row r="51" spans="1:11" x14ac:dyDescent="0.2">
      <c r="A51" t="s">
        <v>32</v>
      </c>
      <c r="B51" t="s">
        <v>33</v>
      </c>
      <c r="C51">
        <v>8.1999999999999993</v>
      </c>
      <c r="D51" s="32">
        <v>7</v>
      </c>
      <c r="E51" s="34">
        <v>7.9589999999999996</v>
      </c>
      <c r="F51">
        <v>8.61</v>
      </c>
      <c r="G51" s="5">
        <f>MECS_data!V16</f>
        <v>9.06</v>
      </c>
      <c r="H51" s="4">
        <f>MECS_data!V43</f>
        <v>11.26</v>
      </c>
      <c r="I51" s="4">
        <f>MECS_data!V73</f>
        <v>17.63</v>
      </c>
      <c r="J51" s="4">
        <f>MECS_data!V101</f>
        <v>18.12</v>
      </c>
      <c r="K51" s="4">
        <f>MECS_data!V129</f>
        <v>22.05</v>
      </c>
    </row>
    <row r="52" spans="1:11" x14ac:dyDescent="0.2">
      <c r="A52" t="s">
        <v>34</v>
      </c>
      <c r="B52" t="s">
        <v>35</v>
      </c>
      <c r="C52">
        <v>6.92</v>
      </c>
      <c r="D52">
        <v>5.01</v>
      </c>
      <c r="E52">
        <v>8.0649999999999995</v>
      </c>
      <c r="F52">
        <v>7.4</v>
      </c>
      <c r="G52" s="5">
        <f>MECS_data!V17</f>
        <v>8.57</v>
      </c>
      <c r="H52" s="4">
        <f>MECS_data!V44</f>
        <v>10.210000000000001</v>
      </c>
      <c r="I52" s="4">
        <f>MECS_data!V74</f>
        <v>15.13</v>
      </c>
      <c r="J52" s="4">
        <f>MECS_data!V102</f>
        <v>18.91</v>
      </c>
      <c r="K52" s="4">
        <f>MECS_data!V130</f>
        <v>22.63</v>
      </c>
    </row>
    <row r="53" spans="1:11" x14ac:dyDescent="0.2">
      <c r="A53" t="s">
        <v>36</v>
      </c>
      <c r="B53" t="s">
        <v>37</v>
      </c>
      <c r="C53">
        <v>6.47</v>
      </c>
      <c r="D53">
        <v>4.87</v>
      </c>
      <c r="E53">
        <v>5.23</v>
      </c>
      <c r="F53">
        <v>7</v>
      </c>
      <c r="G53" s="5">
        <f>MECS_data!V18</f>
        <v>7.5</v>
      </c>
      <c r="H53" s="4">
        <f>MECS_data!V45</f>
        <v>8.98</v>
      </c>
      <c r="I53" s="4">
        <f>MECS_data!V75</f>
        <v>14.6</v>
      </c>
      <c r="J53" s="4">
        <f>MECS_data!V103</f>
        <v>16.53</v>
      </c>
      <c r="K53" s="4">
        <f>MECS_data!V131</f>
        <v>18.48</v>
      </c>
    </row>
    <row r="54" spans="1:11" x14ac:dyDescent="0.2">
      <c r="A54" t="s">
        <v>38</v>
      </c>
      <c r="B54" t="s">
        <v>39</v>
      </c>
      <c r="C54">
        <v>8.85</v>
      </c>
      <c r="D54">
        <v>6.37</v>
      </c>
      <c r="E54">
        <v>8.1920000000000002</v>
      </c>
      <c r="F54">
        <v>9.4499999999999993</v>
      </c>
      <c r="G54" s="5">
        <f>MECS_data!V19</f>
        <v>8.83</v>
      </c>
      <c r="H54" s="4">
        <f>MECS_data!V46</f>
        <v>12.66</v>
      </c>
      <c r="I54" s="4">
        <f>MECS_data!V76</f>
        <v>16.66</v>
      </c>
      <c r="J54" s="4">
        <f>MECS_data!V104</f>
        <v>22.17</v>
      </c>
      <c r="K54" s="4">
        <f>MECS_data!V132</f>
        <v>20.14</v>
      </c>
    </row>
    <row r="55" spans="1:11" x14ac:dyDescent="0.2">
      <c r="A55" t="s">
        <v>40</v>
      </c>
      <c r="B55" t="s">
        <v>41</v>
      </c>
      <c r="C55">
        <v>8.8699999999999992</v>
      </c>
      <c r="D55">
        <v>6.67</v>
      </c>
      <c r="E55">
        <v>7.7130000000000001</v>
      </c>
      <c r="F55">
        <v>10.02</v>
      </c>
      <c r="G55" s="5">
        <f>MECS_data!V20</f>
        <v>7.65</v>
      </c>
      <c r="H55" s="4">
        <f>MECS_data!V47</f>
        <v>10.7</v>
      </c>
      <c r="I55" s="4">
        <f>MECS_data!V77</f>
        <v>16.73</v>
      </c>
      <c r="J55" s="4">
        <f>MECS_data!V105</f>
        <v>20.82</v>
      </c>
      <c r="K55" s="4">
        <f>MECS_data!V133</f>
        <v>22.19</v>
      </c>
    </row>
    <row r="56" spans="1:11" x14ac:dyDescent="0.2">
      <c r="A56" t="s">
        <v>42</v>
      </c>
      <c r="B56" t="s">
        <v>43</v>
      </c>
      <c r="C56">
        <f>0.7*C57+0.3*C63</f>
        <v>6.6579999999999995</v>
      </c>
      <c r="D56">
        <f>0.7*D57+0.3*D63</f>
        <v>5.1889999999999992</v>
      </c>
      <c r="E56">
        <f>0.7*E57+0.3*E63</f>
        <v>7.6521999999999997</v>
      </c>
      <c r="F56">
        <f>0.7*F57+0.3*F63</f>
        <v>5.5270000000000001</v>
      </c>
      <c r="G56" s="5">
        <f>MECS_data!V21</f>
        <v>7.9</v>
      </c>
      <c r="H56" s="4">
        <f>MECS_data!V48</f>
        <v>9.4700000000000006</v>
      </c>
      <c r="I56" s="4">
        <f>MECS_data!V78</f>
        <v>18.059999999999999</v>
      </c>
      <c r="J56" s="4">
        <f>MECS_data!V106</f>
        <v>24.93</v>
      </c>
      <c r="K56" s="4">
        <f>MECS_data!V134</f>
        <v>23.38</v>
      </c>
    </row>
    <row r="57" spans="1:11" x14ac:dyDescent="0.2">
      <c r="A57" t="s">
        <v>44</v>
      </c>
      <c r="B57" t="s">
        <v>45</v>
      </c>
      <c r="C57">
        <v>7.54</v>
      </c>
      <c r="D57">
        <v>5.81</v>
      </c>
      <c r="E57">
        <v>7.2789999999999999</v>
      </c>
      <c r="F57">
        <v>6.28</v>
      </c>
      <c r="G57" s="5">
        <f>MECS_data!V22</f>
        <v>8</v>
      </c>
      <c r="H57" s="4">
        <f>MECS_data!V49</f>
        <v>10.87</v>
      </c>
      <c r="I57" s="4">
        <f>MECS_data!V79</f>
        <v>20.58</v>
      </c>
      <c r="J57" s="4">
        <f>MECS_data!V107</f>
        <v>18.22</v>
      </c>
      <c r="K57" s="4">
        <f>MECS_data!V135</f>
        <v>14.34</v>
      </c>
    </row>
    <row r="58" spans="1:11" x14ac:dyDescent="0.2">
      <c r="A58" t="s">
        <v>46</v>
      </c>
      <c r="B58" t="s">
        <v>47</v>
      </c>
      <c r="C58">
        <v>7.06</v>
      </c>
      <c r="D58">
        <v>5.5</v>
      </c>
      <c r="E58">
        <v>7.1109999999999998</v>
      </c>
      <c r="F58">
        <v>8.67</v>
      </c>
      <c r="G58" s="5">
        <f>MECS_data!V23</f>
        <v>8.0500000000000007</v>
      </c>
      <c r="H58" s="4">
        <f>MECS_data!V50</f>
        <v>9.44</v>
      </c>
      <c r="I58" s="4">
        <f>MECS_data!V80</f>
        <v>13.57</v>
      </c>
      <c r="J58" s="4">
        <f>MECS_data!V108</f>
        <v>20.86</v>
      </c>
      <c r="K58" s="4">
        <f>MECS_data!V136</f>
        <v>24.24</v>
      </c>
    </row>
    <row r="59" spans="1:11" x14ac:dyDescent="0.2">
      <c r="A59" t="s">
        <v>48</v>
      </c>
      <c r="B59" t="s">
        <v>49</v>
      </c>
      <c r="C59">
        <v>7.35</v>
      </c>
      <c r="D59">
        <v>6.19</v>
      </c>
      <c r="E59">
        <v>8.548</v>
      </c>
      <c r="F59">
        <v>9.42</v>
      </c>
      <c r="G59" s="5">
        <f>MECS_data!V24</f>
        <v>7.82</v>
      </c>
      <c r="H59" s="4">
        <f>MECS_data!V51</f>
        <v>10.220000000000001</v>
      </c>
      <c r="I59" s="4">
        <f>MECS_data!V81</f>
        <v>17.87</v>
      </c>
      <c r="J59" s="4">
        <f>MECS_data!V109</f>
        <v>20.91</v>
      </c>
      <c r="K59" s="4">
        <f>MECS_data!V137</f>
        <v>22.97</v>
      </c>
    </row>
    <row r="60" spans="1:11" x14ac:dyDescent="0.2">
      <c r="A60" t="s">
        <v>50</v>
      </c>
      <c r="B60" t="s">
        <v>51</v>
      </c>
      <c r="C60">
        <v>10</v>
      </c>
      <c r="D60">
        <v>7.65</v>
      </c>
      <c r="E60">
        <v>10.032999999999999</v>
      </c>
      <c r="F60">
        <v>7.38</v>
      </c>
      <c r="G60" s="5">
        <f>MECS_data!V25</f>
        <v>12.94</v>
      </c>
      <c r="H60" s="4">
        <f>MECS_data!V52</f>
        <v>12.17</v>
      </c>
      <c r="I60" s="4">
        <f>MECS_data!V82</f>
        <v>18.760000000000002</v>
      </c>
      <c r="J60" s="4">
        <f>MECS_data!V110</f>
        <v>23.65</v>
      </c>
      <c r="K60" s="4">
        <f>MECS_data!V138</f>
        <v>24.95</v>
      </c>
    </row>
    <row r="61" spans="1:11" x14ac:dyDescent="0.2">
      <c r="B61" t="s">
        <v>0</v>
      </c>
      <c r="C61">
        <v>5.28</v>
      </c>
      <c r="D61">
        <v>5.27</v>
      </c>
      <c r="E61">
        <v>4.9089999999999998</v>
      </c>
      <c r="F61">
        <v>4.82</v>
      </c>
      <c r="G61" s="5">
        <f>MECS_data!V26</f>
        <v>4.54</v>
      </c>
      <c r="H61" s="4">
        <f>MECS_data!V53</f>
        <v>5.84</v>
      </c>
      <c r="I61" s="4">
        <f>MECS_data!V83</f>
        <v>13.14</v>
      </c>
    </row>
    <row r="63" spans="1:11" x14ac:dyDescent="0.2">
      <c r="B63" t="s">
        <v>101</v>
      </c>
      <c r="C63">
        <v>4.5999999999999996</v>
      </c>
      <c r="D63">
        <v>3.74</v>
      </c>
      <c r="E63">
        <v>8.5229999999999997</v>
      </c>
      <c r="F63">
        <v>3.77</v>
      </c>
    </row>
    <row r="67" spans="2:11" x14ac:dyDescent="0.2">
      <c r="B67" s="33" t="s">
        <v>54</v>
      </c>
      <c r="C67" t="s">
        <v>103</v>
      </c>
      <c r="D67" t="s">
        <v>105</v>
      </c>
      <c r="F67" t="s">
        <v>104</v>
      </c>
    </row>
    <row r="68" spans="2:11" x14ac:dyDescent="0.2">
      <c r="C68" s="35">
        <v>1985</v>
      </c>
      <c r="D68" s="35">
        <v>1988</v>
      </c>
      <c r="E68" s="35">
        <v>1991</v>
      </c>
      <c r="F68" s="35">
        <v>1994</v>
      </c>
      <c r="G68" s="35">
        <v>1998</v>
      </c>
      <c r="H68" s="35">
        <v>2002</v>
      </c>
      <c r="I68" s="35">
        <v>2006</v>
      </c>
      <c r="J68" s="35">
        <v>2010</v>
      </c>
      <c r="K68" s="35">
        <v>2014</v>
      </c>
    </row>
    <row r="69" spans="2:11" x14ac:dyDescent="0.2">
      <c r="B69" t="s">
        <v>11</v>
      </c>
      <c r="C69">
        <v>6.58</v>
      </c>
      <c r="D69" s="36">
        <f>1.07*D90</f>
        <v>4.9862000000000002</v>
      </c>
      <c r="E69">
        <v>6.0640000000000001</v>
      </c>
      <c r="F69">
        <v>5.47</v>
      </c>
      <c r="G69" s="5">
        <f>MECS_data!T5</f>
        <v>4.0999999999999996</v>
      </c>
      <c r="H69" s="4">
        <f>MECS_data!T32</f>
        <v>7.04</v>
      </c>
      <c r="I69" s="4">
        <f>MECS_data!T62</f>
        <v>17.170000000000002</v>
      </c>
      <c r="J69" s="4">
        <f>MECS_data!T90</f>
        <v>18.62</v>
      </c>
      <c r="K69" s="4">
        <f>MECS_data!S118</f>
        <v>16.98</v>
      </c>
    </row>
    <row r="70" spans="2:11" x14ac:dyDescent="0.2">
      <c r="B70" t="s">
        <v>13</v>
      </c>
      <c r="C70" s="76">
        <f>0.3*6.36+0.7*C69</f>
        <v>6.5139999999999993</v>
      </c>
      <c r="D70" s="76">
        <f>0.3*3.54+0.7*D40</f>
        <v>5.766</v>
      </c>
      <c r="E70" s="76">
        <f>0.3*5.153+0.7*E69</f>
        <v>5.7906999999999993</v>
      </c>
      <c r="F70" s="76">
        <f>0.3*4.17+0.7*F69</f>
        <v>5.08</v>
      </c>
      <c r="G70" s="5">
        <f>MECS_data!T6</f>
        <v>5.38</v>
      </c>
      <c r="H70" s="4">
        <f>MECS_data!T33</f>
        <v>9.75</v>
      </c>
      <c r="I70" s="4">
        <f>MECS_data!T63</f>
        <v>19.59</v>
      </c>
      <c r="J70" s="4">
        <f>MECS_data!T91</f>
        <v>13</v>
      </c>
      <c r="K70" s="4">
        <f>MECS_data!S119</f>
        <v>10.87</v>
      </c>
    </row>
    <row r="71" spans="2:11" x14ac:dyDescent="0.2">
      <c r="B71" t="s">
        <v>15</v>
      </c>
      <c r="C71">
        <v>6.02</v>
      </c>
      <c r="D71" s="34">
        <v>4.01</v>
      </c>
      <c r="E71">
        <v>4.468</v>
      </c>
      <c r="F71">
        <v>4.32</v>
      </c>
      <c r="G71" s="5">
        <f>MECS_data!T7</f>
        <v>3.64</v>
      </c>
      <c r="H71" s="4">
        <f>MECS_data!T34</f>
        <v>6.73</v>
      </c>
      <c r="I71" s="4">
        <f>MECS_data!T64</f>
        <v>18.440000000000001</v>
      </c>
      <c r="J71" s="4">
        <f>MECS_data!T92</f>
        <v>16.940000000000001</v>
      </c>
      <c r="K71" s="4">
        <f>MECS_data!S120</f>
        <v>14.13</v>
      </c>
    </row>
    <row r="72" spans="2:11" x14ac:dyDescent="0.2">
      <c r="B72" t="s">
        <v>17</v>
      </c>
      <c r="C72">
        <v>6.02</v>
      </c>
      <c r="D72" s="34">
        <v>4.01</v>
      </c>
      <c r="E72">
        <v>4.468</v>
      </c>
      <c r="F72">
        <v>4.32</v>
      </c>
      <c r="G72" s="5">
        <f>MECS_data!T8</f>
        <v>4.5</v>
      </c>
      <c r="H72" s="4">
        <f>MECS_data!T35</f>
        <v>6.73</v>
      </c>
      <c r="I72" s="4">
        <f>MECS_data!T65</f>
        <v>15.42</v>
      </c>
      <c r="J72" s="4">
        <f>MECS_data!T93</f>
        <v>14.42</v>
      </c>
      <c r="K72" s="4">
        <f>MECS_data!S121</f>
        <v>15.16</v>
      </c>
    </row>
    <row r="73" spans="2:11" x14ac:dyDescent="0.2">
      <c r="B73" t="s">
        <v>19</v>
      </c>
      <c r="C73">
        <v>6.48</v>
      </c>
      <c r="D73" s="34">
        <v>5.13</v>
      </c>
      <c r="E73">
        <v>6.6669999999999998</v>
      </c>
      <c r="F73">
        <v>5.15</v>
      </c>
      <c r="G73" s="5">
        <f>MECS_data!T9</f>
        <v>5.14</v>
      </c>
      <c r="H73" s="4">
        <f>MECS_data!T36</f>
        <v>6.74</v>
      </c>
      <c r="I73" s="4">
        <f>MECS_data!T66</f>
        <v>14.46</v>
      </c>
      <c r="J73" s="4">
        <f>MECS_data!T94</f>
        <v>15.3</v>
      </c>
      <c r="K73" s="4">
        <f>MECS_data!S122</f>
        <v>0</v>
      </c>
    </row>
    <row r="74" spans="2:11" x14ac:dyDescent="0.2">
      <c r="B74" t="s">
        <v>21</v>
      </c>
      <c r="C74">
        <v>6.44</v>
      </c>
      <c r="D74" s="34">
        <v>4.59</v>
      </c>
      <c r="E74">
        <v>4.8639999999999999</v>
      </c>
      <c r="F74">
        <v>3.57</v>
      </c>
      <c r="G74" s="5">
        <f>MECS_data!T10</f>
        <v>4.63</v>
      </c>
      <c r="H74" s="4">
        <f>MECS_data!T37</f>
        <v>5.87</v>
      </c>
      <c r="I74" s="4">
        <f>MECS_data!T67</f>
        <v>13.64</v>
      </c>
      <c r="J74" s="4">
        <f>MECS_data!T95</f>
        <v>21.02</v>
      </c>
      <c r="K74" s="4">
        <f>MECS_data!S123</f>
        <v>20.03</v>
      </c>
    </row>
    <row r="75" spans="2:11" x14ac:dyDescent="0.2">
      <c r="B75" t="s">
        <v>23</v>
      </c>
      <c r="C75">
        <v>6.23</v>
      </c>
      <c r="D75" s="34">
        <v>5.22</v>
      </c>
      <c r="E75">
        <v>6.4210000000000003</v>
      </c>
      <c r="F75">
        <v>6.14</v>
      </c>
      <c r="G75" s="5">
        <f>MECS_data!T11</f>
        <v>4.5999999999999996</v>
      </c>
      <c r="H75" s="4">
        <f>MECS_data!T38</f>
        <v>7.02</v>
      </c>
      <c r="I75" s="4">
        <f>MECS_data!T68</f>
        <v>16.75</v>
      </c>
      <c r="J75" s="4">
        <f>MECS_data!T96</f>
        <v>16.05</v>
      </c>
      <c r="K75" s="4">
        <f>MECS_data!S124</f>
        <v>18.12</v>
      </c>
    </row>
    <row r="76" spans="2:11" x14ac:dyDescent="0.2">
      <c r="B76" t="s">
        <v>25</v>
      </c>
      <c r="C76">
        <v>5.95</v>
      </c>
      <c r="D76" s="34">
        <v>3.96</v>
      </c>
      <c r="E76">
        <v>4.5659999999999998</v>
      </c>
      <c r="F76">
        <v>4.59</v>
      </c>
      <c r="G76" s="5">
        <f>MECS_data!T12</f>
        <v>4.29</v>
      </c>
      <c r="H76" s="4">
        <f>MECS_data!T39</f>
        <v>5.13</v>
      </c>
      <c r="I76" s="4">
        <f>MECS_data!T69</f>
        <v>10.93</v>
      </c>
      <c r="J76" s="4">
        <f>MECS_data!T97</f>
        <v>16.11</v>
      </c>
      <c r="K76" s="4">
        <f>MECS_data!S125</f>
        <v>14.9</v>
      </c>
    </row>
    <row r="77" spans="2:11" x14ac:dyDescent="0.2">
      <c r="B77" t="s">
        <v>27</v>
      </c>
      <c r="C77">
        <v>5.99</v>
      </c>
      <c r="D77" s="34">
        <v>4.5599999999999996</v>
      </c>
      <c r="E77" s="34">
        <v>6.0019999999999998</v>
      </c>
      <c r="F77">
        <v>5.57</v>
      </c>
      <c r="G77" s="5">
        <f>MECS_data!T13</f>
        <v>4.2699999999999996</v>
      </c>
      <c r="H77" s="4">
        <f>MECS_data!T40</f>
        <v>6.28</v>
      </c>
      <c r="I77" s="4">
        <f>MECS_data!T70</f>
        <v>15</v>
      </c>
      <c r="J77" s="4">
        <f>MECS_data!T98</f>
        <v>20.54</v>
      </c>
      <c r="K77" s="4">
        <f>MECS_data!S126</f>
        <v>15</v>
      </c>
    </row>
    <row r="78" spans="2:11" x14ac:dyDescent="0.2">
      <c r="B78" t="s">
        <v>29</v>
      </c>
      <c r="C78">
        <v>5.34</v>
      </c>
      <c r="D78" s="34">
        <v>4.5599999999999996</v>
      </c>
      <c r="E78" s="34">
        <v>5.1639999999999997</v>
      </c>
      <c r="F78">
        <v>4.4400000000000004</v>
      </c>
      <c r="G78" s="5">
        <f>MECS_data!T14</f>
        <v>3.85</v>
      </c>
      <c r="H78" s="4">
        <f>MECS_data!T41</f>
        <v>6.08</v>
      </c>
      <c r="I78" s="4">
        <f>MECS_data!T71</f>
        <v>13.03</v>
      </c>
      <c r="J78" s="4">
        <f>MECS_data!T99</f>
        <v>16.37</v>
      </c>
      <c r="K78" s="4">
        <f>MECS_data!S127</f>
        <v>13.2</v>
      </c>
    </row>
    <row r="79" spans="2:11" x14ac:dyDescent="0.2">
      <c r="B79" t="s">
        <v>31</v>
      </c>
      <c r="C79">
        <v>5.83</v>
      </c>
      <c r="D79" s="34">
        <v>4.3</v>
      </c>
      <c r="E79" s="34">
        <v>5.2839999999999998</v>
      </c>
      <c r="F79">
        <v>4.84</v>
      </c>
      <c r="G79" s="5">
        <f>MECS_data!T15</f>
        <v>4.68</v>
      </c>
      <c r="H79" s="4">
        <f>MECS_data!T42</f>
        <v>6.1</v>
      </c>
      <c r="I79" s="4">
        <f>MECS_data!T72</f>
        <v>13.34</v>
      </c>
      <c r="J79" s="4">
        <f>MECS_data!T100</f>
        <v>17.05</v>
      </c>
      <c r="K79" s="4">
        <f>MECS_data!S128</f>
        <v>13.9</v>
      </c>
    </row>
    <row r="80" spans="2:11" x14ac:dyDescent="0.2">
      <c r="B80" t="s">
        <v>33</v>
      </c>
      <c r="C80">
        <v>6.16</v>
      </c>
      <c r="D80" s="34">
        <v>7.46</v>
      </c>
      <c r="E80" s="34">
        <v>5.3719999999999999</v>
      </c>
      <c r="F80">
        <v>4.5599999999999996</v>
      </c>
      <c r="G80" s="5">
        <f>MECS_data!T16</f>
        <v>5.59</v>
      </c>
      <c r="H80" s="4">
        <f>MECS_data!T43</f>
        <v>6.66</v>
      </c>
      <c r="I80" s="4">
        <f>MECS_data!T73</f>
        <v>13.94</v>
      </c>
      <c r="J80" s="4">
        <f>MECS_data!T101</f>
        <v>22.73</v>
      </c>
      <c r="K80" s="4">
        <f>MECS_data!S129</f>
        <v>0</v>
      </c>
    </row>
    <row r="81" spans="2:11" x14ac:dyDescent="0.2">
      <c r="B81" t="s">
        <v>35</v>
      </c>
      <c r="C81">
        <v>6.44</v>
      </c>
      <c r="D81" s="34">
        <v>5.04</v>
      </c>
      <c r="E81" s="34">
        <v>6.01</v>
      </c>
      <c r="F81">
        <v>5.49</v>
      </c>
      <c r="G81" s="5">
        <f>MECS_data!T17</f>
        <v>4.7699999999999996</v>
      </c>
      <c r="H81" s="4">
        <f>MECS_data!T44</f>
        <v>7.5</v>
      </c>
      <c r="I81" s="4">
        <f>MECS_data!T74</f>
        <v>18.329999999999998</v>
      </c>
      <c r="J81" s="4">
        <f>MECS_data!T102</f>
        <v>16.7</v>
      </c>
      <c r="K81" s="4">
        <f>MECS_data!S130</f>
        <v>11.01</v>
      </c>
    </row>
    <row r="82" spans="2:11" x14ac:dyDescent="0.2">
      <c r="B82" t="s">
        <v>37</v>
      </c>
      <c r="C82">
        <v>6.06</v>
      </c>
      <c r="D82" s="34">
        <v>4.18</v>
      </c>
      <c r="E82" s="34">
        <v>5.835</v>
      </c>
      <c r="F82">
        <v>4.57</v>
      </c>
      <c r="G82" s="5">
        <f>MECS_data!T18</f>
        <v>5.0999999999999996</v>
      </c>
      <c r="H82" s="4">
        <f>MECS_data!T45</f>
        <v>4.7300000000000004</v>
      </c>
      <c r="I82" s="4">
        <f>MECS_data!T75</f>
        <v>15.44</v>
      </c>
      <c r="J82" s="4">
        <f>MECS_data!T103</f>
        <v>15.01</v>
      </c>
      <c r="K82" s="4">
        <f>MECS_data!S131</f>
        <v>15.64</v>
      </c>
    </row>
    <row r="83" spans="2:11" x14ac:dyDescent="0.2">
      <c r="B83" t="s">
        <v>39</v>
      </c>
      <c r="C83">
        <v>6.54</v>
      </c>
      <c r="D83" s="34">
        <v>4.7699999999999996</v>
      </c>
      <c r="E83" s="34">
        <v>5.7060000000000004</v>
      </c>
      <c r="F83">
        <v>5.44</v>
      </c>
      <c r="G83" s="5">
        <f>MECS_data!T19</f>
        <v>5.0599999999999996</v>
      </c>
      <c r="H83" s="4">
        <f>MECS_data!T46</f>
        <v>6.77</v>
      </c>
      <c r="I83" s="4">
        <f>MECS_data!T76</f>
        <v>20.399999999999999</v>
      </c>
      <c r="J83" s="4">
        <f>MECS_data!T104</f>
        <v>21.39</v>
      </c>
      <c r="K83" s="4">
        <f>MECS_data!S132</f>
        <v>0</v>
      </c>
    </row>
    <row r="84" spans="2:11" x14ac:dyDescent="0.2">
      <c r="B84" t="s">
        <v>41</v>
      </c>
      <c r="C84">
        <v>6.23</v>
      </c>
      <c r="D84" s="34">
        <v>4.3600000000000003</v>
      </c>
      <c r="E84" s="34">
        <v>5.7990000000000004</v>
      </c>
      <c r="F84">
        <v>5.24</v>
      </c>
      <c r="G84" s="5">
        <f>MECS_data!T20</f>
        <v>5.13</v>
      </c>
      <c r="H84" s="4">
        <f>MECS_data!T47</f>
        <v>8.69</v>
      </c>
      <c r="I84" s="4">
        <f>MECS_data!T77</f>
        <v>18.73</v>
      </c>
      <c r="J84" s="4">
        <f>MECS_data!T105</f>
        <v>19.73</v>
      </c>
      <c r="K84" s="4">
        <f>MECS_data!S133</f>
        <v>22.65</v>
      </c>
    </row>
    <row r="85" spans="2:11" x14ac:dyDescent="0.2">
      <c r="B85" t="s">
        <v>43</v>
      </c>
      <c r="C85">
        <f>0.7*C86+0.3*C92</f>
        <v>6.109</v>
      </c>
      <c r="D85">
        <f>0.7*D86+0.3*D92</f>
        <v>4.181</v>
      </c>
      <c r="E85">
        <f>0.7*E86+0.3*E92</f>
        <v>5.1280000000000001</v>
      </c>
      <c r="F85">
        <f>0.7*F86+0.3*F92</f>
        <v>5.2349999999999994</v>
      </c>
      <c r="G85" s="5">
        <f>MECS_data!T21</f>
        <v>4.6900000000000004</v>
      </c>
      <c r="H85" s="4">
        <f>MECS_data!T48</f>
        <v>6.88</v>
      </c>
      <c r="I85" s="4">
        <f>MECS_data!T78</f>
        <v>14.38</v>
      </c>
      <c r="J85" s="4">
        <f>MECS_data!T106</f>
        <v>19.8</v>
      </c>
      <c r="K85" s="4">
        <f>MECS_data!S134</f>
        <v>23.1</v>
      </c>
    </row>
    <row r="86" spans="2:11" x14ac:dyDescent="0.2">
      <c r="B86" t="s">
        <v>45</v>
      </c>
      <c r="C86">
        <v>6.1</v>
      </c>
      <c r="D86">
        <v>4.37</v>
      </c>
      <c r="E86">
        <v>5.2450000000000001</v>
      </c>
      <c r="F86">
        <v>5.25</v>
      </c>
      <c r="G86" s="5">
        <f>MECS_data!T22</f>
        <v>5.49</v>
      </c>
      <c r="H86" s="4">
        <f>MECS_data!T49</f>
        <v>6.73</v>
      </c>
      <c r="I86" s="4">
        <f>MECS_data!T79</f>
        <v>12.52</v>
      </c>
      <c r="J86" s="4">
        <f>MECS_data!T107</f>
        <v>18.37</v>
      </c>
      <c r="K86" s="4">
        <f>MECS_data!S135</f>
        <v>0</v>
      </c>
    </row>
    <row r="87" spans="2:11" x14ac:dyDescent="0.2">
      <c r="B87" t="s">
        <v>47</v>
      </c>
      <c r="C87">
        <v>6.17</v>
      </c>
      <c r="D87" s="39">
        <v>4.4000000000000004</v>
      </c>
      <c r="E87">
        <v>5.3780000000000001</v>
      </c>
      <c r="F87">
        <v>4.12</v>
      </c>
      <c r="G87" s="5">
        <f>MECS_data!T23</f>
        <v>4.84</v>
      </c>
      <c r="H87" s="4">
        <f>MECS_data!T50</f>
        <v>7.73</v>
      </c>
      <c r="I87" s="4">
        <f>MECS_data!T80</f>
        <v>16.579999999999998</v>
      </c>
      <c r="J87" s="4">
        <f>MECS_data!T108</f>
        <v>21.58</v>
      </c>
      <c r="K87" s="4">
        <f>MECS_data!S136</f>
        <v>15.5</v>
      </c>
    </row>
    <row r="88" spans="2:11" x14ac:dyDescent="0.2">
      <c r="B88" t="s">
        <v>49</v>
      </c>
      <c r="C88">
        <v>6.59</v>
      </c>
      <c r="D88" s="37">
        <v>5.22</v>
      </c>
      <c r="E88">
        <v>5.8209999999999997</v>
      </c>
      <c r="F88">
        <v>5.57</v>
      </c>
      <c r="G88" s="5">
        <f>MECS_data!T24</f>
        <v>5.41</v>
      </c>
      <c r="H88" s="4">
        <f>MECS_data!T51</f>
        <v>8.2200000000000006</v>
      </c>
      <c r="I88" s="4">
        <f>MECS_data!T81</f>
        <v>16.940000000000001</v>
      </c>
      <c r="J88" s="4">
        <f>MECS_data!T109</f>
        <v>20.07</v>
      </c>
      <c r="K88" s="4">
        <f>MECS_data!S137</f>
        <v>0</v>
      </c>
    </row>
    <row r="89" spans="2:11" x14ac:dyDescent="0.2">
      <c r="B89" t="s">
        <v>51</v>
      </c>
      <c r="C89">
        <v>6.61</v>
      </c>
      <c r="D89">
        <v>4.9800000000000004</v>
      </c>
      <c r="E89">
        <v>6.1180000000000003</v>
      </c>
      <c r="F89">
        <v>3.88</v>
      </c>
      <c r="G89" s="5">
        <f>MECS_data!T25</f>
        <v>4.3</v>
      </c>
      <c r="H89" s="4">
        <f>MECS_data!T52</f>
        <v>7.07</v>
      </c>
      <c r="I89" s="4">
        <f>MECS_data!T82</f>
        <v>17.32</v>
      </c>
      <c r="J89" s="4">
        <f>MECS_data!T110</f>
        <v>18.23</v>
      </c>
      <c r="K89" s="4">
        <f>MECS_data!S138</f>
        <v>18.71</v>
      </c>
    </row>
    <row r="90" spans="2:11" x14ac:dyDescent="0.2">
      <c r="B90" t="s">
        <v>0</v>
      </c>
      <c r="C90">
        <v>6.18</v>
      </c>
      <c r="D90">
        <v>4.66</v>
      </c>
      <c r="E90">
        <v>5.625</v>
      </c>
      <c r="F90">
        <v>5.14</v>
      </c>
      <c r="G90" s="5">
        <f>MECS_data!T26</f>
        <v>4.5</v>
      </c>
      <c r="H90" s="4">
        <f>MECS_data!T53</f>
        <v>6.56</v>
      </c>
      <c r="I90" s="4">
        <f>MECS_data!T83</f>
        <v>15.65</v>
      </c>
    </row>
    <row r="92" spans="2:11" x14ac:dyDescent="0.2">
      <c r="B92" t="s">
        <v>101</v>
      </c>
      <c r="C92">
        <v>6.13</v>
      </c>
      <c r="D92">
        <v>3.74</v>
      </c>
      <c r="E92">
        <v>4.8550000000000004</v>
      </c>
      <c r="F92">
        <v>5.2</v>
      </c>
    </row>
    <row r="94" spans="2:11" x14ac:dyDescent="0.2">
      <c r="B94" t="s">
        <v>106</v>
      </c>
      <c r="C94">
        <f>C69/C90</f>
        <v>1.0647249190938513</v>
      </c>
      <c r="E94">
        <f>E69/E90</f>
        <v>1.0780444444444444</v>
      </c>
    </row>
    <row r="98" spans="2:11" ht="29.25" customHeight="1" x14ac:dyDescent="0.2">
      <c r="B98" s="33" t="s">
        <v>53</v>
      </c>
      <c r="C98" s="40" t="s">
        <v>103</v>
      </c>
      <c r="D98" s="40" t="s">
        <v>105</v>
      </c>
      <c r="E98" s="40" t="s">
        <v>107</v>
      </c>
      <c r="F98" s="40" t="s">
        <v>104</v>
      </c>
      <c r="G98" s="40"/>
      <c r="H98" s="40"/>
      <c r="I98" s="40"/>
      <c r="J98" s="40"/>
      <c r="K98" s="40"/>
    </row>
    <row r="99" spans="2:11" x14ac:dyDescent="0.2">
      <c r="C99" s="35">
        <v>1985</v>
      </c>
      <c r="D99" s="35">
        <v>1988</v>
      </c>
      <c r="E99" s="35">
        <v>1991</v>
      </c>
      <c r="F99" s="35">
        <v>1994</v>
      </c>
      <c r="G99" s="35">
        <v>1998</v>
      </c>
      <c r="H99" s="35">
        <v>2002</v>
      </c>
      <c r="I99" s="35">
        <v>2006</v>
      </c>
      <c r="J99" s="35">
        <v>2010</v>
      </c>
      <c r="K99" s="35">
        <v>2014</v>
      </c>
    </row>
    <row r="100" spans="2:11" x14ac:dyDescent="0.2">
      <c r="B100" t="s">
        <v>11</v>
      </c>
      <c r="C100">
        <v>4.29</v>
      </c>
      <c r="D100" s="36">
        <v>2.65</v>
      </c>
      <c r="E100">
        <v>2.8540000000000001</v>
      </c>
      <c r="F100">
        <v>2.79</v>
      </c>
      <c r="G100" s="5">
        <f>MECS_data!S5</f>
        <v>2.7</v>
      </c>
      <c r="H100" s="4">
        <f>MECS_data!S32</f>
        <v>4.29</v>
      </c>
      <c r="I100" s="4">
        <f>MECS_data!S62</f>
        <v>8</v>
      </c>
      <c r="J100" s="4">
        <f>MECS_data!S90</f>
        <v>11.16</v>
      </c>
      <c r="K100" s="4">
        <f>MECS_data!T118</f>
        <v>22.71</v>
      </c>
    </row>
    <row r="101" spans="2:11" x14ac:dyDescent="0.2">
      <c r="B101" t="s">
        <v>13</v>
      </c>
      <c r="C101" s="76">
        <f>$H124*C124+$I124*C100</f>
        <v>4.3319999999999999</v>
      </c>
      <c r="D101" s="76">
        <f>$H124*D124+$I124*D100</f>
        <v>2.6379999999999999</v>
      </c>
      <c r="E101" s="76">
        <f t="shared" ref="E101:F101" si="1">$H124*E124+$I124*E100</f>
        <v>2.7709000000000001</v>
      </c>
      <c r="F101" s="76">
        <f t="shared" si="1"/>
        <v>2.8289999999999997</v>
      </c>
      <c r="G101" s="5">
        <f>MECS_data!S6</f>
        <v>2.68</v>
      </c>
      <c r="H101" s="4">
        <f>MECS_data!S33</f>
        <v>4.59</v>
      </c>
      <c r="I101" s="4">
        <f>MECS_data!S63</f>
        <v>8.4499999999999993</v>
      </c>
      <c r="J101" s="4">
        <f>MECS_data!S91</f>
        <v>11.02</v>
      </c>
      <c r="K101" s="4">
        <f>MECS_data!T119</f>
        <v>19.989999999999998</v>
      </c>
    </row>
    <row r="102" spans="2:11" x14ac:dyDescent="0.2">
      <c r="B102" t="s">
        <v>15</v>
      </c>
      <c r="C102">
        <v>4.7699999999999996</v>
      </c>
      <c r="D102" s="34">
        <v>2.78</v>
      </c>
      <c r="E102">
        <v>2.8090000000000002</v>
      </c>
      <c r="F102">
        <v>2.94</v>
      </c>
      <c r="G102" s="5">
        <f>MECS_data!S7</f>
        <v>2.82</v>
      </c>
      <c r="H102" s="4">
        <f>MECS_data!S34</f>
        <v>4.8899999999999997</v>
      </c>
      <c r="I102" s="4">
        <f>MECS_data!S64</f>
        <v>8.49</v>
      </c>
      <c r="J102" s="4">
        <f>MECS_data!S92</f>
        <v>13.84</v>
      </c>
      <c r="K102" s="4">
        <f>MECS_data!T120</f>
        <v>24.22</v>
      </c>
    </row>
    <row r="103" spans="2:11" x14ac:dyDescent="0.2">
      <c r="B103" t="s">
        <v>17</v>
      </c>
      <c r="C103">
        <v>4.7699999999999996</v>
      </c>
      <c r="D103" s="34">
        <v>2.78</v>
      </c>
      <c r="E103">
        <v>2.8090000000000002</v>
      </c>
      <c r="F103">
        <v>2.94</v>
      </c>
      <c r="G103" s="5">
        <f>MECS_data!S8</f>
        <v>2.8</v>
      </c>
      <c r="H103" s="4">
        <f>MECS_data!S35</f>
        <v>5</v>
      </c>
      <c r="I103" s="4">
        <f>MECS_data!S65</f>
        <v>8.5</v>
      </c>
      <c r="J103" s="4">
        <f>MECS_data!S93</f>
        <v>17.64</v>
      </c>
      <c r="K103" s="4">
        <f>MECS_data!T121</f>
        <v>23.75</v>
      </c>
    </row>
    <row r="104" spans="2:11" x14ac:dyDescent="0.2">
      <c r="B104" t="s">
        <v>19</v>
      </c>
      <c r="C104">
        <v>4.97</v>
      </c>
      <c r="D104" s="34">
        <v>3.13</v>
      </c>
      <c r="E104">
        <v>3.121</v>
      </c>
      <c r="F104">
        <v>3.14</v>
      </c>
      <c r="G104" s="5">
        <f>MECS_data!S9</f>
        <v>2.77</v>
      </c>
      <c r="H104" s="4">
        <f>MECS_data!S36</f>
        <v>5</v>
      </c>
      <c r="I104" s="4">
        <f>MECS_data!S66</f>
        <v>8.5</v>
      </c>
      <c r="J104" s="4">
        <f>MECS_data!S94</f>
        <v>19</v>
      </c>
      <c r="K104" s="4">
        <f>MECS_data!T122</f>
        <v>20</v>
      </c>
    </row>
    <row r="105" spans="2:11" x14ac:dyDescent="0.2">
      <c r="B105" t="s">
        <v>21</v>
      </c>
      <c r="C105">
        <v>4.38</v>
      </c>
      <c r="D105" s="34">
        <v>2.48</v>
      </c>
      <c r="E105">
        <v>2.6259999999999999</v>
      </c>
      <c r="F105">
        <v>2.23</v>
      </c>
      <c r="G105" s="5">
        <f>MECS_data!S10</f>
        <v>2.6</v>
      </c>
      <c r="H105" s="4">
        <f>MECS_data!S37</f>
        <v>3.87</v>
      </c>
      <c r="I105" s="4">
        <f>MECS_data!S67</f>
        <v>8.57</v>
      </c>
      <c r="J105" s="4">
        <f>MECS_data!S95</f>
        <v>16.05</v>
      </c>
      <c r="K105" s="4">
        <f>MECS_data!T123</f>
        <v>23.28</v>
      </c>
    </row>
    <row r="106" spans="2:11" x14ac:dyDescent="0.2">
      <c r="B106" t="s">
        <v>23</v>
      </c>
      <c r="C106">
        <v>4.6500000000000004</v>
      </c>
      <c r="D106" s="32">
        <v>2.65</v>
      </c>
      <c r="E106">
        <v>2.68</v>
      </c>
      <c r="F106">
        <v>2.61</v>
      </c>
      <c r="G106" s="5">
        <f>MECS_data!S11</f>
        <v>2.6</v>
      </c>
      <c r="H106" s="4">
        <f>MECS_data!S38</f>
        <v>4</v>
      </c>
      <c r="I106" s="4">
        <f>MECS_data!S68</f>
        <v>8.33</v>
      </c>
      <c r="J106" s="4">
        <f>MECS_data!S96</f>
        <v>11.44</v>
      </c>
      <c r="K106" s="4">
        <f>MECS_data!T124</f>
        <v>21.81</v>
      </c>
    </row>
    <row r="107" spans="2:11" x14ac:dyDescent="0.2">
      <c r="B107" t="s">
        <v>25</v>
      </c>
      <c r="C107">
        <v>4.24</v>
      </c>
      <c r="D107" s="34">
        <v>2.36</v>
      </c>
      <c r="E107">
        <v>2.5219999999999998</v>
      </c>
      <c r="F107">
        <v>2.4900000000000002</v>
      </c>
      <c r="G107" s="5">
        <f>MECS_data!S12</f>
        <v>2.37</v>
      </c>
      <c r="H107" s="4">
        <f>MECS_data!S39</f>
        <v>3.71</v>
      </c>
      <c r="I107" s="4">
        <f>MECS_data!S69</f>
        <v>7.82</v>
      </c>
      <c r="J107" s="4">
        <f>MECS_data!S97</f>
        <v>11.46</v>
      </c>
      <c r="K107" s="4">
        <f>MECS_data!T125</f>
        <v>20.440000000000001</v>
      </c>
    </row>
    <row r="108" spans="2:11" x14ac:dyDescent="0.2">
      <c r="B108" t="s">
        <v>27</v>
      </c>
      <c r="C108">
        <v>4.6399999999999997</v>
      </c>
      <c r="D108" s="34">
        <v>3.11</v>
      </c>
      <c r="E108" s="34">
        <v>3.7170000000000001</v>
      </c>
      <c r="F108" s="34">
        <v>3.39</v>
      </c>
      <c r="G108" s="5">
        <f>MECS_data!S13</f>
        <v>2.6</v>
      </c>
      <c r="H108" s="4">
        <f>MECS_data!S40</f>
        <v>5</v>
      </c>
      <c r="I108" s="4">
        <f>MECS_data!S70</f>
        <v>8.5</v>
      </c>
      <c r="J108" s="4">
        <f>MECS_data!S98</f>
        <v>9.82</v>
      </c>
      <c r="K108" s="4">
        <f>MECS_data!T126</f>
        <v>20</v>
      </c>
    </row>
    <row r="109" spans="2:11" x14ac:dyDescent="0.2">
      <c r="B109" t="s">
        <v>29</v>
      </c>
      <c r="C109">
        <v>4</v>
      </c>
      <c r="D109" s="34">
        <v>3.03</v>
      </c>
      <c r="E109" s="32">
        <v>3</v>
      </c>
      <c r="F109" s="34">
        <v>2.99</v>
      </c>
      <c r="G109" s="5">
        <f>MECS_data!S14</f>
        <v>2.2999999999999998</v>
      </c>
      <c r="H109" s="4">
        <f>MECS_data!S41</f>
        <v>3.23</v>
      </c>
      <c r="I109" s="4">
        <f>MECS_data!S71</f>
        <v>5</v>
      </c>
      <c r="J109" s="4">
        <f>MECS_data!S99</f>
        <v>8.3699999999999992</v>
      </c>
      <c r="K109" s="4">
        <f>MECS_data!T127</f>
        <v>16.34</v>
      </c>
    </row>
    <row r="110" spans="2:11" x14ac:dyDescent="0.2">
      <c r="B110" t="s">
        <v>31</v>
      </c>
      <c r="C110">
        <v>4.33</v>
      </c>
      <c r="D110" s="34">
        <v>2.4900000000000002</v>
      </c>
      <c r="E110" s="34">
        <v>2.3580000000000001</v>
      </c>
      <c r="F110" s="34">
        <v>3.39</v>
      </c>
      <c r="G110" s="5">
        <f>MECS_data!S15</f>
        <v>2.67</v>
      </c>
      <c r="H110" s="4">
        <f>MECS_data!S42</f>
        <v>3.64</v>
      </c>
      <c r="I110" s="4">
        <f>MECS_data!S72</f>
        <v>7.57</v>
      </c>
      <c r="J110" s="4">
        <f>MECS_data!S100</f>
        <v>10.61</v>
      </c>
      <c r="K110" s="4">
        <f>MECS_data!T128</f>
        <v>21.41</v>
      </c>
    </row>
    <row r="111" spans="2:11" x14ac:dyDescent="0.2">
      <c r="B111" t="s">
        <v>33</v>
      </c>
      <c r="C111">
        <v>4.5599999999999996</v>
      </c>
      <c r="D111" s="32">
        <v>2.6</v>
      </c>
      <c r="E111" s="34">
        <v>2.4940000000000002</v>
      </c>
      <c r="F111" s="34">
        <v>2.68</v>
      </c>
      <c r="G111" s="5">
        <f>MECS_data!S16</f>
        <v>2.5499999999999998</v>
      </c>
      <c r="H111" s="4">
        <f>MECS_data!S43</f>
        <v>3.86</v>
      </c>
      <c r="I111" s="4">
        <f>MECS_data!S73</f>
        <v>8.67</v>
      </c>
      <c r="J111" s="4">
        <f>MECS_data!S101</f>
        <v>12.8</v>
      </c>
      <c r="K111" s="4">
        <f>MECS_data!T129</f>
        <v>12</v>
      </c>
    </row>
    <row r="112" spans="2:11" x14ac:dyDescent="0.2">
      <c r="B112" t="s">
        <v>35</v>
      </c>
      <c r="C112">
        <v>4.34</v>
      </c>
      <c r="D112" s="32">
        <v>2.7</v>
      </c>
      <c r="E112" s="34">
        <v>3.141</v>
      </c>
      <c r="F112" s="34">
        <v>2.81</v>
      </c>
      <c r="G112" s="5">
        <f>MECS_data!S17</f>
        <v>2.92</v>
      </c>
      <c r="H112" s="4">
        <f>MECS_data!S44</f>
        <v>3.99</v>
      </c>
      <c r="I112" s="4">
        <f>MECS_data!S74</f>
        <v>8.4</v>
      </c>
      <c r="J112" s="4">
        <f>MECS_data!S102</f>
        <v>11.6</v>
      </c>
      <c r="K112" s="4">
        <f>MECS_data!T130</f>
        <v>18.899999999999999</v>
      </c>
    </row>
    <row r="113" spans="2:11" x14ac:dyDescent="0.2">
      <c r="B113" t="s">
        <v>37</v>
      </c>
      <c r="C113">
        <v>4.18</v>
      </c>
      <c r="D113" s="34">
        <v>2.29</v>
      </c>
      <c r="E113" s="34">
        <v>2.1720000000000002</v>
      </c>
      <c r="F113" s="34">
        <v>2.62</v>
      </c>
      <c r="G113" s="5">
        <f>MECS_data!S18</f>
        <v>2.2200000000000002</v>
      </c>
      <c r="H113" s="4">
        <f>MECS_data!S45</f>
        <v>4.25</v>
      </c>
      <c r="I113" s="4">
        <f>MECS_data!S75</f>
        <v>6.04</v>
      </c>
      <c r="J113" s="4">
        <f>MECS_data!S103</f>
        <v>10.37</v>
      </c>
      <c r="K113" s="4">
        <f>MECS_data!T131</f>
        <v>22.24</v>
      </c>
    </row>
    <row r="114" spans="2:11" x14ac:dyDescent="0.2">
      <c r="B114" t="s">
        <v>39</v>
      </c>
      <c r="C114">
        <v>4.6900000000000004</v>
      </c>
      <c r="D114" s="34">
        <v>3.17</v>
      </c>
      <c r="E114" s="34">
        <v>3.1589999999999998</v>
      </c>
      <c r="F114" s="34">
        <v>3.75</v>
      </c>
      <c r="G114" s="5">
        <f>MECS_data!S19</f>
        <v>2.85</v>
      </c>
      <c r="H114" s="4">
        <f>MECS_data!S46</f>
        <v>4.25</v>
      </c>
      <c r="I114" s="4">
        <f>MECS_data!S76</f>
        <v>8</v>
      </c>
      <c r="J114" s="4">
        <f>MECS_data!S104</f>
        <v>6.36</v>
      </c>
      <c r="K114" s="4">
        <f>MECS_data!T132</f>
        <v>18</v>
      </c>
    </row>
    <row r="115" spans="2:11" x14ac:dyDescent="0.2">
      <c r="B115" t="s">
        <v>41</v>
      </c>
      <c r="C115">
        <v>4.6399999999999997</v>
      </c>
      <c r="D115" s="34">
        <v>3.02</v>
      </c>
      <c r="E115" s="34">
        <v>3.0790000000000002</v>
      </c>
      <c r="F115" s="34">
        <v>3.18</v>
      </c>
      <c r="G115" s="5">
        <f>MECS_data!S20</f>
        <v>2.36</v>
      </c>
      <c r="H115" s="4">
        <f>MECS_data!S47</f>
        <v>4.1500000000000004</v>
      </c>
      <c r="I115" s="4">
        <f>MECS_data!S77</f>
        <v>8</v>
      </c>
      <c r="J115" s="4">
        <f>MECS_data!S105</f>
        <v>7.7</v>
      </c>
      <c r="K115" s="4">
        <f>MECS_data!T133</f>
        <v>35.5</v>
      </c>
    </row>
    <row r="116" spans="2:11" x14ac:dyDescent="0.2">
      <c r="B116" t="s">
        <v>43</v>
      </c>
      <c r="C116">
        <f>0.7*C117+0.3*C123</f>
        <v>4.6659999999999995</v>
      </c>
      <c r="D116">
        <f>0.7*D117+0.3*D123</f>
        <v>2.6469999999999998</v>
      </c>
      <c r="E116">
        <f>0.7*E117+0.3*E123</f>
        <v>3.3769999999999998</v>
      </c>
      <c r="F116">
        <f>0.7*F117+0.3*F123</f>
        <v>3.3330000000000002</v>
      </c>
      <c r="G116" s="5">
        <f>MECS_data!S21</f>
        <v>2.5</v>
      </c>
      <c r="H116" s="4">
        <f>MECS_data!S48</f>
        <v>4.97</v>
      </c>
      <c r="I116" s="4">
        <f>MECS_data!S78</f>
        <v>9.19</v>
      </c>
      <c r="J116" s="4">
        <f>MECS_data!S106</f>
        <v>14.32</v>
      </c>
      <c r="K116" s="4">
        <f>MECS_data!T134</f>
        <v>24.52</v>
      </c>
    </row>
    <row r="117" spans="2:11" x14ac:dyDescent="0.2">
      <c r="B117" t="s">
        <v>45</v>
      </c>
      <c r="C117">
        <v>4.75</v>
      </c>
      <c r="D117">
        <v>2.71</v>
      </c>
      <c r="E117">
        <v>3.47</v>
      </c>
      <c r="F117">
        <v>3.48</v>
      </c>
      <c r="G117" s="5">
        <f>MECS_data!S22</f>
        <v>2.93</v>
      </c>
      <c r="H117" s="4">
        <f>MECS_data!S49</f>
        <v>4.5999999999999996</v>
      </c>
      <c r="I117" s="4">
        <f>MECS_data!S79</f>
        <v>9</v>
      </c>
      <c r="J117" s="4">
        <f>MECS_data!S107</f>
        <v>12.64</v>
      </c>
      <c r="K117" s="4">
        <f>MECS_data!T135</f>
        <v>26</v>
      </c>
    </row>
    <row r="118" spans="2:11" x14ac:dyDescent="0.2">
      <c r="B118" t="s">
        <v>47</v>
      </c>
      <c r="C118">
        <v>4.84</v>
      </c>
      <c r="D118" s="38">
        <v>2.88</v>
      </c>
      <c r="E118">
        <v>3.0350000000000001</v>
      </c>
      <c r="F118">
        <v>2.68</v>
      </c>
      <c r="G118" s="5">
        <f>MECS_data!S23</f>
        <v>2.79</v>
      </c>
      <c r="H118" s="4">
        <f>MECS_data!S50</f>
        <v>4.24</v>
      </c>
      <c r="I118" s="4">
        <f>MECS_data!S80</f>
        <v>7.56</v>
      </c>
      <c r="J118" s="4">
        <f>MECS_data!S108</f>
        <v>9.23</v>
      </c>
      <c r="K118" s="4">
        <f>MECS_data!T136</f>
        <v>17.96</v>
      </c>
    </row>
    <row r="119" spans="2:11" x14ac:dyDescent="0.2">
      <c r="B119" t="s">
        <v>49</v>
      </c>
      <c r="C119">
        <v>4.88</v>
      </c>
      <c r="D119" s="37">
        <v>3.14</v>
      </c>
      <c r="E119">
        <v>3.3119999999999998</v>
      </c>
      <c r="F119">
        <v>3.48</v>
      </c>
      <c r="G119" s="5">
        <f>MECS_data!S24</f>
        <v>2.6</v>
      </c>
      <c r="H119" s="4">
        <f>MECS_data!S51</f>
        <v>4</v>
      </c>
      <c r="I119" s="4">
        <f>MECS_data!S81</f>
        <v>8</v>
      </c>
      <c r="J119" s="4">
        <f>MECS_data!S109</f>
        <v>19</v>
      </c>
      <c r="K119" s="4">
        <f>MECS_data!T137</f>
        <v>19</v>
      </c>
    </row>
    <row r="120" spans="2:11" x14ac:dyDescent="0.2">
      <c r="B120" t="s">
        <v>51</v>
      </c>
      <c r="C120">
        <v>4.95</v>
      </c>
      <c r="D120">
        <v>2.87</v>
      </c>
      <c r="E120">
        <v>2.9529999999999998</v>
      </c>
      <c r="F120" s="32">
        <v>3</v>
      </c>
      <c r="G120" s="5">
        <f>MECS_data!S25</f>
        <v>2.6</v>
      </c>
      <c r="H120" s="4">
        <f>MECS_data!S52</f>
        <v>4</v>
      </c>
      <c r="I120" s="4">
        <f>MECS_data!S82</f>
        <v>8</v>
      </c>
      <c r="J120" s="4">
        <f>MECS_data!S110</f>
        <v>19.88</v>
      </c>
      <c r="K120" s="4">
        <f>MECS_data!T138</f>
        <v>30.56</v>
      </c>
    </row>
    <row r="121" spans="2:11" x14ac:dyDescent="0.2">
      <c r="B121" t="s">
        <v>0</v>
      </c>
      <c r="C121">
        <v>4.33</v>
      </c>
      <c r="D121">
        <v>2.5</v>
      </c>
      <c r="E121">
        <v>2.54</v>
      </c>
      <c r="F121">
        <v>2.58</v>
      </c>
      <c r="G121" s="5">
        <f>MECS_data!S26</f>
        <v>2.4900000000000002</v>
      </c>
      <c r="H121" s="4">
        <f>MECS_data!S53</f>
        <v>3.78</v>
      </c>
      <c r="I121" s="4">
        <f>MECS_data!S83</f>
        <v>7.74</v>
      </c>
    </row>
    <row r="123" spans="2:11" x14ac:dyDescent="0.2">
      <c r="B123" t="s">
        <v>101</v>
      </c>
      <c r="C123">
        <v>4.47</v>
      </c>
      <c r="D123">
        <v>2.5</v>
      </c>
      <c r="E123">
        <v>3.16</v>
      </c>
      <c r="F123">
        <v>2.99</v>
      </c>
      <c r="H123" t="s">
        <v>197</v>
      </c>
    </row>
    <row r="124" spans="2:11" x14ac:dyDescent="0.2">
      <c r="B124" t="s">
        <v>134</v>
      </c>
      <c r="C124">
        <v>4.43</v>
      </c>
      <c r="D124" s="34">
        <v>2.61</v>
      </c>
      <c r="E124">
        <v>2.577</v>
      </c>
      <c r="F124">
        <v>2.92</v>
      </c>
      <c r="H124">
        <v>0.3</v>
      </c>
      <c r="I124">
        <v>0.7</v>
      </c>
    </row>
    <row r="127" spans="2:11" ht="25.5" x14ac:dyDescent="0.2">
      <c r="B127" s="33" t="s">
        <v>62</v>
      </c>
      <c r="C127" s="40" t="s">
        <v>103</v>
      </c>
      <c r="D127" s="40" t="s">
        <v>105</v>
      </c>
      <c r="E127" s="40" t="s">
        <v>107</v>
      </c>
      <c r="F127" s="40" t="s">
        <v>104</v>
      </c>
      <c r="G127" s="40"/>
      <c r="H127" s="40"/>
      <c r="I127" s="40"/>
      <c r="J127" s="40"/>
    </row>
    <row r="128" spans="2:11" x14ac:dyDescent="0.2">
      <c r="C128" s="35">
        <v>1985</v>
      </c>
      <c r="D128" s="35">
        <v>1988</v>
      </c>
      <c r="E128" s="35">
        <v>1991</v>
      </c>
      <c r="F128" s="35">
        <v>1994</v>
      </c>
      <c r="G128" s="35">
        <v>1998</v>
      </c>
      <c r="H128" s="35">
        <v>2002</v>
      </c>
      <c r="I128" s="35">
        <v>2006</v>
      </c>
      <c r="J128" s="35">
        <v>2010</v>
      </c>
      <c r="K128" s="35">
        <v>2014</v>
      </c>
    </row>
    <row r="129" spans="2:13" x14ac:dyDescent="0.2">
      <c r="B129" t="s">
        <v>11</v>
      </c>
      <c r="C129">
        <v>1.74</v>
      </c>
      <c r="D129" s="41">
        <v>1.54</v>
      </c>
      <c r="E129" s="34">
        <v>1.4330000000000001</v>
      </c>
      <c r="F129" s="34">
        <v>1.46</v>
      </c>
      <c r="G129" s="5">
        <f>MECS_data!W5</f>
        <v>1.43</v>
      </c>
      <c r="H129" s="4">
        <f>MECS_data!W32</f>
        <v>1.46</v>
      </c>
      <c r="I129" s="2">
        <f>MECS_data!W62</f>
        <v>1.93</v>
      </c>
      <c r="J129" s="4">
        <f>MECS_data!W90</f>
        <v>2.41</v>
      </c>
      <c r="K129" s="4">
        <f>MECS_data!W118</f>
        <v>2.56</v>
      </c>
    </row>
    <row r="130" spans="2:13" x14ac:dyDescent="0.2">
      <c r="B130" t="s">
        <v>13</v>
      </c>
      <c r="C130" s="76">
        <f>$H153*C153+$I153*C129</f>
        <v>1.8959999999999999</v>
      </c>
      <c r="D130" s="76">
        <f>$H153*D153+$I153*D129</f>
        <v>1.69</v>
      </c>
      <c r="E130" s="76">
        <f t="shared" ref="E130" si="2">$H153*E153+$I153*E129</f>
        <v>1.6321999999999999</v>
      </c>
      <c r="F130" s="76">
        <f t="shared" ref="F130" si="3">$H153*F153+$I153*F129</f>
        <v>1.6219999999999999</v>
      </c>
      <c r="G130" s="5">
        <f>MECS_data!W6</f>
        <v>1.71</v>
      </c>
      <c r="H130" s="4">
        <f>MECS_data!W33</f>
        <v>2.3199999999999998</v>
      </c>
      <c r="I130" s="2">
        <f>MECS_data!W63</f>
        <v>3.19</v>
      </c>
      <c r="J130" s="4">
        <f>MECS_data!W91</f>
        <v>4.29</v>
      </c>
      <c r="K130" s="4">
        <f>MECS_data!W119</f>
        <v>4.47</v>
      </c>
    </row>
    <row r="131" spans="2:13" x14ac:dyDescent="0.2">
      <c r="B131" t="s">
        <v>15</v>
      </c>
      <c r="C131">
        <v>2.29</v>
      </c>
      <c r="D131" s="34">
        <v>1.94</v>
      </c>
      <c r="E131" s="34">
        <v>1.952</v>
      </c>
      <c r="F131" s="34">
        <v>1.88</v>
      </c>
      <c r="G131" s="5">
        <f>MECS_data!W7</f>
        <v>2.06</v>
      </c>
      <c r="H131" s="4">
        <f>MECS_data!W34</f>
        <v>2.2799999999999998</v>
      </c>
      <c r="I131" s="2">
        <f>MECS_data!W64</f>
        <v>3.63</v>
      </c>
      <c r="J131" s="4">
        <f>MECS_data!W92</f>
        <v>4.67</v>
      </c>
      <c r="K131" s="4">
        <f>MECS_data!W120</f>
        <v>4.53</v>
      </c>
    </row>
    <row r="132" spans="2:13" x14ac:dyDescent="0.2">
      <c r="B132" t="s">
        <v>17</v>
      </c>
      <c r="C132">
        <v>2.29</v>
      </c>
      <c r="D132" s="34">
        <v>1.94</v>
      </c>
      <c r="E132" s="34">
        <v>1.952</v>
      </c>
      <c r="F132" s="34">
        <v>1.88</v>
      </c>
      <c r="G132" s="23">
        <f>MECS_data!W8</f>
        <v>2</v>
      </c>
      <c r="H132" s="4">
        <f>MECS_data!W35</f>
        <v>2</v>
      </c>
      <c r="I132" s="10">
        <f>MECS_data!W65</f>
        <v>3.5</v>
      </c>
      <c r="J132" s="4">
        <f>MECS_data!W93</f>
        <v>3.65</v>
      </c>
      <c r="K132" s="4">
        <f>MECS_data!W121</f>
        <v>5.61</v>
      </c>
    </row>
    <row r="133" spans="2:13" x14ac:dyDescent="0.2">
      <c r="B133" t="s">
        <v>19</v>
      </c>
      <c r="C133">
        <v>2.46</v>
      </c>
      <c r="D133" s="34">
        <v>2.2799999999999998</v>
      </c>
      <c r="E133" s="42">
        <v>2.4</v>
      </c>
      <c r="F133" s="42">
        <v>2.4</v>
      </c>
      <c r="G133" s="23">
        <f>MECS_data!W9</f>
        <v>2</v>
      </c>
      <c r="H133" s="43">
        <v>2.5</v>
      </c>
      <c r="I133" s="44">
        <v>3.5</v>
      </c>
      <c r="J133" s="43">
        <v>3.5</v>
      </c>
      <c r="K133" s="4">
        <f>MECS_data!W122</f>
        <v>5</v>
      </c>
    </row>
    <row r="134" spans="2:13" x14ac:dyDescent="0.2">
      <c r="B134" t="s">
        <v>21</v>
      </c>
      <c r="C134">
        <v>1.87</v>
      </c>
      <c r="D134" s="34">
        <v>1.96</v>
      </c>
      <c r="E134" s="42">
        <f t="shared" ref="E134:J134" si="4">E150</f>
        <v>1.7749999999999999</v>
      </c>
      <c r="F134" s="42">
        <f t="shared" si="4"/>
        <v>1.75</v>
      </c>
      <c r="G134" s="42">
        <f t="shared" si="4"/>
        <v>1.56</v>
      </c>
      <c r="H134" s="42">
        <f t="shared" si="4"/>
        <v>1.87</v>
      </c>
      <c r="I134" s="42">
        <f t="shared" si="4"/>
        <v>2.97</v>
      </c>
      <c r="J134" s="42">
        <f t="shared" si="4"/>
        <v>3.85</v>
      </c>
      <c r="K134" s="4">
        <f>MECS_data!W123</f>
        <v>5</v>
      </c>
      <c r="M134" t="s">
        <v>109</v>
      </c>
    </row>
    <row r="135" spans="2:13" x14ac:dyDescent="0.2">
      <c r="B135" t="s">
        <v>23</v>
      </c>
      <c r="C135" s="42">
        <v>3</v>
      </c>
      <c r="D135" s="42">
        <v>2.5</v>
      </c>
      <c r="E135" s="42">
        <v>2.5</v>
      </c>
      <c r="F135" s="42">
        <v>2.5</v>
      </c>
      <c r="G135" s="23">
        <f>MECS_data!W11</f>
        <v>2</v>
      </c>
      <c r="H135" s="4">
        <f>MECS_data!W38</f>
        <v>2</v>
      </c>
      <c r="I135" s="2">
        <f>MECS_data!W68</f>
        <v>2.2000000000000002</v>
      </c>
      <c r="J135" s="4">
        <f>MECS_data!W96</f>
        <v>5.81</v>
      </c>
      <c r="K135" s="4">
        <f>MECS_data!W124</f>
        <v>4.5999999999999996</v>
      </c>
    </row>
    <row r="136" spans="2:13" x14ac:dyDescent="0.2">
      <c r="B136" t="s">
        <v>25</v>
      </c>
      <c r="C136">
        <v>1.98</v>
      </c>
      <c r="D136" s="34">
        <v>1.78</v>
      </c>
      <c r="E136" s="34">
        <v>1.87</v>
      </c>
      <c r="F136" s="34">
        <v>1.83</v>
      </c>
      <c r="G136" s="5">
        <f>MECS_data!W12</f>
        <v>1.75</v>
      </c>
      <c r="H136" s="4">
        <f>MECS_data!W39</f>
        <v>1.97</v>
      </c>
      <c r="I136" s="2">
        <f>MECS_data!W69</f>
        <v>2.87</v>
      </c>
      <c r="J136" s="4">
        <f>MECS_data!W97</f>
        <v>3.61</v>
      </c>
      <c r="K136" s="4">
        <f>MECS_data!W125</f>
        <v>3.99</v>
      </c>
    </row>
    <row r="137" spans="2:13" x14ac:dyDescent="0.2">
      <c r="B137" t="s">
        <v>27</v>
      </c>
      <c r="C137" s="42">
        <f>1.1*E150</f>
        <v>1.9525000000000001</v>
      </c>
      <c r="D137" s="42">
        <f>1.1*F150</f>
        <v>1.9250000000000003</v>
      </c>
      <c r="E137" s="42">
        <f>1.1*G150</f>
        <v>1.7160000000000002</v>
      </c>
      <c r="F137" s="42">
        <f>1.1*H150</f>
        <v>2.0570000000000004</v>
      </c>
      <c r="G137" s="23">
        <f>MECS_data!W13</f>
        <v>2</v>
      </c>
      <c r="H137" s="42">
        <f>1.1*H150</f>
        <v>2.0570000000000004</v>
      </c>
      <c r="I137" s="42">
        <f>1.1*I150</f>
        <v>3.2670000000000003</v>
      </c>
      <c r="J137" s="42">
        <f>1.1*J150</f>
        <v>4.2350000000000003</v>
      </c>
      <c r="K137" s="4">
        <f>MECS_data!W126</f>
        <v>5</v>
      </c>
    </row>
    <row r="138" spans="2:13" x14ac:dyDescent="0.2">
      <c r="B138" t="s">
        <v>29</v>
      </c>
      <c r="C138">
        <v>1.82</v>
      </c>
      <c r="D138" s="34">
        <v>2.0299999999999998</v>
      </c>
      <c r="E138" s="34">
        <v>2.0099999999999998</v>
      </c>
      <c r="F138" s="34">
        <v>1.22</v>
      </c>
      <c r="G138" s="23">
        <f>MECS_data!W14</f>
        <v>2</v>
      </c>
      <c r="H138" s="4">
        <f>MECS_data!W41</f>
        <v>2</v>
      </c>
      <c r="I138" s="2">
        <f>MECS_data!W71</f>
        <v>3.73</v>
      </c>
      <c r="J138" s="4">
        <f>MECS_data!W99</f>
        <v>4.79</v>
      </c>
      <c r="K138" s="4">
        <f>MECS_data!W127</f>
        <v>4.4800000000000004</v>
      </c>
    </row>
    <row r="139" spans="2:13" x14ac:dyDescent="0.2">
      <c r="B139" t="s">
        <v>31</v>
      </c>
      <c r="C139" s="34">
        <v>1.86</v>
      </c>
      <c r="D139" s="34">
        <v>1.63</v>
      </c>
      <c r="E139" s="34">
        <v>1.681</v>
      </c>
      <c r="F139" s="34">
        <v>1.65</v>
      </c>
      <c r="G139" s="5">
        <f>MECS_data!W15</f>
        <v>1.66</v>
      </c>
      <c r="H139" s="4">
        <f>MECS_data!W42</f>
        <v>1.99</v>
      </c>
      <c r="I139" s="2">
        <f>MECS_data!W72</f>
        <v>2.7</v>
      </c>
      <c r="J139" s="4">
        <f>MECS_data!W100</f>
        <v>3.28</v>
      </c>
      <c r="K139" s="4">
        <f>MECS_data!W128</f>
        <v>2.76</v>
      </c>
    </row>
    <row r="140" spans="2:13" x14ac:dyDescent="0.2">
      <c r="B140" t="s">
        <v>33</v>
      </c>
      <c r="C140" s="34">
        <v>2.11</v>
      </c>
      <c r="D140" s="34">
        <v>2.2599999999999998</v>
      </c>
      <c r="E140" s="34">
        <v>2.1539999999999999</v>
      </c>
      <c r="F140" s="34">
        <v>2.2799999999999998</v>
      </c>
      <c r="G140" s="5">
        <f>MECS_data!W16</f>
        <v>2.5</v>
      </c>
      <c r="H140" s="4">
        <f>MECS_data!W43</f>
        <v>2</v>
      </c>
      <c r="I140" s="10">
        <f>MECS_data!W73</f>
        <v>3</v>
      </c>
      <c r="J140" s="4">
        <f>MECS_data!W101</f>
        <v>6.1</v>
      </c>
      <c r="K140" s="4">
        <f>MECS_data!W129</f>
        <v>7.09</v>
      </c>
    </row>
    <row r="141" spans="2:13" x14ac:dyDescent="0.2">
      <c r="B141" t="s">
        <v>35</v>
      </c>
      <c r="C141" s="34">
        <v>1.87</v>
      </c>
      <c r="D141" s="34">
        <v>1.53</v>
      </c>
      <c r="E141" s="34">
        <v>1.583</v>
      </c>
      <c r="F141" s="34">
        <v>1.66</v>
      </c>
      <c r="G141" s="5">
        <f>MECS_data!W17</f>
        <v>1.6</v>
      </c>
      <c r="H141" s="4">
        <f>MECS_data!W44</f>
        <v>1.75</v>
      </c>
      <c r="I141" s="2">
        <f>MECS_data!W74</f>
        <v>2.57</v>
      </c>
      <c r="J141" s="4">
        <f>MECS_data!W102</f>
        <v>3.07</v>
      </c>
      <c r="K141" s="4">
        <f>MECS_data!W130</f>
        <v>3.48</v>
      </c>
    </row>
    <row r="142" spans="2:13" x14ac:dyDescent="0.2">
      <c r="B142" t="s">
        <v>37</v>
      </c>
      <c r="C142" s="34">
        <v>2.46</v>
      </c>
      <c r="D142" s="34">
        <v>1.78</v>
      </c>
      <c r="E142" s="34">
        <v>1.8779999999999999</v>
      </c>
      <c r="F142" s="34">
        <v>1.81</v>
      </c>
      <c r="G142" s="5">
        <f>MECS_data!W18</f>
        <v>1.42</v>
      </c>
      <c r="H142" s="4">
        <f>MECS_data!W45</f>
        <v>1.95</v>
      </c>
      <c r="I142" s="2">
        <f>MECS_data!W75</f>
        <v>3.56</v>
      </c>
      <c r="J142" s="4">
        <f>MECS_data!W103</f>
        <v>4.79</v>
      </c>
      <c r="K142" s="4">
        <f>MECS_data!W131</f>
        <v>4.82</v>
      </c>
    </row>
    <row r="143" spans="2:13" x14ac:dyDescent="0.2">
      <c r="B143" t="s">
        <v>39</v>
      </c>
      <c r="C143" s="34">
        <v>2.29</v>
      </c>
      <c r="D143" s="34">
        <v>1.94</v>
      </c>
      <c r="E143" s="34">
        <v>1.9930000000000001</v>
      </c>
      <c r="F143" s="34">
        <v>2.08</v>
      </c>
      <c r="G143" s="5">
        <f>MECS_data!W19</f>
        <v>2.61</v>
      </c>
      <c r="H143" s="4">
        <f>MECS_data!W46</f>
        <v>5.03</v>
      </c>
      <c r="I143" s="44">
        <v>4</v>
      </c>
      <c r="J143" s="4">
        <f>MECS_data!W104</f>
        <v>4.8499999999999996</v>
      </c>
      <c r="K143" s="4">
        <f>MECS_data!W132</f>
        <v>9.44</v>
      </c>
    </row>
    <row r="144" spans="2:13" x14ac:dyDescent="0.2">
      <c r="B144" t="s">
        <v>41</v>
      </c>
      <c r="C144" s="34">
        <v>1.83</v>
      </c>
      <c r="D144" s="34">
        <v>1.58</v>
      </c>
      <c r="E144" s="34">
        <v>1.544</v>
      </c>
      <c r="F144" s="34">
        <v>1.65</v>
      </c>
      <c r="G144" s="5">
        <f>MECS_data!W20</f>
        <v>1.57</v>
      </c>
      <c r="H144" s="4">
        <f>MECS_data!W47</f>
        <v>1.49</v>
      </c>
      <c r="I144" s="2">
        <f>MECS_data!W77</f>
        <v>2.67</v>
      </c>
      <c r="J144" s="43">
        <v>3.5</v>
      </c>
      <c r="K144" s="4">
        <f>MECS_data!W133</f>
        <v>3.5</v>
      </c>
    </row>
    <row r="145" spans="2:11" x14ac:dyDescent="0.2">
      <c r="B145" t="s">
        <v>43</v>
      </c>
      <c r="C145">
        <f>0.7*C146+0.3*C152</f>
        <v>1.4349999999999998</v>
      </c>
      <c r="D145">
        <f>0.7*D146+0.3*D152</f>
        <v>1.1759999999999999</v>
      </c>
      <c r="E145" s="42">
        <v>2</v>
      </c>
      <c r="F145">
        <f>0.7*F146+0.3*F152</f>
        <v>1.4909999999999999</v>
      </c>
      <c r="G145" s="23">
        <f>MECS_data!W21</f>
        <v>2</v>
      </c>
      <c r="H145" s="4">
        <f>MECS_data!W48</f>
        <v>3.11</v>
      </c>
      <c r="I145" s="44">
        <v>4</v>
      </c>
      <c r="J145" s="43">
        <v>5</v>
      </c>
      <c r="K145" s="4">
        <f>MECS_data!W134</f>
        <v>5</v>
      </c>
    </row>
    <row r="146" spans="2:11" x14ac:dyDescent="0.2">
      <c r="B146" t="s">
        <v>45</v>
      </c>
      <c r="C146">
        <v>2.0499999999999998</v>
      </c>
      <c r="D146">
        <v>1.68</v>
      </c>
      <c r="E146" s="42">
        <v>2</v>
      </c>
      <c r="F146">
        <v>2.13</v>
      </c>
      <c r="G146" s="23">
        <f>MECS_data!W22</f>
        <v>2</v>
      </c>
      <c r="H146" s="43">
        <v>2.5</v>
      </c>
      <c r="I146" s="10">
        <f>MECS_data!W79</f>
        <v>3.5</v>
      </c>
      <c r="J146" s="43">
        <v>5</v>
      </c>
      <c r="K146" s="4">
        <f>MECS_data!W135</f>
        <v>5</v>
      </c>
    </row>
    <row r="147" spans="2:11" x14ac:dyDescent="0.2">
      <c r="B147" t="s">
        <v>47</v>
      </c>
      <c r="C147">
        <v>2.33</v>
      </c>
      <c r="D147" s="38">
        <v>2.0499999999999998</v>
      </c>
      <c r="E147">
        <v>2.06</v>
      </c>
      <c r="F147">
        <v>1.87</v>
      </c>
      <c r="G147" s="5">
        <f>MECS_data!W23</f>
        <v>1.79</v>
      </c>
      <c r="H147" s="4">
        <f>MECS_data!W50</f>
        <v>2.2599999999999998</v>
      </c>
      <c r="I147" s="2">
        <f>MECS_data!W80</f>
        <v>3.09</v>
      </c>
      <c r="J147" s="4">
        <f>MECS_data!W108</f>
        <v>5.0599999999999996</v>
      </c>
      <c r="K147" s="4">
        <f>MECS_data!W136</f>
        <v>5.44</v>
      </c>
    </row>
    <row r="148" spans="2:11" x14ac:dyDescent="0.2">
      <c r="B148" t="s">
        <v>49</v>
      </c>
      <c r="C148">
        <v>2.46</v>
      </c>
      <c r="D148" s="37">
        <v>2.1800000000000002</v>
      </c>
      <c r="E148">
        <v>1.9830000000000001</v>
      </c>
      <c r="F148">
        <v>2.27</v>
      </c>
      <c r="G148" s="23">
        <f>MECS_data!W24</f>
        <v>2</v>
      </c>
      <c r="H148" s="4">
        <f>MECS_data!W51</f>
        <v>2.6</v>
      </c>
      <c r="I148" s="2">
        <f>MECS_data!W81</f>
        <v>1.87</v>
      </c>
      <c r="J148" s="4">
        <f>MECS_data!W109</f>
        <v>2.64</v>
      </c>
      <c r="K148" s="4">
        <f>MECS_data!W137</f>
        <v>3.8</v>
      </c>
    </row>
    <row r="149" spans="2:11" x14ac:dyDescent="0.2">
      <c r="B149" t="s">
        <v>51</v>
      </c>
      <c r="C149">
        <v>2.2599999999999998</v>
      </c>
      <c r="D149">
        <v>1.82</v>
      </c>
      <c r="E149" s="42">
        <v>2</v>
      </c>
      <c r="F149" s="42">
        <v>2</v>
      </c>
      <c r="G149" s="23">
        <f>MECS_data!W25</f>
        <v>2</v>
      </c>
      <c r="H149" s="43">
        <v>2</v>
      </c>
      <c r="I149" s="44">
        <v>3</v>
      </c>
      <c r="J149" s="4">
        <f>MECS_data!W110</f>
        <v>3.63</v>
      </c>
      <c r="K149" s="4">
        <f>MECS_data!W138</f>
        <v>5</v>
      </c>
    </row>
    <row r="150" spans="2:11" x14ac:dyDescent="0.2">
      <c r="B150" t="s">
        <v>0</v>
      </c>
      <c r="C150">
        <v>2.14</v>
      </c>
      <c r="D150">
        <v>1.72</v>
      </c>
      <c r="E150">
        <v>1.7749999999999999</v>
      </c>
      <c r="F150">
        <v>1.75</v>
      </c>
      <c r="G150" s="5">
        <f>MECS_data!W26</f>
        <v>1.56</v>
      </c>
      <c r="H150" s="4">
        <f>MECS_data!W53</f>
        <v>1.87</v>
      </c>
      <c r="I150" s="2">
        <f>MECS_data!W83</f>
        <v>2.97</v>
      </c>
      <c r="J150">
        <v>3.85</v>
      </c>
    </row>
    <row r="152" spans="2:11" x14ac:dyDescent="0.2">
      <c r="B152" t="s">
        <v>101</v>
      </c>
      <c r="C152" s="32"/>
      <c r="D152" s="32"/>
      <c r="E152" s="32"/>
      <c r="F152" s="32"/>
    </row>
    <row r="153" spans="2:11" x14ac:dyDescent="0.2">
      <c r="B153" t="s">
        <v>134</v>
      </c>
      <c r="C153">
        <v>2.2599999999999998</v>
      </c>
      <c r="D153" s="34">
        <v>2.04</v>
      </c>
      <c r="E153" s="34">
        <v>2.097</v>
      </c>
      <c r="F153" s="42">
        <v>2</v>
      </c>
      <c r="H153">
        <v>0.3</v>
      </c>
      <c r="I153">
        <v>0.7</v>
      </c>
      <c r="J153" t="s">
        <v>198</v>
      </c>
    </row>
    <row r="154" spans="2:11" x14ac:dyDescent="0.2">
      <c r="B154" t="s">
        <v>108</v>
      </c>
      <c r="C154">
        <f>C133/C150</f>
        <v>1.1495327102803738</v>
      </c>
      <c r="D154">
        <f t="shared" ref="D154:J154" si="5">D133/D150</f>
        <v>1.3255813953488371</v>
      </c>
      <c r="E154">
        <f t="shared" si="5"/>
        <v>1.352112676056338</v>
      </c>
      <c r="F154">
        <f t="shared" si="5"/>
        <v>1.3714285714285714</v>
      </c>
      <c r="G154">
        <f t="shared" si="5"/>
        <v>1.2820512820512819</v>
      </c>
      <c r="H154">
        <f t="shared" si="5"/>
        <v>1.3368983957219251</v>
      </c>
      <c r="I154">
        <f t="shared" si="5"/>
        <v>1.1784511784511784</v>
      </c>
      <c r="J154">
        <f t="shared" si="5"/>
        <v>0.90909090909090906</v>
      </c>
    </row>
    <row r="158" spans="2:11" ht="25.5" x14ac:dyDescent="0.2">
      <c r="B158" s="33" t="s">
        <v>56</v>
      </c>
      <c r="C158" s="40" t="s">
        <v>103</v>
      </c>
      <c r="D158" s="40" t="s">
        <v>105</v>
      </c>
      <c r="E158" s="40" t="s">
        <v>107</v>
      </c>
      <c r="F158" s="40" t="s">
        <v>104</v>
      </c>
      <c r="G158" s="40"/>
      <c r="H158" s="40"/>
      <c r="I158" s="40"/>
      <c r="J158" s="40"/>
    </row>
    <row r="159" spans="2:11" x14ac:dyDescent="0.2">
      <c r="C159" s="35">
        <v>1985</v>
      </c>
      <c r="D159" s="35">
        <v>1988</v>
      </c>
      <c r="E159" s="35">
        <v>1991</v>
      </c>
      <c r="F159" s="35">
        <v>1994</v>
      </c>
      <c r="G159" s="35">
        <v>1998</v>
      </c>
      <c r="H159" s="35">
        <v>2002</v>
      </c>
      <c r="I159" s="35">
        <v>2006</v>
      </c>
      <c r="J159" s="35">
        <v>2010</v>
      </c>
      <c r="K159" s="35">
        <v>2014</v>
      </c>
    </row>
    <row r="160" spans="2:11" x14ac:dyDescent="0.2">
      <c r="B160" t="s">
        <v>11</v>
      </c>
      <c r="C160" s="34"/>
      <c r="D160" s="41"/>
      <c r="E160" s="34"/>
      <c r="F160" s="34"/>
      <c r="G160" s="5">
        <f>MECS_data!X5</f>
        <v>6.6</v>
      </c>
      <c r="H160" s="4">
        <f>MECS_data!X32</f>
        <v>5.18</v>
      </c>
      <c r="I160" s="2">
        <f>MECS_data!X62</f>
        <v>10.37</v>
      </c>
      <c r="J160" s="4">
        <f>MECS_data!X90</f>
        <v>15.96</v>
      </c>
      <c r="K160" s="4">
        <f>MECS_data!X118</f>
        <v>18.91</v>
      </c>
    </row>
    <row r="161" spans="2:11" x14ac:dyDescent="0.2">
      <c r="B161" t="s">
        <v>13</v>
      </c>
      <c r="C161" s="34"/>
      <c r="D161" s="34"/>
      <c r="E161" s="34"/>
      <c r="F161" s="34"/>
      <c r="G161" s="46"/>
      <c r="H161" s="41"/>
      <c r="I161" s="47"/>
      <c r="J161" s="41"/>
      <c r="K161" s="4">
        <f>MECS_data!X119</f>
        <v>0</v>
      </c>
    </row>
    <row r="162" spans="2:11" x14ac:dyDescent="0.2">
      <c r="B162" t="s">
        <v>15</v>
      </c>
      <c r="C162" s="34"/>
      <c r="D162" s="34"/>
      <c r="E162" s="34"/>
      <c r="F162" s="34"/>
      <c r="G162" s="46"/>
      <c r="H162" s="41"/>
      <c r="I162" s="47"/>
      <c r="J162" s="41"/>
      <c r="K162" s="4">
        <f>MECS_data!X120</f>
        <v>0</v>
      </c>
    </row>
    <row r="163" spans="2:11" x14ac:dyDescent="0.2">
      <c r="B163" t="s">
        <v>17</v>
      </c>
      <c r="C163" s="34"/>
      <c r="D163" s="34"/>
      <c r="E163" s="34"/>
      <c r="F163" s="34"/>
      <c r="G163" s="46"/>
      <c r="H163" s="41"/>
      <c r="I163" s="47"/>
      <c r="J163" s="41"/>
      <c r="K163" s="4">
        <f>MECS_data!X121</f>
        <v>0</v>
      </c>
    </row>
    <row r="164" spans="2:11" x14ac:dyDescent="0.2">
      <c r="B164" t="s">
        <v>19</v>
      </c>
      <c r="C164" s="34"/>
      <c r="D164" s="34"/>
      <c r="E164" s="34"/>
      <c r="F164" s="34"/>
      <c r="G164" s="46"/>
      <c r="H164" s="41"/>
      <c r="I164" s="47"/>
      <c r="J164" s="41"/>
      <c r="K164" s="4">
        <f>MECS_data!X122</f>
        <v>0</v>
      </c>
    </row>
    <row r="165" spans="2:11" x14ac:dyDescent="0.2">
      <c r="B165" t="s">
        <v>21</v>
      </c>
      <c r="C165" s="34"/>
      <c r="D165" s="34"/>
      <c r="E165" s="34"/>
      <c r="F165" s="34"/>
      <c r="G165" s="46"/>
      <c r="H165" s="41"/>
      <c r="I165" s="41"/>
      <c r="J165" s="41"/>
      <c r="K165" s="4">
        <f>MECS_data!X123</f>
        <v>0</v>
      </c>
    </row>
    <row r="166" spans="2:11" x14ac:dyDescent="0.2">
      <c r="B166" t="s">
        <v>23</v>
      </c>
      <c r="C166" s="34"/>
      <c r="D166" s="34"/>
      <c r="E166" s="34"/>
      <c r="F166" s="34"/>
      <c r="G166" s="46"/>
      <c r="H166" s="41"/>
      <c r="I166" s="47"/>
      <c r="J166" s="41"/>
      <c r="K166" s="4">
        <f>MECS_data!X124</f>
        <v>0</v>
      </c>
    </row>
    <row r="167" spans="2:11" x14ac:dyDescent="0.2">
      <c r="B167" t="s">
        <v>25</v>
      </c>
      <c r="C167" s="34"/>
      <c r="D167" s="34"/>
      <c r="E167" s="34"/>
      <c r="F167" s="34"/>
      <c r="G167" s="45">
        <v>3</v>
      </c>
      <c r="H167" s="43">
        <f>MECS_data!X39</f>
        <v>5</v>
      </c>
      <c r="I167" s="2">
        <v>5</v>
      </c>
      <c r="J167" s="4">
        <f>MECS_data!X97</f>
        <v>5.49</v>
      </c>
      <c r="K167" s="4">
        <f>MECS_data!X125</f>
        <v>0</v>
      </c>
    </row>
    <row r="168" spans="2:11" x14ac:dyDescent="0.2">
      <c r="B168" t="s">
        <v>27</v>
      </c>
      <c r="C168" s="34"/>
      <c r="D168" s="34"/>
      <c r="E168" s="34"/>
      <c r="F168" s="34"/>
      <c r="G168" s="46"/>
      <c r="H168" s="41"/>
      <c r="I168" s="41"/>
      <c r="J168" s="41"/>
      <c r="K168" s="4">
        <f>MECS_data!X126</f>
        <v>0</v>
      </c>
    </row>
    <row r="169" spans="2:11" x14ac:dyDescent="0.2">
      <c r="B169" t="s">
        <v>29</v>
      </c>
      <c r="C169" s="34"/>
      <c r="D169" s="34"/>
      <c r="E169" s="34"/>
      <c r="F169" s="34"/>
      <c r="G169" s="48"/>
      <c r="H169" s="49"/>
      <c r="I169" s="50"/>
      <c r="J169" s="49"/>
      <c r="K169" s="4">
        <f>MECS_data!X127</f>
        <v>5</v>
      </c>
    </row>
    <row r="170" spans="2:11" x14ac:dyDescent="0.2">
      <c r="B170" t="s">
        <v>31</v>
      </c>
      <c r="C170" s="34"/>
      <c r="D170" s="34"/>
      <c r="E170" s="34"/>
      <c r="F170" s="34"/>
      <c r="G170" s="5">
        <f>MECS_data!X15</f>
        <v>4.51</v>
      </c>
      <c r="H170" s="4">
        <f>MECS_data!X42</f>
        <v>5</v>
      </c>
      <c r="I170" s="2">
        <f>MECS_data!X72</f>
        <v>8.77</v>
      </c>
      <c r="J170" s="4">
        <f>MECS_data!X100</f>
        <v>8.08</v>
      </c>
      <c r="K170" s="4">
        <f>MECS_data!X128</f>
        <v>6.4</v>
      </c>
    </row>
    <row r="171" spans="2:11" x14ac:dyDescent="0.2">
      <c r="B171" t="s">
        <v>33</v>
      </c>
      <c r="C171" s="34"/>
      <c r="D171" s="34"/>
      <c r="E171" s="34"/>
      <c r="F171" s="34"/>
      <c r="G171" s="46"/>
      <c r="H171" s="41"/>
      <c r="I171" s="47"/>
      <c r="J171" s="41"/>
      <c r="K171" s="4">
        <f>MECS_data!X129</f>
        <v>0</v>
      </c>
    </row>
    <row r="172" spans="2:11" x14ac:dyDescent="0.2">
      <c r="B172" t="s">
        <v>35</v>
      </c>
      <c r="C172" s="34"/>
      <c r="D172" s="34"/>
      <c r="E172" s="34"/>
      <c r="F172" s="34"/>
      <c r="G172" s="5">
        <f>MECS_data!X17</f>
        <v>2.48</v>
      </c>
      <c r="H172" s="4">
        <f>MECS_data!X44</f>
        <v>1.96</v>
      </c>
      <c r="I172" s="2">
        <f>MECS_data!X74</f>
        <v>3.05</v>
      </c>
      <c r="J172" s="4">
        <f>MECS_data!X102</f>
        <v>8.6999999999999993</v>
      </c>
      <c r="K172" s="4">
        <f>MECS_data!X130</f>
        <v>2.73</v>
      </c>
    </row>
    <row r="173" spans="2:11" x14ac:dyDescent="0.2">
      <c r="B173" t="s">
        <v>37</v>
      </c>
      <c r="C173" s="34"/>
      <c r="D173" s="34"/>
      <c r="E173" s="34"/>
      <c r="F173" s="34"/>
      <c r="G173" s="5">
        <f>MECS_data!X18</f>
        <v>4.93</v>
      </c>
      <c r="H173" s="4">
        <f>MECS_data!X45</f>
        <v>4.66</v>
      </c>
      <c r="I173" s="2">
        <f>MECS_data!X75</f>
        <v>7.72</v>
      </c>
      <c r="J173" s="4">
        <f>MECS_data!X103</f>
        <v>10.4</v>
      </c>
      <c r="K173" s="4">
        <f>MECS_data!X131</f>
        <v>9.91</v>
      </c>
    </row>
    <row r="174" spans="2:11" x14ac:dyDescent="0.2">
      <c r="B174" t="s">
        <v>39</v>
      </c>
      <c r="C174" s="34"/>
      <c r="D174" s="34"/>
      <c r="E174" s="34"/>
      <c r="F174" s="34"/>
      <c r="G174" s="5">
        <f>MECS_data!X19</f>
        <v>7.35</v>
      </c>
      <c r="H174" s="4">
        <f>MECS_data!X46</f>
        <v>4.5</v>
      </c>
      <c r="I174" s="44">
        <f>MECS_data!X76</f>
        <v>7.5</v>
      </c>
      <c r="J174" s="4">
        <f>MECS_data!X104</f>
        <v>8.06</v>
      </c>
      <c r="K174" s="4">
        <f>MECS_data!X132</f>
        <v>0</v>
      </c>
    </row>
    <row r="175" spans="2:11" x14ac:dyDescent="0.2">
      <c r="B175" t="s">
        <v>41</v>
      </c>
      <c r="C175" s="34"/>
      <c r="D175" s="34"/>
      <c r="E175" s="34"/>
      <c r="F175" s="34"/>
      <c r="G175" s="46"/>
      <c r="H175" s="41"/>
      <c r="I175" s="47"/>
      <c r="J175" s="41"/>
      <c r="K175" s="4">
        <f>MECS_data!X133</f>
        <v>0</v>
      </c>
    </row>
    <row r="176" spans="2:11" x14ac:dyDescent="0.2">
      <c r="B176" t="s">
        <v>43</v>
      </c>
      <c r="C176" s="34"/>
      <c r="D176" s="34"/>
      <c r="E176" s="34"/>
      <c r="F176" s="34"/>
      <c r="G176" s="46"/>
      <c r="H176" s="41"/>
      <c r="I176" s="47"/>
      <c r="J176" s="41"/>
      <c r="K176" s="4">
        <f>MECS_data!X134</f>
        <v>0</v>
      </c>
    </row>
    <row r="177" spans="2:11" x14ac:dyDescent="0.2">
      <c r="B177" t="s">
        <v>45</v>
      </c>
      <c r="C177" s="34"/>
      <c r="D177" s="34"/>
      <c r="E177" s="34"/>
      <c r="F177" s="34"/>
      <c r="G177" s="46"/>
      <c r="H177" s="41"/>
      <c r="I177" s="47"/>
      <c r="J177" s="41"/>
      <c r="K177" s="4">
        <f>MECS_data!X135</f>
        <v>20.16</v>
      </c>
    </row>
    <row r="178" spans="2:11" x14ac:dyDescent="0.2">
      <c r="B178" t="s">
        <v>47</v>
      </c>
      <c r="C178" s="34"/>
      <c r="D178" s="38"/>
      <c r="E178" s="34"/>
      <c r="F178" s="34"/>
      <c r="G178" s="46"/>
      <c r="H178" s="41"/>
      <c r="I178" s="47"/>
      <c r="J178" s="41"/>
      <c r="K178" s="4">
        <f>MECS_data!X136</f>
        <v>19.96</v>
      </c>
    </row>
    <row r="179" spans="2:11" x14ac:dyDescent="0.2">
      <c r="B179" t="s">
        <v>49</v>
      </c>
      <c r="C179" s="34"/>
      <c r="D179" s="38"/>
      <c r="E179" s="34"/>
      <c r="F179" s="34"/>
      <c r="G179" s="46"/>
      <c r="H179" s="41"/>
      <c r="I179" s="47"/>
      <c r="J179" s="41"/>
      <c r="K179" s="4">
        <f>MECS_data!X137</f>
        <v>0</v>
      </c>
    </row>
    <row r="180" spans="2:11" x14ac:dyDescent="0.2">
      <c r="B180" t="s">
        <v>51</v>
      </c>
      <c r="C180" s="34"/>
      <c r="D180" s="34"/>
      <c r="E180" s="34"/>
      <c r="F180" s="34"/>
      <c r="G180" s="46"/>
      <c r="H180" s="41"/>
      <c r="I180" s="47"/>
      <c r="J180" s="41"/>
      <c r="K180" s="4">
        <f>MECS_data!X138</f>
        <v>0</v>
      </c>
    </row>
    <row r="181" spans="2:11" x14ac:dyDescent="0.2">
      <c r="B181" t="s">
        <v>0</v>
      </c>
      <c r="C181" s="34"/>
      <c r="D181" s="34"/>
      <c r="E181" s="34"/>
      <c r="F181" s="34"/>
      <c r="G181" s="5">
        <f>MECS_data!X26</f>
        <v>4.8899999999999997</v>
      </c>
      <c r="H181" s="4">
        <f>MECS_data!X53</f>
        <v>4.58</v>
      </c>
      <c r="I181" s="2">
        <f>MECS_data!X83</f>
        <v>7.55</v>
      </c>
      <c r="J181">
        <v>3.85</v>
      </c>
    </row>
    <row r="183" spans="2:11" x14ac:dyDescent="0.2">
      <c r="B183" t="s">
        <v>101</v>
      </c>
      <c r="C183" s="32"/>
      <c r="D183" s="32"/>
      <c r="E183" s="32"/>
      <c r="F183" s="32"/>
    </row>
    <row r="185" spans="2:11" x14ac:dyDescent="0.2">
      <c r="B185" t="s">
        <v>108</v>
      </c>
      <c r="C185" t="e">
        <f>C164/C181</f>
        <v>#DIV/0!</v>
      </c>
      <c r="D185" t="e">
        <f t="shared" ref="D185:J185" si="6">D164/D181</f>
        <v>#DIV/0!</v>
      </c>
      <c r="E185" t="e">
        <f t="shared" si="6"/>
        <v>#DIV/0!</v>
      </c>
      <c r="F185" t="e">
        <f t="shared" si="6"/>
        <v>#DIV/0!</v>
      </c>
      <c r="G185">
        <f t="shared" si="6"/>
        <v>0</v>
      </c>
      <c r="H185">
        <f t="shared" si="6"/>
        <v>0</v>
      </c>
      <c r="I185">
        <f t="shared" si="6"/>
        <v>0</v>
      </c>
      <c r="J185">
        <f t="shared" si="6"/>
        <v>0</v>
      </c>
    </row>
    <row r="189" spans="2:11" ht="25.5" x14ac:dyDescent="0.2">
      <c r="B189" s="33" t="s">
        <v>339</v>
      </c>
      <c r="C189" s="40" t="s">
        <v>103</v>
      </c>
      <c r="D189" s="40" t="s">
        <v>105</v>
      </c>
      <c r="E189" s="40" t="s">
        <v>107</v>
      </c>
      <c r="F189" s="40" t="s">
        <v>104</v>
      </c>
      <c r="G189" s="40"/>
      <c r="H189" s="40"/>
      <c r="I189" s="40"/>
      <c r="J189" s="40"/>
    </row>
    <row r="190" spans="2:11" x14ac:dyDescent="0.2">
      <c r="C190" s="35">
        <v>1985</v>
      </c>
      <c r="D190" s="35">
        <v>1988</v>
      </c>
      <c r="E190" s="35">
        <v>1991</v>
      </c>
      <c r="F190" s="35">
        <v>1994</v>
      </c>
      <c r="G190" s="35">
        <v>1998</v>
      </c>
      <c r="H190" s="35">
        <v>2002</v>
      </c>
      <c r="I190" s="35">
        <v>2006</v>
      </c>
      <c r="J190" s="35">
        <v>2010</v>
      </c>
      <c r="K190" s="35">
        <v>2010</v>
      </c>
    </row>
    <row r="191" spans="2:11" x14ac:dyDescent="0.2">
      <c r="B191" t="s">
        <v>11</v>
      </c>
      <c r="C191" s="34"/>
      <c r="D191" s="41"/>
      <c r="E191" s="34"/>
      <c r="F191" s="34"/>
      <c r="G191" s="46">
        <f>MECS_data!Y5</f>
        <v>2.4883720930232558</v>
      </c>
      <c r="H191" s="41">
        <f>MECS_data!Y32</f>
        <v>4.375</v>
      </c>
      <c r="I191" s="47">
        <f>MECS_data!Y62</f>
        <v>3.081967213114754</v>
      </c>
      <c r="J191" s="41">
        <f>MECS_data!Y90</f>
        <v>5</v>
      </c>
      <c r="K191" s="41">
        <f>MECS_data!Y118</f>
        <v>6.6046511627906979</v>
      </c>
    </row>
    <row r="192" spans="2:11" x14ac:dyDescent="0.2">
      <c r="B192" t="s">
        <v>13</v>
      </c>
      <c r="C192" s="34"/>
      <c r="D192" s="34"/>
      <c r="E192" s="34"/>
      <c r="F192" s="34"/>
      <c r="G192" s="46">
        <f>MECS_data!Y6</f>
        <v>2</v>
      </c>
      <c r="H192" s="41">
        <f>MECS_data!Y33</f>
        <v>2.7777777777777777</v>
      </c>
      <c r="I192" s="10">
        <v>4</v>
      </c>
      <c r="J192" s="41">
        <f>MECS_data!Y91</f>
        <v>7</v>
      </c>
      <c r="K192" s="41">
        <f>MECS_data!Y119</f>
        <v>6.5</v>
      </c>
    </row>
    <row r="193" spans="2:11" x14ac:dyDescent="0.2">
      <c r="B193" t="s">
        <v>15</v>
      </c>
      <c r="C193" s="34"/>
      <c r="D193" s="34"/>
      <c r="E193" s="34"/>
      <c r="F193" s="34"/>
      <c r="G193" s="46">
        <f>MECS_data!Y7</f>
        <v>2.3333333333333335</v>
      </c>
      <c r="H193" s="41">
        <f>MECS_data!Y34</f>
        <v>3.3888888888888888</v>
      </c>
      <c r="I193" s="47">
        <f>MECS_data!Y64</f>
        <v>4.916666666666667</v>
      </c>
      <c r="J193" s="41">
        <f>MECS_data!Y92</f>
        <v>5.4285714285714288</v>
      </c>
      <c r="K193" s="41">
        <f>MECS_data!Y120</f>
        <v>1.6666666666666667</v>
      </c>
    </row>
    <row r="194" spans="2:11" x14ac:dyDescent="0.2">
      <c r="B194" t="s">
        <v>17</v>
      </c>
      <c r="C194" s="34"/>
      <c r="D194" s="34"/>
      <c r="E194" s="34"/>
      <c r="F194" s="34"/>
      <c r="G194" s="46">
        <f>MECS_data!Y8</f>
        <v>2.33</v>
      </c>
      <c r="H194" s="41">
        <f>MECS_data!Y35</f>
        <v>3.3</v>
      </c>
      <c r="I194" s="47">
        <f>MECS_data!Y65</f>
        <v>5</v>
      </c>
      <c r="J194" s="41">
        <f>MECS_data!Y93</f>
        <v>5</v>
      </c>
      <c r="K194" s="41">
        <f>MECS_data!Y121</f>
        <v>6.666666666666667</v>
      </c>
    </row>
    <row r="195" spans="2:11" x14ac:dyDescent="0.2">
      <c r="B195" t="s">
        <v>19</v>
      </c>
      <c r="C195" s="34"/>
      <c r="D195" s="34"/>
      <c r="E195" s="34"/>
      <c r="F195" s="34"/>
      <c r="G195" s="23">
        <v>2</v>
      </c>
      <c r="H195" s="41">
        <f>MECS_data!Y36</f>
        <v>3.3</v>
      </c>
      <c r="I195" s="47">
        <f>MECS_data!Y66</f>
        <v>5</v>
      </c>
      <c r="J195" s="41">
        <f>MECS_data!Y94</f>
        <v>5</v>
      </c>
      <c r="K195" s="36">
        <v>5</v>
      </c>
    </row>
    <row r="196" spans="2:11" x14ac:dyDescent="0.2">
      <c r="B196" t="s">
        <v>21</v>
      </c>
      <c r="C196" s="34"/>
      <c r="D196" s="34"/>
      <c r="E196" s="34"/>
      <c r="F196" s="34"/>
      <c r="G196" s="46">
        <f>MECS_data!Y10</f>
        <v>2.5</v>
      </c>
      <c r="H196" s="41">
        <f>MECS_data!Y37</f>
        <v>3.3</v>
      </c>
      <c r="I196" s="41">
        <f>MECS_data!Y67</f>
        <v>5</v>
      </c>
      <c r="J196" s="41">
        <f>MECS_data!Y95</f>
        <v>5</v>
      </c>
      <c r="K196" s="36">
        <v>5</v>
      </c>
    </row>
    <row r="197" spans="2:11" x14ac:dyDescent="0.2">
      <c r="B197" t="s">
        <v>23</v>
      </c>
      <c r="C197" s="34"/>
      <c r="D197" s="34"/>
      <c r="E197" s="34"/>
      <c r="F197" s="34"/>
      <c r="G197" s="46">
        <f>MECS_data!Y11</f>
        <v>2.129032258064516</v>
      </c>
      <c r="H197" s="41">
        <f>MECS_data!Y38</f>
        <v>1.3491271820448878</v>
      </c>
      <c r="I197" s="47">
        <f>MECS_data!Y68</f>
        <v>2.574074074074074</v>
      </c>
      <c r="J197" s="41">
        <f>MECS_data!Y96</f>
        <v>2.0877192982456139</v>
      </c>
      <c r="K197" s="41">
        <f>MECS_data!Y124</f>
        <v>5.0196078431372548</v>
      </c>
    </row>
    <row r="198" spans="2:11" x14ac:dyDescent="0.2">
      <c r="B198" t="s">
        <v>25</v>
      </c>
      <c r="C198" s="34"/>
      <c r="D198" s="34"/>
      <c r="E198" s="34"/>
      <c r="F198" s="34"/>
      <c r="G198" s="46">
        <f>MECS_data!Y12</f>
        <v>2.1297468354430378</v>
      </c>
      <c r="H198" s="41">
        <f>MECS_data!Y39</f>
        <v>2.6971153846153846</v>
      </c>
      <c r="I198" s="47">
        <f>MECS_data!Y69</f>
        <v>5</v>
      </c>
      <c r="J198" s="41">
        <f>MECS_data!Y97</f>
        <v>3.1075949367088609</v>
      </c>
      <c r="K198" s="41">
        <f>MECS_data!Y125</f>
        <v>3.3161512027491411</v>
      </c>
    </row>
    <row r="199" spans="2:11" x14ac:dyDescent="0.2">
      <c r="B199" t="s">
        <v>27</v>
      </c>
      <c r="C199" s="34"/>
      <c r="D199" s="34"/>
      <c r="E199" s="34"/>
      <c r="F199" s="34"/>
      <c r="G199" s="46">
        <f>MECS_data!Y13</f>
        <v>2.5</v>
      </c>
      <c r="H199" s="41">
        <f>MECS_data!Y40</f>
        <v>2.5</v>
      </c>
      <c r="I199" s="41">
        <f>MECS_data!Y70</f>
        <v>5</v>
      </c>
      <c r="J199" s="41">
        <f>MECS_data!Y98</f>
        <v>5</v>
      </c>
      <c r="K199" s="41">
        <f>MECS_data!Y126</f>
        <v>3.3333333333333335</v>
      </c>
    </row>
    <row r="200" spans="2:11" x14ac:dyDescent="0.2">
      <c r="B200" t="s">
        <v>29</v>
      </c>
      <c r="C200" s="34"/>
      <c r="D200" s="34"/>
      <c r="E200" s="34"/>
      <c r="F200" s="34"/>
      <c r="G200" s="46">
        <f>MECS_data!Y14</f>
        <v>2.9220779220779223</v>
      </c>
      <c r="H200" s="41">
        <f>MECS_data!Y41</f>
        <v>3.5632183908045976</v>
      </c>
      <c r="I200" s="47">
        <f>MECS_data!Y71</f>
        <v>5.6351791530944624</v>
      </c>
      <c r="J200" s="41">
        <f>MECS_data!Y99</f>
        <v>4.2644230769230766</v>
      </c>
      <c r="K200" s="41">
        <f>MECS_data!Y127</f>
        <v>11.466139954853274</v>
      </c>
    </row>
    <row r="201" spans="2:11" x14ac:dyDescent="0.2">
      <c r="B201" t="s">
        <v>31</v>
      </c>
      <c r="C201" s="34"/>
      <c r="D201" s="34"/>
      <c r="E201" s="34"/>
      <c r="F201" s="34"/>
      <c r="G201" s="46">
        <f>MECS_data!Y15</f>
        <v>3.5084427767354596</v>
      </c>
      <c r="H201" s="41">
        <f>MECS_data!Y42</f>
        <v>3.4020408163265308</v>
      </c>
      <c r="I201" s="47">
        <f>MECS_data!Y72</f>
        <v>7.8918128654970756</v>
      </c>
      <c r="J201" s="41">
        <f>MECS_data!Y100</f>
        <v>6.5774999999999997</v>
      </c>
      <c r="K201" s="41">
        <f>MECS_data!Y128</f>
        <v>5.7403100775193803</v>
      </c>
    </row>
    <row r="202" spans="2:11" x14ac:dyDescent="0.2">
      <c r="B202" t="s">
        <v>33</v>
      </c>
      <c r="C202" s="34"/>
      <c r="D202" s="34"/>
      <c r="E202" s="34"/>
      <c r="F202" s="34"/>
      <c r="G202" s="46">
        <f>MECS_data!Y16</f>
        <v>4.2</v>
      </c>
      <c r="H202" s="41">
        <f>MECS_data!Y43</f>
        <v>4</v>
      </c>
      <c r="I202" s="47">
        <f>MECS_data!Y73</f>
        <v>8</v>
      </c>
      <c r="J202" s="41">
        <f>MECS_data!Y101</f>
        <v>5</v>
      </c>
      <c r="K202" s="36">
        <v>7</v>
      </c>
    </row>
    <row r="203" spans="2:11" x14ac:dyDescent="0.2">
      <c r="B203" t="s">
        <v>35</v>
      </c>
      <c r="C203" s="34"/>
      <c r="D203" s="34"/>
      <c r="E203" s="34"/>
      <c r="F203" s="34"/>
      <c r="G203" s="46">
        <f>MECS_data!Y17</f>
        <v>1.3571428571428572</v>
      </c>
      <c r="H203" s="41">
        <f>MECS_data!Y44</f>
        <v>1.288</v>
      </c>
      <c r="I203" s="47">
        <f>MECS_data!Y74</f>
        <v>1.5347222222222223</v>
      </c>
      <c r="J203" s="41">
        <f>MECS_data!Y102</f>
        <v>2.2564102564102564</v>
      </c>
      <c r="K203" s="41">
        <f>MECS_data!Y130</f>
        <v>1.9368421052631579</v>
      </c>
    </row>
    <row r="204" spans="2:11" x14ac:dyDescent="0.2">
      <c r="B204" t="s">
        <v>37</v>
      </c>
      <c r="C204" s="34"/>
      <c r="D204" s="34"/>
      <c r="E204" s="34"/>
      <c r="F204" s="34"/>
      <c r="G204" s="46">
        <f>MECS_data!Y18</f>
        <v>5.3417721518987342</v>
      </c>
      <c r="H204" s="41">
        <f>MECS_data!Y45</f>
        <v>2.0393258426966292</v>
      </c>
      <c r="I204" s="47">
        <f>MECS_data!Y75</f>
        <v>2.992481203007519</v>
      </c>
      <c r="J204" s="41">
        <f>MECS_data!Y103</f>
        <v>3.7254901960784315</v>
      </c>
      <c r="K204" s="41">
        <f>MECS_data!Y131</f>
        <v>2.6788321167883211</v>
      </c>
    </row>
    <row r="205" spans="2:11" x14ac:dyDescent="0.2">
      <c r="B205" t="s">
        <v>39</v>
      </c>
      <c r="C205" s="34"/>
      <c r="D205" s="34"/>
      <c r="E205" s="34"/>
      <c r="F205" s="34"/>
      <c r="G205" s="46">
        <f>MECS_data!Y19</f>
        <v>12.925925925925926</v>
      </c>
      <c r="H205" s="41">
        <f>MECS_data!Y46</f>
        <v>15.333333333333334</v>
      </c>
      <c r="I205" s="47">
        <f>MECS_data!Y76</f>
        <v>10</v>
      </c>
      <c r="J205" s="41">
        <f>MECS_data!Y104</f>
        <v>5.333333333333333</v>
      </c>
      <c r="K205" s="36">
        <v>8</v>
      </c>
    </row>
    <row r="206" spans="2:11" x14ac:dyDescent="0.2">
      <c r="B206" t="s">
        <v>41</v>
      </c>
      <c r="C206" s="34"/>
      <c r="D206" s="34"/>
      <c r="E206" s="34"/>
      <c r="F206" s="34"/>
      <c r="G206" s="46">
        <f>MECS_data!Y20</f>
        <v>7.8571428571428568</v>
      </c>
      <c r="H206" s="41">
        <f>MECS_data!Y47</f>
        <v>7.4</v>
      </c>
      <c r="I206" s="10">
        <f>MECS_data!Y77*0.333</f>
        <v>6.66</v>
      </c>
      <c r="J206" s="41">
        <f>MECS_data!Y105</f>
        <v>13.5</v>
      </c>
      <c r="K206" s="36">
        <v>15</v>
      </c>
    </row>
    <row r="207" spans="2:11" x14ac:dyDescent="0.2">
      <c r="B207" t="s">
        <v>43</v>
      </c>
      <c r="C207" s="34"/>
      <c r="D207" s="34"/>
      <c r="E207" s="34"/>
      <c r="F207" s="34"/>
      <c r="G207" s="23">
        <f>MECS_data!Y21*0.25</f>
        <v>5.5</v>
      </c>
      <c r="H207" s="36">
        <v>5</v>
      </c>
      <c r="I207" s="47">
        <f>MECS_data!Y78</f>
        <v>6.5</v>
      </c>
      <c r="J207" s="41">
        <f>MECS_data!Y106</f>
        <v>14</v>
      </c>
      <c r="K207" s="36">
        <v>18</v>
      </c>
    </row>
    <row r="208" spans="2:11" x14ac:dyDescent="0.2">
      <c r="B208" t="s">
        <v>45</v>
      </c>
      <c r="C208" s="34"/>
      <c r="D208" s="34"/>
      <c r="E208" s="34"/>
      <c r="F208" s="34"/>
      <c r="G208" s="46">
        <f>MECS_data!Y22</f>
        <v>0.41514360313315929</v>
      </c>
      <c r="H208" s="41">
        <f>MECS_data!Y49</f>
        <v>2.5</v>
      </c>
      <c r="I208" s="47">
        <f>MECS_data!Y79</f>
        <v>6</v>
      </c>
      <c r="J208" s="41">
        <f>MECS_data!Y107</f>
        <v>7.56</v>
      </c>
      <c r="K208" s="41">
        <f>MECS_data!Y135</f>
        <v>6.8</v>
      </c>
    </row>
    <row r="209" spans="2:11" x14ac:dyDescent="0.2">
      <c r="B209" t="s">
        <v>47</v>
      </c>
      <c r="C209" s="34"/>
      <c r="D209" s="38"/>
      <c r="E209" s="34"/>
      <c r="F209" s="34"/>
      <c r="G209" s="46">
        <f>MECS_data!Y23</f>
        <v>3.8518518518518516</v>
      </c>
      <c r="H209" s="41">
        <f>MECS_data!Y50</f>
        <v>3.5161290322580645</v>
      </c>
      <c r="I209" s="47">
        <f>MECS_data!Y80</f>
        <v>7.4</v>
      </c>
      <c r="J209" s="41">
        <f>MECS_data!Y108</f>
        <v>11.666666666666666</v>
      </c>
      <c r="K209" s="41">
        <f>MECS_data!Y136</f>
        <v>10</v>
      </c>
    </row>
    <row r="210" spans="2:11" x14ac:dyDescent="0.2">
      <c r="B210" t="s">
        <v>49</v>
      </c>
      <c r="C210" s="34"/>
      <c r="D210" s="38"/>
      <c r="E210" s="34"/>
      <c r="F210" s="34"/>
      <c r="G210" s="46">
        <f>MECS_data!Y24</f>
        <v>4.666666666666667</v>
      </c>
      <c r="H210" s="41">
        <f>MECS_data!Y51</f>
        <v>2</v>
      </c>
      <c r="I210" s="47">
        <f>MECS_data!Y81</f>
        <v>3.5</v>
      </c>
      <c r="J210" s="41">
        <f>MECS_data!Y109</f>
        <v>2</v>
      </c>
      <c r="K210" s="41">
        <f>MECS_data!Y137</f>
        <v>20</v>
      </c>
    </row>
    <row r="211" spans="2:11" x14ac:dyDescent="0.2">
      <c r="B211" t="s">
        <v>51</v>
      </c>
      <c r="C211" s="34"/>
      <c r="D211" s="34"/>
      <c r="E211" s="34"/>
      <c r="F211" s="34"/>
      <c r="G211" s="46">
        <f>MECS_data!Y25</f>
        <v>3.6</v>
      </c>
      <c r="H211" s="36">
        <v>2</v>
      </c>
      <c r="I211" s="47">
        <f>MECS_data!Y82</f>
        <v>4</v>
      </c>
      <c r="J211" s="41">
        <f>MECS_data!Y110</f>
        <v>5</v>
      </c>
      <c r="K211" s="41">
        <f>MECS_data!Y138</f>
        <v>13</v>
      </c>
    </row>
    <row r="212" spans="2:11" x14ac:dyDescent="0.2">
      <c r="B212" t="s">
        <v>0</v>
      </c>
      <c r="C212" s="34"/>
      <c r="D212" s="34"/>
      <c r="E212" s="34"/>
      <c r="F212" s="34"/>
      <c r="G212" s="46">
        <f>MECS_data!Y26</f>
        <v>2.629139072847682</v>
      </c>
      <c r="H212" s="41">
        <f>MECS_data!Y53</f>
        <v>2.4974874371859297</v>
      </c>
      <c r="I212" s="47">
        <f>MECS_data!Y83</f>
        <v>3.9037780401416766</v>
      </c>
      <c r="J212" s="34">
        <v>3.85</v>
      </c>
      <c r="K212" s="41">
        <f>MECS_data!Y139</f>
        <v>0</v>
      </c>
    </row>
    <row r="213" spans="2:11" x14ac:dyDescent="0.2">
      <c r="G213" s="41">
        <f>MECS_data!Y27</f>
        <v>2.6263128800442233</v>
      </c>
      <c r="H213" s="34"/>
      <c r="I213" s="34"/>
      <c r="J213" s="34"/>
    </row>
    <row r="214" spans="2:11" x14ac:dyDescent="0.2">
      <c r="B214" t="s">
        <v>101</v>
      </c>
      <c r="C214" s="34"/>
      <c r="D214" s="34"/>
      <c r="E214" s="34"/>
      <c r="F214" s="34"/>
      <c r="G214" s="34"/>
    </row>
    <row r="216" spans="2:11" x14ac:dyDescent="0.2">
      <c r="B216" t="s">
        <v>108</v>
      </c>
      <c r="C216" t="e">
        <f>C195/C212</f>
        <v>#DIV/0!</v>
      </c>
      <c r="D216" t="e">
        <f t="shared" ref="D216:J216" si="7">D195/D212</f>
        <v>#DIV/0!</v>
      </c>
      <c r="E216" t="e">
        <f t="shared" si="7"/>
        <v>#DIV/0!</v>
      </c>
      <c r="F216" t="e">
        <f t="shared" si="7"/>
        <v>#DIV/0!</v>
      </c>
      <c r="G216">
        <f t="shared" si="7"/>
        <v>0.76070528967254414</v>
      </c>
      <c r="H216">
        <f t="shared" si="7"/>
        <v>1.321327967806841</v>
      </c>
      <c r="I216">
        <f t="shared" si="7"/>
        <v>1.2808105247240285</v>
      </c>
      <c r="J216">
        <f t="shared" si="7"/>
        <v>1.2987012987012987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J104"/>
  <sheetViews>
    <sheetView topLeftCell="A77" workbookViewId="0">
      <selection activeCell="G82" sqref="G82"/>
    </sheetView>
  </sheetViews>
  <sheetFormatPr defaultRowHeight="12.75" x14ac:dyDescent="0.2"/>
  <cols>
    <col min="3" max="3" width="28.85546875" customWidth="1"/>
    <col min="4" max="4" width="12.5703125" customWidth="1"/>
    <col min="5" max="5" width="11.5703125" customWidth="1"/>
    <col min="6" max="6" width="11" bestFit="1" customWidth="1"/>
    <col min="7" max="7" width="11.28515625" customWidth="1"/>
  </cols>
  <sheetData>
    <row r="4" spans="2:10" x14ac:dyDescent="0.2">
      <c r="D4" t="s">
        <v>90</v>
      </c>
      <c r="E4" t="s">
        <v>89</v>
      </c>
      <c r="G4">
        <v>1998</v>
      </c>
      <c r="H4">
        <v>2002</v>
      </c>
      <c r="I4">
        <v>2006</v>
      </c>
      <c r="J4">
        <v>2010</v>
      </c>
    </row>
    <row r="5" spans="2:10" x14ac:dyDescent="0.2">
      <c r="D5" t="s">
        <v>87</v>
      </c>
      <c r="E5" t="s">
        <v>87</v>
      </c>
      <c r="F5" t="s">
        <v>88</v>
      </c>
      <c r="G5" t="s">
        <v>92</v>
      </c>
    </row>
    <row r="6" spans="2:10" x14ac:dyDescent="0.2">
      <c r="B6" t="str">
        <f>MECS_data!AH5</f>
        <v>311</v>
      </c>
      <c r="C6" t="str">
        <f>MECS_data!AI5</f>
        <v>Food</v>
      </c>
      <c r="D6" s="3">
        <f>[13]Expenditure_ratios!E238*0.001</f>
        <v>2104.6067947831611</v>
      </c>
      <c r="E6" s="14">
        <f>MECS_data!AN5</f>
        <v>2123.5083720930234</v>
      </c>
      <c r="F6" s="3">
        <f>'[13]3DNAICS'!J234*0.001</f>
        <v>2420.5329999999999</v>
      </c>
      <c r="G6" s="17">
        <f>E6/F6</f>
        <v>0.87728957716875722</v>
      </c>
      <c r="H6" s="17">
        <f>G32</f>
        <v>1.0187162381260007</v>
      </c>
      <c r="I6" s="17">
        <f>G58</f>
        <v>1.0944986203823006</v>
      </c>
      <c r="J6" s="17">
        <f>G84</f>
        <v>0.94552347021564864</v>
      </c>
    </row>
    <row r="7" spans="2:10" x14ac:dyDescent="0.2">
      <c r="B7" t="str">
        <f>MECS_data!AH6</f>
        <v>312</v>
      </c>
      <c r="C7" t="str">
        <f>MECS_data!AI6</f>
        <v>Beverage and Tobacco Products</v>
      </c>
      <c r="D7" s="3">
        <f>[13]Expenditure_ratios!E239*0.001</f>
        <v>223</v>
      </c>
      <c r="E7" s="14">
        <f>MECS_data!AN6</f>
        <v>223.38000000000002</v>
      </c>
      <c r="F7" s="3">
        <f>'[13]3DNAICS'!J235*0.001</f>
        <v>233.70400000000001</v>
      </c>
      <c r="G7" s="17">
        <f t="shared" ref="G7:G26" si="0">E7/F7</f>
        <v>0.95582446171225144</v>
      </c>
      <c r="H7" s="17">
        <f t="shared" ref="H7:H26" si="1">G33</f>
        <v>1.0888285992440729</v>
      </c>
      <c r="I7" s="17">
        <f t="shared" ref="I7:I26" si="2">G59</f>
        <v>1.0258942130864013</v>
      </c>
      <c r="J7" s="17">
        <f t="shared" ref="J7:J26" si="3">G85</f>
        <v>0.81932511517868256</v>
      </c>
    </row>
    <row r="8" spans="2:10" x14ac:dyDescent="0.2">
      <c r="B8" t="str">
        <f>MECS_data!AH7</f>
        <v>313</v>
      </c>
      <c r="C8" t="str">
        <f>MECS_data!AI7</f>
        <v>Textile Mills</v>
      </c>
      <c r="D8" s="3">
        <f>[13]Expenditure_ratios!E240*0.001</f>
        <v>453</v>
      </c>
      <c r="E8" s="14">
        <f>MECS_data!AN7</f>
        <v>476.12</v>
      </c>
      <c r="F8" s="3">
        <f>'[13]3DNAICS'!J236*0.001</f>
        <v>545.06899999999996</v>
      </c>
      <c r="G8" s="17">
        <f t="shared" si="0"/>
        <v>0.8735040884732026</v>
      </c>
      <c r="H8" s="17">
        <f t="shared" si="1"/>
        <v>1.0883028525381808</v>
      </c>
      <c r="I8" s="17">
        <f t="shared" si="2"/>
        <v>1.3263735623517798</v>
      </c>
      <c r="J8" s="17">
        <f t="shared" si="3"/>
        <v>0.97311001935982722</v>
      </c>
    </row>
    <row r="9" spans="2:10" x14ac:dyDescent="0.2">
      <c r="B9" t="str">
        <f>MECS_data!AH8</f>
        <v>314</v>
      </c>
      <c r="C9" t="str">
        <f>MECS_data!AI8</f>
        <v>Textile Product Mills</v>
      </c>
      <c r="D9" s="3">
        <f>[13]Expenditure_ratios!E241*0.001</f>
        <v>98.791221835976458</v>
      </c>
      <c r="E9" s="14">
        <f>MECS_data!AN8</f>
        <v>107.88800000000001</v>
      </c>
      <c r="F9" s="3">
        <f>'[13]3DNAICS'!J237*0.001</f>
        <v>150.941</v>
      </c>
      <c r="G9" s="17">
        <f t="shared" si="0"/>
        <v>0.71476934696338301</v>
      </c>
      <c r="H9" s="17">
        <f t="shared" si="1"/>
        <v>1.0738764213946213</v>
      </c>
      <c r="I9" s="17">
        <f t="shared" si="2"/>
        <v>1.9470789025673489</v>
      </c>
      <c r="J9" s="17">
        <f t="shared" si="3"/>
        <v>0.67207339977174885</v>
      </c>
    </row>
    <row r="10" spans="2:10" x14ac:dyDescent="0.2">
      <c r="B10" t="str">
        <f>MECS_data!AH9</f>
        <v>315</v>
      </c>
      <c r="C10" t="str">
        <f>MECS_data!AI9</f>
        <v>Apparel</v>
      </c>
      <c r="D10" s="3">
        <f>[13]Expenditure_ratios!E242*0.001</f>
        <v>105.76069342346587</v>
      </c>
      <c r="E10" s="14">
        <f>MECS_data!AN9</f>
        <v>106.93</v>
      </c>
      <c r="F10" s="3">
        <f>'[13]3DNAICS'!J238*0.001</f>
        <v>191.39099999999999</v>
      </c>
      <c r="G10" s="17">
        <f t="shared" si="0"/>
        <v>0.55869920738174739</v>
      </c>
      <c r="H10" s="17">
        <f t="shared" si="1"/>
        <v>0.82596346379457852</v>
      </c>
      <c r="I10" s="17">
        <f t="shared" si="2"/>
        <v>0.53133473818138433</v>
      </c>
      <c r="J10" s="17">
        <f t="shared" si="3"/>
        <v>0.67152866242038212</v>
      </c>
    </row>
    <row r="11" spans="2:10" x14ac:dyDescent="0.2">
      <c r="B11" t="str">
        <f>MECS_data!AH10</f>
        <v>316</v>
      </c>
      <c r="C11" t="str">
        <f>MECS_data!AI10</f>
        <v>Leather and Allied Products</v>
      </c>
      <c r="D11" s="3">
        <f>[13]Expenditure_ratios!E243*0.001</f>
        <v>18.60765212287366</v>
      </c>
      <c r="E11" s="14">
        <f>MECS_data!AN10</f>
        <v>19.657000000000004</v>
      </c>
      <c r="F11" s="3">
        <f>'[13]3DNAICS'!J239*0.001</f>
        <v>27.704000000000001</v>
      </c>
      <c r="G11" s="17">
        <f t="shared" si="0"/>
        <v>0.70953652902108011</v>
      </c>
      <c r="H11" s="17">
        <f t="shared" si="1"/>
        <v>1.2051295256733789</v>
      </c>
      <c r="I11" s="17">
        <f t="shared" si="2"/>
        <v>0.75145969669657897</v>
      </c>
      <c r="J11" s="17">
        <f t="shared" si="3"/>
        <v>0.73648611792941698</v>
      </c>
    </row>
    <row r="12" spans="2:10" x14ac:dyDescent="0.2">
      <c r="B12" t="str">
        <f>MECS_data!AH11</f>
        <v>321</v>
      </c>
      <c r="C12" t="str">
        <f>MECS_data!AI11</f>
        <v>Wood Products</v>
      </c>
      <c r="D12" s="3">
        <f>[13]Expenditure_ratios!E244*0.001</f>
        <v>445.10590935093364</v>
      </c>
      <c r="E12" s="14">
        <f>MECS_data!AN11</f>
        <v>558.55580645161297</v>
      </c>
      <c r="F12" s="3">
        <f>'[13]3DNAICS'!J240*0.001</f>
        <v>418.30599999999998</v>
      </c>
      <c r="G12" s="17">
        <f t="shared" si="0"/>
        <v>1.3352804082456695</v>
      </c>
      <c r="H12" s="17">
        <f t="shared" si="1"/>
        <v>0.95321790265434381</v>
      </c>
      <c r="I12" s="17">
        <f t="shared" si="2"/>
        <v>1.5778337245646694</v>
      </c>
      <c r="J12" s="17">
        <f t="shared" si="3"/>
        <v>1.6195338519467901</v>
      </c>
    </row>
    <row r="13" spans="2:10" x14ac:dyDescent="0.2">
      <c r="B13" t="str">
        <f>MECS_data!AH12</f>
        <v>322</v>
      </c>
      <c r="C13" t="str">
        <f>MECS_data!AI12</f>
        <v>Paper</v>
      </c>
      <c r="D13" s="3">
        <f>[13]Expenditure_ratios!E245*0.001</f>
        <v>3137</v>
      </c>
      <c r="E13" s="14">
        <f>MECS_data!AN12</f>
        <v>3283.5768354430379</v>
      </c>
      <c r="F13" s="3">
        <f>'[13]3DNAICS'!J241*0.001</f>
        <v>3019.1260000000002</v>
      </c>
      <c r="G13" s="17">
        <f t="shared" si="0"/>
        <v>1.0875918512321241</v>
      </c>
      <c r="H13" s="17">
        <f t="shared" si="1"/>
        <v>1.0856512004393253</v>
      </c>
      <c r="I13" s="17">
        <f t="shared" si="2"/>
        <v>1.3018813466124042</v>
      </c>
      <c r="J13" s="17">
        <f t="shared" si="3"/>
        <v>1.0237013592419952</v>
      </c>
    </row>
    <row r="14" spans="2:10" x14ac:dyDescent="0.2">
      <c r="B14" t="str">
        <f>MECS_data!AH13</f>
        <v>323</v>
      </c>
      <c r="C14" t="str">
        <f>MECS_data!AI13</f>
        <v>Printing and Related Support</v>
      </c>
      <c r="D14" s="3">
        <f>[13]Expenditure_ratios!E246*0.001</f>
        <v>181.87576177422713</v>
      </c>
      <c r="E14" s="14">
        <f>MECS_data!AN13</f>
        <v>181.535</v>
      </c>
      <c r="F14" s="3">
        <f>'[13]3DNAICS'!J242*0.001</f>
        <v>262.69</v>
      </c>
      <c r="G14" s="17">
        <f t="shared" si="0"/>
        <v>0.69106170771631958</v>
      </c>
      <c r="H14" s="17">
        <f t="shared" si="1"/>
        <v>0.92022894742772166</v>
      </c>
      <c r="I14" s="17">
        <f t="shared" si="2"/>
        <v>0.76711184706140023</v>
      </c>
      <c r="J14" s="17">
        <f t="shared" si="3"/>
        <v>0.91004125877531694</v>
      </c>
    </row>
    <row r="15" spans="2:10" x14ac:dyDescent="0.2">
      <c r="B15" t="str">
        <f>MECS_data!AH14</f>
        <v>324</v>
      </c>
      <c r="C15" t="str">
        <f>MECS_data!AI14</f>
        <v>Petroleum and Coal Products</v>
      </c>
      <c r="D15" s="3">
        <f>[13]Expenditure_ratios!E247*0.001</f>
        <v>2688.8458637681815</v>
      </c>
      <c r="E15" s="14">
        <f>MECS_data!AN14</f>
        <v>3493.113896103896</v>
      </c>
      <c r="F15" s="3">
        <f>'[13]3DNAICS'!J243*0.001</f>
        <v>2912.4670000000001</v>
      </c>
      <c r="G15" s="17">
        <f t="shared" si="0"/>
        <v>1.1993660000624542</v>
      </c>
      <c r="H15" s="17">
        <f t="shared" si="1"/>
        <v>0.83405263917813488</v>
      </c>
      <c r="I15" s="17">
        <f t="shared" si="2"/>
        <v>0.88240668422566504</v>
      </c>
      <c r="J15" s="17">
        <f t="shared" si="3"/>
        <v>0.94940314372820622</v>
      </c>
    </row>
    <row r="16" spans="2:10" x14ac:dyDescent="0.2">
      <c r="B16" t="str">
        <f>MECS_data!AH15</f>
        <v>325</v>
      </c>
      <c r="C16" t="str">
        <f>MECS_data!AI15</f>
        <v>Chemicals</v>
      </c>
      <c r="D16" s="3">
        <f>[13]Expenditure_ratios!E248*0.001</f>
        <v>6321.821943032166</v>
      </c>
      <c r="E16" s="14">
        <f>MECS_data!AN15</f>
        <v>6998.8562101313319</v>
      </c>
      <c r="F16" s="3">
        <f>'[13]3DNAICS'!J244*0.001</f>
        <v>5595.2390000000005</v>
      </c>
      <c r="G16" s="17">
        <f t="shared" si="0"/>
        <v>1.2508592055015579</v>
      </c>
      <c r="H16" s="17">
        <f t="shared" si="1"/>
        <v>1.1033110411866298</v>
      </c>
      <c r="I16" s="17">
        <f t="shared" si="2"/>
        <v>1.1846412940014261</v>
      </c>
      <c r="J16" s="17">
        <f t="shared" si="3"/>
        <v>1.1149771783249935</v>
      </c>
    </row>
    <row r="17" spans="2:10" x14ac:dyDescent="0.2">
      <c r="B17" t="str">
        <f>MECS_data!AH16</f>
        <v>326</v>
      </c>
      <c r="C17" t="str">
        <f>MECS_data!AI16</f>
        <v>Plastics and Rubber Products</v>
      </c>
      <c r="D17" s="3">
        <f>[13]Expenditure_ratios!E249*0.001</f>
        <v>529</v>
      </c>
      <c r="E17" s="14">
        <f>MECS_data!AN16</f>
        <v>521.55999999999995</v>
      </c>
      <c r="F17" s="3">
        <f>'[13]3DNAICS'!J245*0.001</f>
        <v>579.62199999999996</v>
      </c>
      <c r="G17" s="17">
        <f t="shared" si="0"/>
        <v>0.89982781881985152</v>
      </c>
      <c r="H17" s="17">
        <f t="shared" si="1"/>
        <v>1.0249293459875715</v>
      </c>
      <c r="I17" s="17">
        <f t="shared" si="2"/>
        <v>1.2041951298194318</v>
      </c>
      <c r="J17" s="17">
        <f t="shared" si="3"/>
        <v>0.98440729146293904</v>
      </c>
    </row>
    <row r="18" spans="2:10" x14ac:dyDescent="0.2">
      <c r="B18" t="str">
        <f>MECS_data!AH17</f>
        <v>327</v>
      </c>
      <c r="C18" t="str">
        <f>MECS_data!AI17</f>
        <v>Nonmetallic Mineral Products</v>
      </c>
      <c r="D18" s="3">
        <f>[13]Expenditure_ratios!E250*0.001</f>
        <v>1980</v>
      </c>
      <c r="E18" s="14">
        <f>MECS_data!AN17</f>
        <v>1925.4814285714288</v>
      </c>
      <c r="F18" s="3">
        <f>'[13]3DNAICS'!J246*0.001</f>
        <v>2225.962</v>
      </c>
      <c r="G18" s="17">
        <f t="shared" si="0"/>
        <v>0.86501091598662905</v>
      </c>
      <c r="H18" s="17">
        <f t="shared" si="1"/>
        <v>0.99163699427401497</v>
      </c>
      <c r="I18" s="17">
        <f t="shared" si="2"/>
        <v>1.1744229540739299</v>
      </c>
      <c r="J18" s="17">
        <f t="shared" si="3"/>
        <v>0.9635274508611007</v>
      </c>
    </row>
    <row r="19" spans="2:10" x14ac:dyDescent="0.2">
      <c r="B19" t="str">
        <f>MECS_data!AH18</f>
        <v>331</v>
      </c>
      <c r="C19" t="str">
        <f>MECS_data!AI18</f>
        <v>Primary Metals</v>
      </c>
      <c r="D19" s="3">
        <f>[13]Expenditure_ratios!E251*0.001</f>
        <v>5876.2865463615553</v>
      </c>
      <c r="E19" s="14">
        <f>MECS_data!AN18</f>
        <v>5028.9013924050632</v>
      </c>
      <c r="F19" s="3">
        <f>'[13]3DNAICS'!J247*0.001</f>
        <v>3171.1620000000003</v>
      </c>
      <c r="G19" s="17">
        <f t="shared" si="0"/>
        <v>1.5858229230815275</v>
      </c>
      <c r="H19" s="17">
        <f t="shared" si="1"/>
        <v>1.3425111227195916</v>
      </c>
      <c r="I19" s="17">
        <f t="shared" si="2"/>
        <v>1.1427433938691063</v>
      </c>
      <c r="J19" s="17">
        <f t="shared" si="3"/>
        <v>1.5458049417926356</v>
      </c>
    </row>
    <row r="20" spans="2:10" x14ac:dyDescent="0.2">
      <c r="B20" t="str">
        <f>MECS_data!AH19</f>
        <v>332</v>
      </c>
      <c r="C20" t="str">
        <f>MECS_data!AI19</f>
        <v>Fabricated Metal Products</v>
      </c>
      <c r="D20" s="3">
        <f>[13]Expenditure_ratios!E252*0.001</f>
        <v>920.81806828749836</v>
      </c>
      <c r="E20" s="14">
        <f>MECS_data!AN19</f>
        <v>1021.3855555555557</v>
      </c>
      <c r="F20" s="3">
        <f>'[13]3DNAICS'!J248*0.001</f>
        <v>1175.9770000000001</v>
      </c>
      <c r="G20" s="17">
        <f t="shared" si="0"/>
        <v>0.86854211906827739</v>
      </c>
      <c r="H20" s="17">
        <f t="shared" si="1"/>
        <v>0.92905014409893538</v>
      </c>
      <c r="I20" s="17">
        <f t="shared" si="2"/>
        <v>1.1709051464384717</v>
      </c>
      <c r="J20" s="17">
        <f t="shared" si="3"/>
        <v>0.86473104475011253</v>
      </c>
    </row>
    <row r="21" spans="2:10" x14ac:dyDescent="0.2">
      <c r="B21" t="str">
        <f>MECS_data!AH20</f>
        <v>333</v>
      </c>
      <c r="C21" t="str">
        <f>MECS_data!AI20</f>
        <v>Machinery</v>
      </c>
      <c r="D21" s="3">
        <f>[13]Expenditure_ratios!E253*0.001</f>
        <v>453.5008057077734</v>
      </c>
      <c r="E21" s="14">
        <f>MECS_data!AN20</f>
        <v>443.88857142857148</v>
      </c>
      <c r="F21" s="3">
        <f>'[13]3DNAICS'!J249*0.001</f>
        <v>489.94</v>
      </c>
      <c r="G21" s="17">
        <f t="shared" si="0"/>
        <v>0.90600598323993031</v>
      </c>
      <c r="H21" s="17">
        <f t="shared" si="1"/>
        <v>1.023046992527058</v>
      </c>
      <c r="I21" s="17">
        <f t="shared" si="2"/>
        <v>1.4944018856806129</v>
      </c>
      <c r="J21" s="17">
        <f t="shared" si="3"/>
        <v>0.92224315342639163</v>
      </c>
    </row>
    <row r="22" spans="2:10" x14ac:dyDescent="0.2">
      <c r="B22" t="str">
        <f>MECS_data!AH21</f>
        <v>334</v>
      </c>
      <c r="C22" t="str">
        <f>MECS_data!AI21</f>
        <v>Computer and Electronic Products</v>
      </c>
      <c r="D22" s="3">
        <f>[13]Expenditure_ratios!E254*0.001</f>
        <v>249.50090040638983</v>
      </c>
      <c r="E22" s="14">
        <f>MECS_data!AN21</f>
        <v>270.19</v>
      </c>
      <c r="F22" s="3">
        <f>'[13]3DNAICS'!J250*0.001</f>
        <v>371.76600000000002</v>
      </c>
      <c r="G22" s="17">
        <f t="shared" si="0"/>
        <v>0.72677436882339963</v>
      </c>
      <c r="H22" s="17">
        <f t="shared" si="1"/>
        <v>0.88340343150074407</v>
      </c>
      <c r="I22" s="17">
        <f t="shared" si="2"/>
        <v>1.0374502758599087</v>
      </c>
      <c r="J22" s="17">
        <f t="shared" si="3"/>
        <v>0.79192706664474788</v>
      </c>
    </row>
    <row r="23" spans="2:10" x14ac:dyDescent="0.2">
      <c r="B23" t="str">
        <f>MECS_data!AH22</f>
        <v>335</v>
      </c>
      <c r="C23" t="str">
        <f>MECS_data!AI22</f>
        <v>Electrical Equip., Appliances, and Components</v>
      </c>
      <c r="D23" s="3">
        <f>[13]Expenditure_ratios!E255*0.001</f>
        <v>357.4729887134996</v>
      </c>
      <c r="E23" s="14">
        <f>MECS_data!AN22</f>
        <v>202.86543080939944</v>
      </c>
      <c r="F23" s="3">
        <f>'[13]3DNAICS'!J251*0.001</f>
        <v>236.857</v>
      </c>
      <c r="G23" s="17">
        <f t="shared" si="0"/>
        <v>0.85648906643839717</v>
      </c>
      <c r="H23" s="17">
        <f t="shared" si="1"/>
        <v>1.115513199710519</v>
      </c>
      <c r="I23" s="17">
        <f t="shared" si="2"/>
        <v>1.0350931745452674</v>
      </c>
      <c r="J23" s="17">
        <f t="shared" si="3"/>
        <v>0.88531247074974273</v>
      </c>
    </row>
    <row r="24" spans="2:10" x14ac:dyDescent="0.2">
      <c r="B24" t="str">
        <f>MECS_data!AH23</f>
        <v>336</v>
      </c>
      <c r="C24" t="str">
        <f>MECS_data!AI23</f>
        <v>Transportation Equipment</v>
      </c>
      <c r="D24" s="3">
        <f>[13]Expenditure_ratios!E256*0.001</f>
        <v>940.21039995852334</v>
      </c>
      <c r="E24" s="14">
        <f>MECS_data!AN23</f>
        <v>974.85555555555561</v>
      </c>
      <c r="F24" s="3">
        <f>'[13]3DNAICS'!J252*0.001</f>
        <v>941.22699999999998</v>
      </c>
      <c r="G24" s="17">
        <f t="shared" si="0"/>
        <v>1.035728422108116</v>
      </c>
      <c r="H24" s="17">
        <f t="shared" si="1"/>
        <v>0.98300045896546873</v>
      </c>
      <c r="I24" s="17">
        <f t="shared" si="2"/>
        <v>1.1790750473134253</v>
      </c>
      <c r="J24" s="17">
        <f t="shared" si="3"/>
        <v>0.92638062692486178</v>
      </c>
    </row>
    <row r="25" spans="2:10" x14ac:dyDescent="0.2">
      <c r="B25" t="str">
        <f>MECS_data!AH24</f>
        <v>337</v>
      </c>
      <c r="C25" t="str">
        <f>MECS_data!AI24</f>
        <v>Furniture and Related Products</v>
      </c>
      <c r="D25" s="3">
        <f>[13]Expenditure_ratios!E257*0.001</f>
        <v>144.68077071877099</v>
      </c>
      <c r="E25" s="14">
        <f>MECS_data!AN24</f>
        <v>196.73333333333335</v>
      </c>
      <c r="F25" s="3">
        <f>'[13]3DNAICS'!J253*0.001</f>
        <v>164.57300000000001</v>
      </c>
      <c r="G25" s="17">
        <f t="shared" si="0"/>
        <v>1.1954168261703519</v>
      </c>
      <c r="H25" s="17">
        <f t="shared" si="1"/>
        <v>0.89549922400413862</v>
      </c>
      <c r="I25" s="17">
        <f t="shared" si="2"/>
        <v>0.82359200425628953</v>
      </c>
      <c r="J25" s="17">
        <f t="shared" si="3"/>
        <v>0.82255284994275324</v>
      </c>
    </row>
    <row r="26" spans="2:10" x14ac:dyDescent="0.2">
      <c r="B26" t="str">
        <f>MECS_data!AH25</f>
        <v>339</v>
      </c>
      <c r="C26" t="str">
        <f>MECS_data!AI25</f>
        <v>Miscellaneous</v>
      </c>
      <c r="D26" s="3">
        <f>[13]Expenditure_ratios!E258*0.001</f>
        <v>195.30090040638981</v>
      </c>
      <c r="E26" s="14">
        <f>MECS_data!AN25</f>
        <v>190.73999999999998</v>
      </c>
      <c r="F26" s="3">
        <f>'[13]3DNAICS'!J254*0.001</f>
        <v>183.887</v>
      </c>
      <c r="G26" s="17">
        <f t="shared" si="0"/>
        <v>1.0372674522940717</v>
      </c>
      <c r="H26" s="17">
        <f t="shared" si="1"/>
        <v>0.93000118869806547</v>
      </c>
      <c r="I26" s="17">
        <f t="shared" si="2"/>
        <v>1.1737184397482687</v>
      </c>
      <c r="J26" s="17">
        <f t="shared" si="3"/>
        <v>0.68310071160868935</v>
      </c>
    </row>
    <row r="30" spans="2:10" x14ac:dyDescent="0.2">
      <c r="D30" t="s">
        <v>90</v>
      </c>
      <c r="E30" t="s">
        <v>89</v>
      </c>
    </row>
    <row r="31" spans="2:10" x14ac:dyDescent="0.2">
      <c r="B31">
        <v>2002</v>
      </c>
      <c r="D31" t="s">
        <v>320</v>
      </c>
      <c r="E31" t="s">
        <v>320</v>
      </c>
      <c r="F31" t="s">
        <v>88</v>
      </c>
      <c r="G31" t="s">
        <v>92</v>
      </c>
    </row>
    <row r="32" spans="2:10" x14ac:dyDescent="0.2">
      <c r="B32" t="str">
        <f>MECS_data!AH32</f>
        <v>311</v>
      </c>
      <c r="C32" t="str">
        <f>MECS_data!AI32</f>
        <v>Food</v>
      </c>
      <c r="D32" s="3">
        <f>[13]Expenditure_ratios!E322*0.001</f>
        <v>3244</v>
      </c>
      <c r="E32" s="14">
        <f>MECS_data!AN32</f>
        <v>3242.15</v>
      </c>
      <c r="F32" s="3">
        <f>[13]Expenditure_ratios!F322*0.001</f>
        <v>3182.5840000000003</v>
      </c>
      <c r="G32" s="17">
        <f>E32/F32</f>
        <v>1.0187162381260007</v>
      </c>
    </row>
    <row r="33" spans="2:7" x14ac:dyDescent="0.2">
      <c r="B33" t="str">
        <f>MECS_data!AH33</f>
        <v>312</v>
      </c>
      <c r="C33" t="str">
        <f>MECS_data!AI33</f>
        <v>Beverage and Tobacco Products</v>
      </c>
      <c r="D33" s="3">
        <f>[13]Expenditure_ratios!E323*0.001</f>
        <v>301</v>
      </c>
      <c r="E33" s="14">
        <f>MECS_data!AN33</f>
        <v>304.21000000000004</v>
      </c>
      <c r="F33" s="3">
        <f>[13]Expenditure_ratios!F323*0.001</f>
        <v>279.392</v>
      </c>
      <c r="G33" s="17">
        <f t="shared" ref="G33:G52" si="4">E33/F33</f>
        <v>1.0888285992440729</v>
      </c>
    </row>
    <row r="34" spans="2:7" x14ac:dyDescent="0.2">
      <c r="B34" t="str">
        <f>MECS_data!AH34</f>
        <v>313</v>
      </c>
      <c r="C34" t="str">
        <f>MECS_data!AI34</f>
        <v>Textile Mills</v>
      </c>
      <c r="D34" s="3">
        <f>[13]Expenditure_ratios!E324*0.001</f>
        <v>506.15192083818397</v>
      </c>
      <c r="E34" s="14">
        <f>MECS_data!AN34</f>
        <v>493.8533333333333</v>
      </c>
      <c r="F34" s="3">
        <f>[13]Expenditure_ratios!F324*0.001</f>
        <v>453.78300000000002</v>
      </c>
      <c r="G34" s="17">
        <f t="shared" si="4"/>
        <v>1.0883028525381808</v>
      </c>
    </row>
    <row r="35" spans="2:7" x14ac:dyDescent="0.2">
      <c r="B35" t="str">
        <f>MECS_data!AH35</f>
        <v>314</v>
      </c>
      <c r="C35" t="str">
        <f>MECS_data!AI35</f>
        <v>Textile Product Mills</v>
      </c>
      <c r="D35" s="3">
        <f>[13]Expenditure_ratios!E325*0.001</f>
        <v>161.19909474745018</v>
      </c>
      <c r="E35" s="14">
        <f>MECS_data!AN35</f>
        <v>178.489</v>
      </c>
      <c r="F35" s="3">
        <f>[13]Expenditure_ratios!F325*0.001</f>
        <v>166.21</v>
      </c>
      <c r="G35" s="17">
        <f t="shared" si="4"/>
        <v>1.0738764213946213</v>
      </c>
    </row>
    <row r="36" spans="2:7" x14ac:dyDescent="0.2">
      <c r="B36" t="str">
        <f>MECS_data!AH36</f>
        <v>315</v>
      </c>
      <c r="C36" t="str">
        <f>MECS_data!AI36</f>
        <v>Apparel</v>
      </c>
      <c r="D36" s="3">
        <f>[13]Expenditure_ratios!E326*0.001</f>
        <v>97.991735537190095</v>
      </c>
      <c r="E36" s="14">
        <f>MECS_data!AN36</f>
        <v>93.636999999999986</v>
      </c>
      <c r="F36" s="3">
        <f>[13]Expenditure_ratios!F326*0.001</f>
        <v>113.367</v>
      </c>
      <c r="G36" s="17">
        <f t="shared" si="4"/>
        <v>0.82596346379457852</v>
      </c>
    </row>
    <row r="37" spans="2:7" x14ac:dyDescent="0.2">
      <c r="B37" t="str">
        <f>MECS_data!AH37</f>
        <v>316</v>
      </c>
      <c r="C37" t="str">
        <f>MECS_data!AI37</f>
        <v>Leather and Allied Products</v>
      </c>
      <c r="D37" s="3">
        <f>[13]Expenditure_ratios!E327*0.001</f>
        <v>23.39669421487605</v>
      </c>
      <c r="E37" s="14">
        <f>MECS_data!AN37</f>
        <v>23.400000000000002</v>
      </c>
      <c r="F37" s="3">
        <f>[13]Expenditure_ratios!F327*0.001</f>
        <v>19.417000000000002</v>
      </c>
      <c r="G37" s="17">
        <f t="shared" si="4"/>
        <v>1.2051295256733789</v>
      </c>
    </row>
    <row r="38" spans="2:7" x14ac:dyDescent="0.2">
      <c r="B38" t="str">
        <f>MECS_data!AH38</f>
        <v>321</v>
      </c>
      <c r="C38" t="str">
        <f>MECS_data!AI38</f>
        <v>Wood Products</v>
      </c>
      <c r="D38" s="3">
        <f>[13]Expenditure_ratios!E328*0.001</f>
        <v>944.76165447500557</v>
      </c>
      <c r="E38" s="14">
        <f>MECS_data!AN38</f>
        <v>457.3863591022444</v>
      </c>
      <c r="F38" s="3">
        <f>[13]Expenditure_ratios!F328*0.001</f>
        <v>479.834</v>
      </c>
      <c r="G38" s="17">
        <f t="shared" si="4"/>
        <v>0.95321790265434381</v>
      </c>
    </row>
    <row r="39" spans="2:7" x14ac:dyDescent="0.2">
      <c r="B39" t="str">
        <f>MECS_data!AH39</f>
        <v>322</v>
      </c>
      <c r="C39" t="str">
        <f>MECS_data!AI39</f>
        <v>Paper</v>
      </c>
      <c r="D39" s="3">
        <f>[13]Expenditure_ratios!E329*0.001</f>
        <v>4180</v>
      </c>
      <c r="E39" s="14">
        <f>MECS_data!AN39</f>
        <v>3889.4073076923082</v>
      </c>
      <c r="F39" s="3">
        <f>[13]Expenditure_ratios!F329*0.001</f>
        <v>3582.5570000000002</v>
      </c>
      <c r="G39" s="17">
        <f t="shared" si="4"/>
        <v>1.0856512004393253</v>
      </c>
    </row>
    <row r="40" spans="2:7" x14ac:dyDescent="0.2">
      <c r="B40" t="str">
        <f>MECS_data!AH40</f>
        <v>323</v>
      </c>
      <c r="C40" t="str">
        <f>MECS_data!AI40</f>
        <v>Printing and Related Support</v>
      </c>
      <c r="D40" s="3">
        <f>[13]Expenditure_ratios!E330*0.001</f>
        <v>243.78944122363393</v>
      </c>
      <c r="E40" s="14">
        <f>MECS_data!AN40</f>
        <v>245.02200000000002</v>
      </c>
      <c r="F40" s="3">
        <f>[13]Expenditure_ratios!F330*0.001</f>
        <v>266.262</v>
      </c>
      <c r="G40" s="17">
        <f t="shared" si="4"/>
        <v>0.92022894742772166</v>
      </c>
    </row>
    <row r="41" spans="2:7" x14ac:dyDescent="0.2">
      <c r="B41" t="str">
        <f>MECS_data!AH41</f>
        <v>324</v>
      </c>
      <c r="C41" t="str">
        <f>MECS_data!AI41</f>
        <v>Petroleum and Coal Products</v>
      </c>
      <c r="D41" s="3">
        <f>[13]Expenditure_ratios!E331*0.001</f>
        <v>3581.5003859391604</v>
      </c>
      <c r="E41" s="14">
        <f>MECS_data!AN41</f>
        <v>4011.3544827586211</v>
      </c>
      <c r="F41" s="3">
        <f>[13]Expenditure_ratios!F331*0.001</f>
        <v>4809.4740000000002</v>
      </c>
      <c r="G41" s="17">
        <f t="shared" si="4"/>
        <v>0.83405263917813488</v>
      </c>
    </row>
    <row r="42" spans="2:7" x14ac:dyDescent="0.2">
      <c r="B42" t="str">
        <f>MECS_data!AH42</f>
        <v>325</v>
      </c>
      <c r="C42" t="str">
        <f>MECS_data!AI42</f>
        <v>Chemicals</v>
      </c>
      <c r="D42" s="3">
        <f>[13]Expenditure_ratios!E332*0.001</f>
        <v>7933.5483044180683</v>
      </c>
      <c r="E42" s="14">
        <f>MECS_data!AN42</f>
        <v>8477.7714285714283</v>
      </c>
      <c r="F42" s="3">
        <f>[13]Expenditure_ratios!F332*0.001</f>
        <v>7683.9360000000006</v>
      </c>
      <c r="G42" s="17">
        <f t="shared" si="4"/>
        <v>1.1033110411866298</v>
      </c>
    </row>
    <row r="43" spans="2:7" x14ac:dyDescent="0.2">
      <c r="B43" t="str">
        <f>MECS_data!AH43</f>
        <v>326</v>
      </c>
      <c r="C43" t="str">
        <f>MECS_data!AI43</f>
        <v>Plastics and Rubber Products</v>
      </c>
      <c r="D43" s="3">
        <f>[13]Expenditure_ratios!E333*0.001</f>
        <v>772.13038416763675</v>
      </c>
      <c r="E43" s="14">
        <f>MECS_data!AN43</f>
        <v>769.56000000000006</v>
      </c>
      <c r="F43" s="3">
        <f>[13]Expenditure_ratios!F333*0.001</f>
        <v>750.84199999999998</v>
      </c>
      <c r="G43" s="17">
        <f t="shared" si="4"/>
        <v>1.0249293459875715</v>
      </c>
    </row>
    <row r="44" spans="2:7" x14ac:dyDescent="0.2">
      <c r="B44" t="str">
        <f>MECS_data!AH44</f>
        <v>327</v>
      </c>
      <c r="C44" t="str">
        <f>MECS_data!AI44</f>
        <v>Nonmetallic Mineral Products</v>
      </c>
      <c r="D44" s="3">
        <f>[13]Expenditure_ratios!E334*0.001</f>
        <v>2822</v>
      </c>
      <c r="E44" s="14">
        <f>MECS_data!AN44</f>
        <v>2657.13</v>
      </c>
      <c r="F44" s="3">
        <f>[13]Expenditure_ratios!F334*0.001</f>
        <v>2679.5390000000002</v>
      </c>
      <c r="G44" s="17">
        <f t="shared" si="4"/>
        <v>0.99163699427401497</v>
      </c>
    </row>
    <row r="45" spans="2:7" x14ac:dyDescent="0.2">
      <c r="B45" t="str">
        <f>MECS_data!AH45</f>
        <v>331</v>
      </c>
      <c r="C45" t="str">
        <f>MECS_data!AI45</f>
        <v>Primary Metals</v>
      </c>
      <c r="D45" s="3">
        <f>[13]Expenditure_ratios!E335*0.001</f>
        <v>5482.6127748406825</v>
      </c>
      <c r="E45" s="14">
        <f>MECS_data!AN45</f>
        <v>4587.2437078651683</v>
      </c>
      <c r="F45" s="3">
        <f>[13]Expenditure_ratios!F335*0.001</f>
        <v>3416.913</v>
      </c>
      <c r="G45" s="17">
        <f t="shared" si="4"/>
        <v>1.3425111227195916</v>
      </c>
    </row>
    <row r="46" spans="2:7" x14ac:dyDescent="0.2">
      <c r="B46" t="str">
        <f>MECS_data!AH46</f>
        <v>332</v>
      </c>
      <c r="C46" t="str">
        <f>MECS_data!AI46</f>
        <v>Fabricated Metal Products</v>
      </c>
      <c r="D46" s="3">
        <f>[13]Expenditure_ratios!E336*0.001</f>
        <v>1191.7437810945273</v>
      </c>
      <c r="E46" s="14">
        <f>MECS_data!AN46</f>
        <v>1169.3266666666666</v>
      </c>
      <c r="F46" s="3">
        <f>[13]Expenditure_ratios!F336*0.001</f>
        <v>1258.626</v>
      </c>
      <c r="G46" s="17">
        <f t="shared" si="4"/>
        <v>0.92905014409893538</v>
      </c>
    </row>
    <row r="47" spans="2:7" x14ac:dyDescent="0.2">
      <c r="B47" t="str">
        <f>MECS_data!AH47</f>
        <v>333</v>
      </c>
      <c r="C47" t="str">
        <f>MECS_data!AI47</f>
        <v>Machinery</v>
      </c>
      <c r="D47" s="3">
        <f>[13]Expenditure_ratios!E337*0.001</f>
        <v>522.3432835820895</v>
      </c>
      <c r="E47" s="14">
        <f>MECS_data!AN47</f>
        <v>503.24500000000006</v>
      </c>
      <c r="F47" s="3">
        <f>[13]Expenditure_ratios!F337*0.001</f>
        <v>491.90800000000002</v>
      </c>
      <c r="G47" s="17">
        <f t="shared" si="4"/>
        <v>1.023046992527058</v>
      </c>
    </row>
    <row r="48" spans="2:7" x14ac:dyDescent="0.2">
      <c r="B48" t="str">
        <f>MECS_data!AH48</f>
        <v>334</v>
      </c>
      <c r="C48" t="str">
        <f>MECS_data!AI48</f>
        <v>Computer and Electronic Products</v>
      </c>
      <c r="D48" s="3">
        <f>[13]Expenditure_ratios!E338*0.001</f>
        <v>378.21501746216535</v>
      </c>
      <c r="E48" s="14">
        <f>MECS_data!AN48</f>
        <v>369.50203669724772</v>
      </c>
      <c r="F48" s="3">
        <f>[13]Expenditure_ratios!F338*0.001</f>
        <v>418.27100000000002</v>
      </c>
      <c r="G48" s="17">
        <f t="shared" si="4"/>
        <v>0.88340343150074407</v>
      </c>
    </row>
    <row r="49" spans="2:7" x14ac:dyDescent="0.2">
      <c r="B49" t="str">
        <f>MECS_data!AH49</f>
        <v>335</v>
      </c>
      <c r="C49" t="str">
        <f>MECS_data!AI49</f>
        <v>Electrical Equip., Appliances, and Components</v>
      </c>
      <c r="D49" s="3">
        <f>[13]Expenditure_ratios!E339*0.001</f>
        <v>417.84297520661158</v>
      </c>
      <c r="E49" s="14">
        <f>MECS_data!AN49</f>
        <v>283.61700000000008</v>
      </c>
      <c r="F49" s="3">
        <f>[13]Expenditure_ratios!F339*0.001</f>
        <v>254.24800000000002</v>
      </c>
      <c r="G49" s="17">
        <f t="shared" si="4"/>
        <v>1.115513199710519</v>
      </c>
    </row>
    <row r="50" spans="2:7" x14ac:dyDescent="0.2">
      <c r="B50" t="str">
        <f>MECS_data!AH50</f>
        <v>336</v>
      </c>
      <c r="C50" t="str">
        <f>MECS_data!AI50</f>
        <v>Transportation Equipment</v>
      </c>
      <c r="D50" s="3">
        <f>[13]Expenditure_ratios!E340*0.001</f>
        <v>1088.6666666666667</v>
      </c>
      <c r="E50" s="14">
        <f>MECS_data!AN50</f>
        <v>1064.1854838709678</v>
      </c>
      <c r="F50" s="3">
        <f>[13]Expenditure_ratios!F340*0.001</f>
        <v>1082.5889999999999</v>
      </c>
      <c r="G50" s="17">
        <f t="shared" si="4"/>
        <v>0.98300045896546873</v>
      </c>
    </row>
    <row r="51" spans="2:7" x14ac:dyDescent="0.2">
      <c r="B51" t="str">
        <f>MECS_data!AH51</f>
        <v>337</v>
      </c>
      <c r="C51" t="str">
        <f>MECS_data!AI51</f>
        <v>Furniture and Related Products</v>
      </c>
      <c r="D51" s="3">
        <f>[13]Expenditure_ratios!E341*0.001</f>
        <v>176.60549525101766</v>
      </c>
      <c r="E51" s="14">
        <f>MECS_data!AN51</f>
        <v>155.79</v>
      </c>
      <c r="F51" s="3">
        <f>[13]Expenditure_ratios!F341*0.001</f>
        <v>173.97</v>
      </c>
      <c r="G51" s="17">
        <f t="shared" si="4"/>
        <v>0.89549922400413862</v>
      </c>
    </row>
    <row r="52" spans="2:7" x14ac:dyDescent="0.2">
      <c r="B52" t="str">
        <f>MECS_data!AH52</f>
        <v>339</v>
      </c>
      <c r="C52" t="str">
        <f>MECS_data!AI52</f>
        <v>Miscellaneous</v>
      </c>
      <c r="D52" s="3">
        <f>[13]Expenditure_ratios!E342*0.001</f>
        <v>184.06022573084994</v>
      </c>
      <c r="E52" s="14">
        <f>MECS_data!AN52</f>
        <v>179.94499999999999</v>
      </c>
      <c r="F52" s="3">
        <f>[13]Expenditure_ratios!F342*0.001</f>
        <v>193.489</v>
      </c>
      <c r="G52" s="17">
        <f t="shared" si="4"/>
        <v>0.93000118869806547</v>
      </c>
    </row>
    <row r="55" spans="2:7" ht="15.75" x14ac:dyDescent="0.25">
      <c r="B55" s="19">
        <v>2006</v>
      </c>
    </row>
    <row r="56" spans="2:7" x14ac:dyDescent="0.2">
      <c r="D56" t="s">
        <v>90</v>
      </c>
      <c r="E56" t="s">
        <v>89</v>
      </c>
    </row>
    <row r="57" spans="2:7" x14ac:dyDescent="0.2">
      <c r="D57" t="s">
        <v>100</v>
      </c>
      <c r="E57" t="s">
        <v>100</v>
      </c>
      <c r="F57" t="s">
        <v>88</v>
      </c>
      <c r="G57" t="s">
        <v>92</v>
      </c>
    </row>
    <row r="58" spans="2:7" x14ac:dyDescent="0.2">
      <c r="B58" t="s">
        <v>10</v>
      </c>
      <c r="C58" t="s">
        <v>11</v>
      </c>
      <c r="D58" s="16">
        <f>[13]Expenditure_ratios!E406*0.001</f>
        <v>5671</v>
      </c>
      <c r="E58" s="16">
        <f>MECS_data!AN62</f>
        <v>5754.7785245901641</v>
      </c>
      <c r="F58" s="16">
        <f>[13]Expenditure_ratios!F406*0.001</f>
        <v>5257.9130000000005</v>
      </c>
      <c r="G58" s="17">
        <f>E58/F58</f>
        <v>1.0944986203823006</v>
      </c>
    </row>
    <row r="59" spans="2:7" x14ac:dyDescent="0.2">
      <c r="B59" t="s">
        <v>12</v>
      </c>
      <c r="C59" t="s">
        <v>13</v>
      </c>
      <c r="D59" s="16">
        <f>[13]Expenditure_ratios!E407*0.001</f>
        <v>542.20481927710841</v>
      </c>
      <c r="E59" s="16">
        <f>MECS_data!AN63</f>
        <v>505.97</v>
      </c>
      <c r="F59" s="16">
        <f>[13]Expenditure_ratios!F407*0.001</f>
        <v>493.19900000000001</v>
      </c>
      <c r="G59" s="17">
        <f t="shared" ref="G59:G78" si="5">E59/F59</f>
        <v>1.0258942130864013</v>
      </c>
    </row>
    <row r="60" spans="2:7" x14ac:dyDescent="0.2">
      <c r="B60" t="s">
        <v>14</v>
      </c>
      <c r="C60" t="s">
        <v>15</v>
      </c>
      <c r="D60" s="16">
        <f>[13]Expenditure_ratios!E408*0.001</f>
        <v>787</v>
      </c>
      <c r="E60" s="16">
        <f>MECS_data!AN64</f>
        <v>774.06099999999992</v>
      </c>
      <c r="F60" s="16">
        <f>[13]Expenditure_ratios!F408*0.001</f>
        <v>583.59199999999998</v>
      </c>
      <c r="G60" s="17">
        <f t="shared" si="5"/>
        <v>1.3263735623517798</v>
      </c>
    </row>
    <row r="61" spans="2:7" x14ac:dyDescent="0.2">
      <c r="B61" t="s">
        <v>16</v>
      </c>
      <c r="C61" t="s">
        <v>17</v>
      </c>
      <c r="D61" s="16">
        <f>[13]Expenditure_ratios!E409*0.001</f>
        <v>470.46987951807233</v>
      </c>
      <c r="E61" s="16">
        <f>MECS_data!AN65</f>
        <v>455.19200000000001</v>
      </c>
      <c r="F61" s="16">
        <f>[13]Expenditure_ratios!F409*0.001</f>
        <v>233.78200000000001</v>
      </c>
      <c r="G61" s="17">
        <f t="shared" si="5"/>
        <v>1.9470789025673489</v>
      </c>
    </row>
    <row r="62" spans="2:7" x14ac:dyDescent="0.2">
      <c r="B62" t="s">
        <v>18</v>
      </c>
      <c r="C62" t="s">
        <v>19</v>
      </c>
      <c r="D62" s="16">
        <f>[13]Expenditure_ratios!E410*0.001</f>
        <v>71.046987951807239</v>
      </c>
      <c r="E62" s="16">
        <f>MECS_data!AN66</f>
        <v>66.817999999999998</v>
      </c>
      <c r="F62" s="16">
        <f>[13]Expenditure_ratios!F410*0.001</f>
        <v>125.75500000000001</v>
      </c>
      <c r="G62" s="17">
        <f t="shared" si="5"/>
        <v>0.53133473818138433</v>
      </c>
    </row>
    <row r="63" spans="2:7" x14ac:dyDescent="0.2">
      <c r="B63" t="s">
        <v>20</v>
      </c>
      <c r="C63" t="s">
        <v>21</v>
      </c>
      <c r="D63" s="16">
        <f>[13]Expenditure_ratios!E411*0.001</f>
        <v>17.500000000000018</v>
      </c>
      <c r="E63" s="16">
        <f>MECS_data!AN67</f>
        <v>19.176500000000001</v>
      </c>
      <c r="F63" s="16">
        <f>[13]Expenditure_ratios!F411*0.001</f>
        <v>25.519000000000002</v>
      </c>
      <c r="G63" s="17">
        <f t="shared" si="5"/>
        <v>0.75145969669657897</v>
      </c>
    </row>
    <row r="64" spans="2:7" x14ac:dyDescent="0.2">
      <c r="B64" t="s">
        <v>22</v>
      </c>
      <c r="C64" t="s">
        <v>23</v>
      </c>
      <c r="D64" s="16">
        <f>[13]Expenditure_ratios!E412*0.001</f>
        <v>1175</v>
      </c>
      <c r="E64" s="16">
        <f>MECS_data!AN68</f>
        <v>1283.3137037037038</v>
      </c>
      <c r="F64" s="16">
        <f>[13]Expenditure_ratios!F412*0.001</f>
        <v>813.33900000000006</v>
      </c>
      <c r="G64" s="17">
        <f t="shared" si="5"/>
        <v>1.5778337245646694</v>
      </c>
    </row>
    <row r="65" spans="2:7" x14ac:dyDescent="0.2">
      <c r="B65" t="s">
        <v>24</v>
      </c>
      <c r="C65" t="s">
        <v>25</v>
      </c>
      <c r="D65" s="16">
        <f>[13]Expenditure_ratios!E413*0.001</f>
        <v>6344</v>
      </c>
      <c r="E65" s="16">
        <f>MECS_data!AN69</f>
        <v>6986.8600000000006</v>
      </c>
      <c r="F65" s="16">
        <f>[13]Expenditure_ratios!F413*0.001</f>
        <v>5366.741</v>
      </c>
      <c r="G65" s="17">
        <f t="shared" si="5"/>
        <v>1.3018813466124042</v>
      </c>
    </row>
    <row r="66" spans="2:7" x14ac:dyDescent="0.2">
      <c r="B66" t="s">
        <v>26</v>
      </c>
      <c r="C66" t="s">
        <v>27</v>
      </c>
      <c r="D66" s="16">
        <f>[13]Expenditure_ratios!E414*0.001</f>
        <v>341</v>
      </c>
      <c r="E66" s="16">
        <f>MECS_data!AN70</f>
        <v>318.72500000000002</v>
      </c>
      <c r="F66" s="16">
        <f>[13]Expenditure_ratios!F414*0.001</f>
        <v>415.48700000000002</v>
      </c>
      <c r="G66" s="17">
        <f t="shared" si="5"/>
        <v>0.76711184706140023</v>
      </c>
    </row>
    <row r="67" spans="2:7" x14ac:dyDescent="0.2">
      <c r="B67" t="s">
        <v>28</v>
      </c>
      <c r="C67" t="s">
        <v>29</v>
      </c>
      <c r="D67" s="16">
        <f>[13]Expenditure_ratios!E415*0.001</f>
        <v>8466</v>
      </c>
      <c r="E67" s="16">
        <f>MECS_data!AN71</f>
        <v>8217.7069706840375</v>
      </c>
      <c r="F67" s="16">
        <f>[13]Expenditure_ratios!F415*0.001</f>
        <v>9312.8340000000007</v>
      </c>
      <c r="G67" s="17">
        <f t="shared" si="5"/>
        <v>0.88240668422566504</v>
      </c>
    </row>
    <row r="68" spans="2:7" x14ac:dyDescent="0.2">
      <c r="B68" t="s">
        <v>30</v>
      </c>
      <c r="C68" t="s">
        <v>31</v>
      </c>
      <c r="D68" s="16">
        <f>[13]Expenditure_ratios!E416*0.001</f>
        <v>39618</v>
      </c>
      <c r="E68" s="16">
        <f>MECS_data!AN72</f>
        <v>16235.25542105263</v>
      </c>
      <c r="F68" s="16">
        <f>[13]Expenditure_ratios!F416*0.001</f>
        <v>13704.786</v>
      </c>
      <c r="G68" s="17">
        <f t="shared" si="5"/>
        <v>1.1846412940014261</v>
      </c>
    </row>
    <row r="69" spans="2:7" x14ac:dyDescent="0.2">
      <c r="B69" t="s">
        <v>32</v>
      </c>
      <c r="C69" t="s">
        <v>33</v>
      </c>
      <c r="D69" s="16">
        <f>[13]Expenditure_ratios!E417*0.001</f>
        <v>1374.9</v>
      </c>
      <c r="E69" s="16">
        <f>MECS_data!AN73</f>
        <v>1403.54</v>
      </c>
      <c r="F69" s="16">
        <f>[13]Expenditure_ratios!F417*0.001</f>
        <v>1165.5419999999999</v>
      </c>
      <c r="G69" s="17">
        <f t="shared" si="5"/>
        <v>1.2041951298194318</v>
      </c>
    </row>
    <row r="70" spans="2:7" x14ac:dyDescent="0.2">
      <c r="B70" t="s">
        <v>34</v>
      </c>
      <c r="C70" t="s">
        <v>35</v>
      </c>
      <c r="D70" s="16">
        <f>[13]Expenditure_ratios!E418*0.001</f>
        <v>5509</v>
      </c>
      <c r="E70" s="16">
        <f>MECS_data!AN74</f>
        <v>5491.4149999999991</v>
      </c>
      <c r="F70" s="16">
        <f>[13]Expenditure_ratios!F418*0.001</f>
        <v>4675.8410000000003</v>
      </c>
      <c r="G70" s="17">
        <f t="shared" si="5"/>
        <v>1.1744229540739299</v>
      </c>
    </row>
    <row r="71" spans="2:7" x14ac:dyDescent="0.2">
      <c r="B71" t="s">
        <v>36</v>
      </c>
      <c r="C71" t="s">
        <v>37</v>
      </c>
      <c r="D71" s="16">
        <f>[13]Expenditure_ratios!E419*0.001</f>
        <v>8113.7260000000006</v>
      </c>
      <c r="E71" s="16">
        <f>MECS_data!AN75</f>
        <v>6956.0390225563915</v>
      </c>
      <c r="F71" s="16">
        <f>[13]Expenditure_ratios!F419*0.001</f>
        <v>6087.14</v>
      </c>
      <c r="G71" s="17">
        <f t="shared" si="5"/>
        <v>1.1427433938691063</v>
      </c>
    </row>
    <row r="72" spans="2:7" x14ac:dyDescent="0.2">
      <c r="B72" t="s">
        <v>38</v>
      </c>
      <c r="C72" t="s">
        <v>39</v>
      </c>
      <c r="D72" s="16">
        <f>[13]Expenditure_ratios!E420*0.001</f>
        <v>2335.3000000000002</v>
      </c>
      <c r="E72" s="16">
        <f>MECS_data!AN76</f>
        <v>2292.7399999999998</v>
      </c>
      <c r="F72" s="16">
        <f>[13]Expenditure_ratios!F420*0.001</f>
        <v>1958.0920000000001</v>
      </c>
      <c r="G72" s="17">
        <f t="shared" si="5"/>
        <v>1.1709051464384717</v>
      </c>
    </row>
    <row r="73" spans="2:7" x14ac:dyDescent="0.2">
      <c r="B73" t="s">
        <v>40</v>
      </c>
      <c r="C73" t="s">
        <v>41</v>
      </c>
      <c r="D73" s="16">
        <f>[13]Expenditure_ratios!E421*0.001</f>
        <v>1134.734939759036</v>
      </c>
      <c r="E73" s="16">
        <f>MECS_data!AN77</f>
        <v>1153.8800000000001</v>
      </c>
      <c r="F73" s="16">
        <f>[13]Expenditure_ratios!F421*0.001</f>
        <v>772.13499999999999</v>
      </c>
      <c r="G73" s="17">
        <f t="shared" si="5"/>
        <v>1.4944018856806129</v>
      </c>
    </row>
    <row r="74" spans="2:7" x14ac:dyDescent="0.2">
      <c r="B74" t="s">
        <v>42</v>
      </c>
      <c r="C74" t="s">
        <v>43</v>
      </c>
      <c r="D74" s="16">
        <f>[13]Expenditure_ratios!E422*0.001</f>
        <v>450.3</v>
      </c>
      <c r="E74" s="16">
        <f>MECS_data!AN78</f>
        <v>463.70499999999993</v>
      </c>
      <c r="F74" s="16">
        <f>[13]Expenditure_ratios!F422*0.001</f>
        <v>446.96600000000001</v>
      </c>
      <c r="G74" s="17">
        <f t="shared" si="5"/>
        <v>1.0374502758599087</v>
      </c>
    </row>
    <row r="75" spans="2:7" x14ac:dyDescent="0.2">
      <c r="B75" t="s">
        <v>44</v>
      </c>
      <c r="C75" t="s">
        <v>45</v>
      </c>
      <c r="D75" s="16">
        <f>[13]Expenditure_ratios!E423*0.001</f>
        <v>515</v>
      </c>
      <c r="E75" s="16">
        <f>MECS_data!AN79</f>
        <v>422.76</v>
      </c>
      <c r="F75" s="16">
        <f>[13]Expenditure_ratios!F423*0.001</f>
        <v>408.42700000000002</v>
      </c>
      <c r="G75" s="17">
        <f t="shared" si="5"/>
        <v>1.0350931745452674</v>
      </c>
    </row>
    <row r="76" spans="2:7" x14ac:dyDescent="0.2">
      <c r="B76" t="s">
        <v>46</v>
      </c>
      <c r="C76" t="s">
        <v>47</v>
      </c>
      <c r="D76" s="16">
        <f>[13]Expenditure_ratios!E424*0.001</f>
        <v>2040</v>
      </c>
      <c r="E76" s="16">
        <f>MECS_data!AN80</f>
        <v>2022.3000000000002</v>
      </c>
      <c r="F76" s="16">
        <f>[13]Expenditure_ratios!F424*0.001</f>
        <v>1715.1580000000001</v>
      </c>
      <c r="G76" s="17">
        <f t="shared" si="5"/>
        <v>1.1790750473134253</v>
      </c>
    </row>
    <row r="77" spans="2:7" x14ac:dyDescent="0.2">
      <c r="B77" t="s">
        <v>48</v>
      </c>
      <c r="C77" t="s">
        <v>49</v>
      </c>
      <c r="D77" s="16">
        <f>[13]Expenditure_ratios!E425*0.001</f>
        <v>198.00700000000001</v>
      </c>
      <c r="E77" s="16">
        <f>MECS_data!AN81</f>
        <v>205.88400000000004</v>
      </c>
      <c r="F77" s="16">
        <f>[13]Expenditure_ratios!F425*0.001</f>
        <v>249.983</v>
      </c>
      <c r="G77" s="17">
        <f t="shared" si="5"/>
        <v>0.82359200425628953</v>
      </c>
    </row>
    <row r="78" spans="2:7" x14ac:dyDescent="0.2">
      <c r="B78" t="s">
        <v>50</v>
      </c>
      <c r="C78" t="s">
        <v>51</v>
      </c>
      <c r="D78" s="16">
        <f>[13]Expenditure_ratios!E426*0.001</f>
        <v>309.3</v>
      </c>
      <c r="E78" s="16">
        <f>MECS_data!AN82</f>
        <v>312.58</v>
      </c>
      <c r="F78" s="16">
        <f>[13]Expenditure_ratios!F426*0.001</f>
        <v>266.31600000000003</v>
      </c>
      <c r="G78" s="17">
        <f t="shared" si="5"/>
        <v>1.1737184397482687</v>
      </c>
    </row>
    <row r="81" spans="2:9" ht="15.75" x14ac:dyDescent="0.25">
      <c r="B81" s="19">
        <v>2010</v>
      </c>
    </row>
    <row r="82" spans="2:9" x14ac:dyDescent="0.2">
      <c r="D82" t="s">
        <v>90</v>
      </c>
      <c r="E82" t="s">
        <v>89</v>
      </c>
    </row>
    <row r="83" spans="2:9" x14ac:dyDescent="0.2">
      <c r="D83" t="s">
        <v>321</v>
      </c>
      <c r="E83" t="s">
        <v>321</v>
      </c>
      <c r="F83" t="s">
        <v>88</v>
      </c>
      <c r="G83" t="s">
        <v>92</v>
      </c>
    </row>
    <row r="84" spans="2:9" x14ac:dyDescent="0.2">
      <c r="B84" t="s">
        <v>10</v>
      </c>
      <c r="C84" t="s">
        <v>11</v>
      </c>
      <c r="D84" s="16">
        <f>[13]Expenditure_ratios!E490</f>
        <v>4783</v>
      </c>
      <c r="E84" s="16">
        <f>MECS_data!AN90</f>
        <v>4766.45</v>
      </c>
      <c r="F84" s="16">
        <f>[13]Expenditure_ratios!F490*0.001</f>
        <v>5041.07</v>
      </c>
      <c r="G84" s="17">
        <f>E84/F84</f>
        <v>0.94552347021564864</v>
      </c>
      <c r="I84">
        <f>G84/G58</f>
        <v>0.86388731114652662</v>
      </c>
    </row>
    <row r="85" spans="2:9" x14ac:dyDescent="0.2">
      <c r="B85" t="s">
        <v>12</v>
      </c>
      <c r="C85" t="s">
        <v>13</v>
      </c>
      <c r="D85" s="16">
        <f>[13]Expenditure_ratios!E491</f>
        <v>378</v>
      </c>
      <c r="E85" s="16">
        <f>MECS_data!AN91</f>
        <v>368.47999999999996</v>
      </c>
      <c r="F85" s="16">
        <f>[13]Expenditure_ratios!F491*0.001</f>
        <v>449.73599999999999</v>
      </c>
      <c r="G85" s="17">
        <f t="shared" ref="G85:G104" si="6">E85/F85</f>
        <v>0.81932511517868256</v>
      </c>
      <c r="I85">
        <f t="shared" ref="I85:I104" si="7">G85/G59</f>
        <v>0.7986448356246636</v>
      </c>
    </row>
    <row r="86" spans="2:9" x14ac:dyDescent="0.2">
      <c r="B86" t="s">
        <v>14</v>
      </c>
      <c r="C86" t="s">
        <v>15</v>
      </c>
      <c r="D86" s="16">
        <f>[13]Expenditure_ratios!E492</f>
        <v>351</v>
      </c>
      <c r="E86" s="16">
        <f>MECS_data!AN92</f>
        <v>347.9014285714286</v>
      </c>
      <c r="F86" s="16">
        <f>[13]Expenditure_ratios!F492*0.001</f>
        <v>357.51499999999999</v>
      </c>
      <c r="G86" s="17">
        <f t="shared" si="6"/>
        <v>0.97311001935982722</v>
      </c>
      <c r="I86">
        <f t="shared" si="7"/>
        <v>0.73366210468973425</v>
      </c>
    </row>
    <row r="87" spans="2:9" x14ac:dyDescent="0.2">
      <c r="B87" t="s">
        <v>16</v>
      </c>
      <c r="C87" t="s">
        <v>17</v>
      </c>
      <c r="D87" s="16">
        <f>[13]Expenditure_ratios!E493</f>
        <v>81</v>
      </c>
      <c r="E87" s="16">
        <f>MECS_data!AN93</f>
        <v>74.788999999999987</v>
      </c>
      <c r="F87" s="16">
        <f>[13]Expenditure_ratios!F493*0.001</f>
        <v>111.28100000000001</v>
      </c>
      <c r="G87" s="17">
        <f t="shared" si="6"/>
        <v>0.67207339977174885</v>
      </c>
      <c r="I87">
        <f t="shared" si="7"/>
        <v>0.34517008986414305</v>
      </c>
    </row>
    <row r="88" spans="2:9" x14ac:dyDescent="0.2">
      <c r="B88" t="s">
        <v>18</v>
      </c>
      <c r="C88" t="s">
        <v>19</v>
      </c>
      <c r="D88" s="16">
        <f>[13]Expenditure_ratios!E494</f>
        <v>25</v>
      </c>
      <c r="E88" s="16">
        <f>MECS_data!AN94</f>
        <v>21.085999999999999</v>
      </c>
      <c r="F88" s="16">
        <f>[13]Expenditure_ratios!F494*0.001</f>
        <v>31.400000000000002</v>
      </c>
      <c r="G88" s="17">
        <f t="shared" si="6"/>
        <v>0.67152866242038212</v>
      </c>
      <c r="I88">
        <f t="shared" si="7"/>
        <v>1.2638523592845516</v>
      </c>
    </row>
    <row r="89" spans="2:9" x14ac:dyDescent="0.2">
      <c r="B89" t="s">
        <v>20</v>
      </c>
      <c r="C89" t="s">
        <v>21</v>
      </c>
      <c r="D89" s="16">
        <f>[13]Expenditure_ratios!E495</f>
        <v>9.1999999999999993</v>
      </c>
      <c r="E89" s="16">
        <f>MECS_data!AN95</f>
        <v>13.502000000000002</v>
      </c>
      <c r="F89" s="16">
        <f>[13]Expenditure_ratios!F495*0.001</f>
        <v>18.333000000000002</v>
      </c>
      <c r="G89" s="17">
        <f t="shared" si="6"/>
        <v>0.73648611792941698</v>
      </c>
      <c r="I89">
        <f t="shared" si="7"/>
        <v>0.98007400951376911</v>
      </c>
    </row>
    <row r="90" spans="2:9" x14ac:dyDescent="0.2">
      <c r="B90" t="s">
        <v>22</v>
      </c>
      <c r="C90" t="s">
        <v>23</v>
      </c>
      <c r="D90" s="16">
        <f>[13]Expenditure_ratios!E496</f>
        <v>767</v>
      </c>
      <c r="E90" s="16">
        <f>MECS_data!AN96</f>
        <v>959.54789473684207</v>
      </c>
      <c r="F90" s="16">
        <f>[13]Expenditure_ratios!F496*0.001</f>
        <v>592.48400000000004</v>
      </c>
      <c r="G90" s="17">
        <f t="shared" si="6"/>
        <v>1.6195338519467901</v>
      </c>
      <c r="I90">
        <f t="shared" si="7"/>
        <v>1.0264287210578071</v>
      </c>
    </row>
    <row r="91" spans="2:9" x14ac:dyDescent="0.2">
      <c r="B91" t="s">
        <v>24</v>
      </c>
      <c r="C91" t="s">
        <v>25</v>
      </c>
      <c r="D91" s="16">
        <f>[13]Expenditure_ratios!E497</f>
        <v>4522</v>
      </c>
      <c r="E91" s="16">
        <f>MECS_data!AN97</f>
        <v>4480.6333607594934</v>
      </c>
      <c r="F91" s="16">
        <f>[13]Expenditure_ratios!F497*0.001</f>
        <v>4376.8950000000004</v>
      </c>
      <c r="G91" s="17">
        <f t="shared" si="6"/>
        <v>1.0237013592419952</v>
      </c>
      <c r="I91">
        <f t="shared" si="7"/>
        <v>0.78632462313539186</v>
      </c>
    </row>
    <row r="92" spans="2:9" x14ac:dyDescent="0.2">
      <c r="B92" t="s">
        <v>26</v>
      </c>
      <c r="C92" t="s">
        <v>27</v>
      </c>
      <c r="D92" s="16">
        <f>[13]Expenditure_ratios!E498</f>
        <v>269</v>
      </c>
      <c r="E92" s="16">
        <f>MECS_data!AN98</f>
        <v>261.59499999999997</v>
      </c>
      <c r="F92" s="16">
        <f>[13]Expenditure_ratios!F498*0.001</f>
        <v>287.45400000000001</v>
      </c>
      <c r="G92" s="17">
        <f t="shared" si="6"/>
        <v>0.91004125877531694</v>
      </c>
      <c r="I92">
        <f t="shared" si="7"/>
        <v>1.1863214761464589</v>
      </c>
    </row>
    <row r="93" spans="2:9" x14ac:dyDescent="0.2">
      <c r="B93" t="s">
        <v>28</v>
      </c>
      <c r="C93" t="s">
        <v>29</v>
      </c>
      <c r="D93" s="16">
        <f>[13]Expenditure_ratios!E499</f>
        <v>7695</v>
      </c>
      <c r="E93" s="16">
        <f>MECS_data!AN99</f>
        <v>6596.0742307692299</v>
      </c>
      <c r="F93" s="16">
        <f>[13]Expenditure_ratios!F499*0.001</f>
        <v>6947.6010000000006</v>
      </c>
      <c r="G93" s="17">
        <f t="shared" si="6"/>
        <v>0.94940314372820622</v>
      </c>
      <c r="I93">
        <f t="shared" si="7"/>
        <v>1.0759246962882341</v>
      </c>
    </row>
    <row r="94" spans="2:9" x14ac:dyDescent="0.2">
      <c r="B94" t="s">
        <v>30</v>
      </c>
      <c r="C94" t="s">
        <v>31</v>
      </c>
      <c r="D94" s="16">
        <f>[13]Expenditure_ratios!E500</f>
        <v>40246</v>
      </c>
      <c r="E94" s="16">
        <f>MECS_data!AN100</f>
        <v>12338.11</v>
      </c>
      <c r="F94" s="16">
        <f>[13]Expenditure_ratios!F500*0.001</f>
        <v>11065.796</v>
      </c>
      <c r="G94" s="17">
        <f t="shared" si="6"/>
        <v>1.1149771783249935</v>
      </c>
      <c r="I94">
        <f t="shared" si="7"/>
        <v>0.94119391580456868</v>
      </c>
    </row>
    <row r="95" spans="2:9" x14ac:dyDescent="0.2">
      <c r="B95" t="s">
        <v>32</v>
      </c>
      <c r="C95" t="s">
        <v>33</v>
      </c>
      <c r="D95" s="16">
        <f>[13]Expenditure_ratios!E501</f>
        <v>802</v>
      </c>
      <c r="E95" s="16">
        <f>MECS_data!AN101</f>
        <v>790.23</v>
      </c>
      <c r="F95" s="16">
        <f>[13]Expenditure_ratios!F501*0.001</f>
        <v>802.74700000000007</v>
      </c>
      <c r="G95" s="17">
        <f t="shared" si="6"/>
        <v>0.98440729146293904</v>
      </c>
      <c r="I95">
        <f t="shared" si="7"/>
        <v>0.81748154189142941</v>
      </c>
    </row>
    <row r="96" spans="2:9" x14ac:dyDescent="0.2">
      <c r="B96" t="s">
        <v>34</v>
      </c>
      <c r="C96" t="s">
        <v>35</v>
      </c>
      <c r="D96" s="16">
        <f>[13]Expenditure_ratios!E502</f>
        <v>2999</v>
      </c>
      <c r="E96" s="16">
        <f>MECS_data!AN102</f>
        <v>2946.9843589743587</v>
      </c>
      <c r="F96" s="16">
        <f>[13]Expenditure_ratios!F502*0.001</f>
        <v>3058.5370000000003</v>
      </c>
      <c r="G96" s="17">
        <f t="shared" si="6"/>
        <v>0.9635274508611007</v>
      </c>
      <c r="I96">
        <f t="shared" si="7"/>
        <v>0.82042627617140962</v>
      </c>
    </row>
    <row r="97" spans="2:9" x14ac:dyDescent="0.2">
      <c r="B97" t="s">
        <v>36</v>
      </c>
      <c r="C97" t="s">
        <v>37</v>
      </c>
      <c r="D97" s="16">
        <f>[13]Expenditure_ratios!E503</f>
        <v>8620</v>
      </c>
      <c r="E97" s="16">
        <f>MECS_data!AN103</f>
        <v>6412.7609803921569</v>
      </c>
      <c r="F97" s="16">
        <f>[13]Expenditure_ratios!F503*0.001</f>
        <v>4148.4930000000004</v>
      </c>
      <c r="G97" s="17">
        <f t="shared" si="6"/>
        <v>1.5458049417926356</v>
      </c>
      <c r="I97">
        <f t="shared" si="7"/>
        <v>1.3527139601821205</v>
      </c>
    </row>
    <row r="98" spans="2:9" x14ac:dyDescent="0.2">
      <c r="B98" t="s">
        <v>38</v>
      </c>
      <c r="C98" t="s">
        <v>39</v>
      </c>
      <c r="D98" s="16">
        <f>[13]Expenditure_ratios!E504</f>
        <v>1310</v>
      </c>
      <c r="E98" s="16">
        <f>MECS_data!AN104</f>
        <v>1277.0676666666666</v>
      </c>
      <c r="F98" s="16">
        <f>[13]Expenditure_ratios!F504*0.001</f>
        <v>1476.838</v>
      </c>
      <c r="G98" s="17">
        <f t="shared" si="6"/>
        <v>0.86473104475011253</v>
      </c>
      <c r="I98">
        <f t="shared" si="7"/>
        <v>0.73851502607222685</v>
      </c>
    </row>
    <row r="99" spans="2:9" x14ac:dyDescent="0.2">
      <c r="B99" t="s">
        <v>40</v>
      </c>
      <c r="C99" t="s">
        <v>41</v>
      </c>
      <c r="D99" s="16">
        <f>[13]Expenditure_ratios!E505</f>
        <v>643</v>
      </c>
      <c r="E99" s="16">
        <f>MECS_data!AN105</f>
        <v>616.36</v>
      </c>
      <c r="F99" s="16">
        <f>[13]Expenditure_ratios!F505*0.001</f>
        <v>668.327</v>
      </c>
      <c r="G99" s="17">
        <f t="shared" si="6"/>
        <v>0.92224315342639163</v>
      </c>
      <c r="I99">
        <f t="shared" si="7"/>
        <v>0.61713195243083063</v>
      </c>
    </row>
    <row r="100" spans="2:9" x14ac:dyDescent="0.2">
      <c r="B100" t="s">
        <v>42</v>
      </c>
      <c r="C100" t="s">
        <v>43</v>
      </c>
      <c r="D100" s="16">
        <f>[13]Expenditure_ratios!E506</f>
        <v>311</v>
      </c>
      <c r="E100" s="16">
        <f>MECS_data!AN106</f>
        <v>284.22499999999997</v>
      </c>
      <c r="F100" s="16">
        <f>[13]Expenditure_ratios!F506*0.001</f>
        <v>358.90300000000002</v>
      </c>
      <c r="G100" s="17">
        <f t="shared" si="6"/>
        <v>0.79192706664474788</v>
      </c>
      <c r="I100">
        <f t="shared" si="7"/>
        <v>0.76333978126165647</v>
      </c>
    </row>
    <row r="101" spans="2:9" x14ac:dyDescent="0.2">
      <c r="B101" t="s">
        <v>44</v>
      </c>
      <c r="C101" t="s">
        <v>45</v>
      </c>
      <c r="D101" s="16">
        <f>[13]Expenditure_ratios!E507</f>
        <v>460.2</v>
      </c>
      <c r="E101" s="16">
        <f>MECS_data!AN107</f>
        <v>283.75150000000002</v>
      </c>
      <c r="F101" s="16">
        <f>[13]Expenditure_ratios!F507*0.001</f>
        <v>320.51</v>
      </c>
      <c r="G101" s="17">
        <f t="shared" si="6"/>
        <v>0.88531247074974273</v>
      </c>
      <c r="I101">
        <f t="shared" si="7"/>
        <v>0.8552973708271957</v>
      </c>
    </row>
    <row r="102" spans="2:9" x14ac:dyDescent="0.2">
      <c r="B102" t="s">
        <v>46</v>
      </c>
      <c r="C102" t="s">
        <v>47</v>
      </c>
      <c r="D102" s="16">
        <f>[13]Expenditure_ratios!E508</f>
        <v>1097</v>
      </c>
      <c r="E102" s="16">
        <f>MECS_data!AN108</f>
        <v>1061.3033333333333</v>
      </c>
      <c r="F102" s="16">
        <f>[13]Expenditure_ratios!F508*0.001</f>
        <v>1145.645</v>
      </c>
      <c r="G102" s="17">
        <f t="shared" si="6"/>
        <v>0.92638062692486178</v>
      </c>
      <c r="I102">
        <f t="shared" si="7"/>
        <v>0.78568419290668656</v>
      </c>
    </row>
    <row r="103" spans="2:9" x14ac:dyDescent="0.2">
      <c r="B103" t="s">
        <v>48</v>
      </c>
      <c r="C103" t="s">
        <v>49</v>
      </c>
      <c r="D103" s="16">
        <f>[13]Expenditure_ratios!E509</f>
        <v>141</v>
      </c>
      <c r="E103" s="16">
        <f>MECS_data!AN109</f>
        <v>139.375</v>
      </c>
      <c r="F103" s="16">
        <f>[13]Expenditure_ratios!F509*0.001</f>
        <v>169.44200000000001</v>
      </c>
      <c r="G103" s="17">
        <f t="shared" si="6"/>
        <v>0.82255284994275324</v>
      </c>
      <c r="I103">
        <f t="shared" si="7"/>
        <v>0.99873826566046542</v>
      </c>
    </row>
    <row r="104" spans="2:9" x14ac:dyDescent="0.2">
      <c r="B104" t="s">
        <v>50</v>
      </c>
      <c r="C104" t="s">
        <v>51</v>
      </c>
      <c r="D104" s="16">
        <f>[13]Expenditure_ratios!E510</f>
        <v>160.30000000000001</v>
      </c>
      <c r="E104" s="16">
        <f>MECS_data!AN110</f>
        <v>156.566</v>
      </c>
      <c r="F104" s="16">
        <f>[13]Expenditure_ratios!F510*0.001</f>
        <v>229.19900000000001</v>
      </c>
      <c r="G104" s="17">
        <f t="shared" si="6"/>
        <v>0.68310071160868935</v>
      </c>
      <c r="I104">
        <f t="shared" si="7"/>
        <v>0.58199708590690302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J105"/>
  <sheetViews>
    <sheetView workbookViewId="0">
      <selection activeCell="E11" sqref="E11"/>
    </sheetView>
  </sheetViews>
  <sheetFormatPr defaultRowHeight="12.75" x14ac:dyDescent="0.2"/>
  <cols>
    <col min="3" max="3" width="28.85546875" customWidth="1"/>
    <col min="4" max="4" width="12.5703125" customWidth="1"/>
    <col min="5" max="5" width="11.5703125" customWidth="1"/>
    <col min="6" max="6" width="11" bestFit="1" customWidth="1"/>
    <col min="7" max="7" width="11.28515625" customWidth="1"/>
  </cols>
  <sheetData>
    <row r="3" spans="2:10" x14ac:dyDescent="0.2">
      <c r="D3" t="s">
        <v>90</v>
      </c>
      <c r="E3" t="s">
        <v>131</v>
      </c>
    </row>
    <row r="4" spans="2:10" x14ac:dyDescent="0.2">
      <c r="D4" t="s">
        <v>87</v>
      </c>
      <c r="E4" t="s">
        <v>89</v>
      </c>
      <c r="G4">
        <v>1998</v>
      </c>
      <c r="H4">
        <v>2002</v>
      </c>
      <c r="I4">
        <v>2006</v>
      </c>
      <c r="J4">
        <v>2010</v>
      </c>
    </row>
    <row r="5" spans="2:10" x14ac:dyDescent="0.2">
      <c r="D5" t="s">
        <v>322</v>
      </c>
      <c r="E5" t="s">
        <v>87</v>
      </c>
      <c r="F5" t="s">
        <v>88</v>
      </c>
      <c r="G5" t="s">
        <v>92</v>
      </c>
    </row>
    <row r="6" spans="2:10" x14ac:dyDescent="0.2">
      <c r="B6" t="str">
        <f>MECS_data!AH5</f>
        <v>311</v>
      </c>
      <c r="C6" t="str">
        <f>MECS_data!AI5</f>
        <v>Food</v>
      </c>
      <c r="D6" s="3">
        <f>[13]Expenditure_ratios!E238*0.001</f>
        <v>2104.6067947831611</v>
      </c>
      <c r="E6" s="14">
        <f>MECS_data!E62</f>
        <v>251</v>
      </c>
      <c r="F6" s="3">
        <f>[13]Final_quantities!CG6</f>
        <v>211.45160303999998</v>
      </c>
      <c r="G6" s="17">
        <f>E6/F6</f>
        <v>1.1870328547592932</v>
      </c>
      <c r="H6" s="17">
        <f>G32</f>
        <v>1.0145229637506492</v>
      </c>
      <c r="I6" s="17">
        <f>G58</f>
        <v>0.93684699285312822</v>
      </c>
      <c r="J6" s="17">
        <f>G84</f>
        <v>0.89175999006199769</v>
      </c>
    </row>
    <row r="7" spans="2:10" x14ac:dyDescent="0.2">
      <c r="B7" t="str">
        <f>MECS_data!AH6</f>
        <v>312</v>
      </c>
      <c r="C7" t="str">
        <f>MECS_data!AI6</f>
        <v>Beverage and Tobacco Products</v>
      </c>
      <c r="D7" s="3">
        <f>[13]Expenditure_ratios!E239*0.001</f>
        <v>223</v>
      </c>
      <c r="E7" s="14">
        <f>MECS_data!E63</f>
        <v>30</v>
      </c>
      <c r="F7" s="3">
        <f>[13]Final_quantities!CG7</f>
        <v>25.959495715999999</v>
      </c>
      <c r="G7" s="17">
        <f t="shared" ref="G7:G26" si="0">E7/F7</f>
        <v>1.1556464859026385</v>
      </c>
      <c r="H7" s="17">
        <f t="shared" ref="H7:H26" si="1">G33</f>
        <v>0.96044288010385503</v>
      </c>
      <c r="I7" s="17">
        <f t="shared" ref="I7:I26" si="2">G59</f>
        <v>0.8898767935608265</v>
      </c>
      <c r="J7" s="17">
        <f t="shared" ref="J7:J26" si="3">G85</f>
        <v>0.9075685366710442</v>
      </c>
    </row>
    <row r="8" spans="2:10" x14ac:dyDescent="0.2">
      <c r="B8" t="str">
        <f>MECS_data!AH7</f>
        <v>313</v>
      </c>
      <c r="C8" t="str">
        <f>MECS_data!AI7</f>
        <v>Textile Mills</v>
      </c>
      <c r="D8" s="3">
        <f>[13]Expenditure_ratios!E240*0.001</f>
        <v>453</v>
      </c>
      <c r="E8" s="14">
        <f>MECS_data!E64</f>
        <v>66</v>
      </c>
      <c r="F8" s="3">
        <f>[13]Final_quantities!CG8</f>
        <v>98.572632231999989</v>
      </c>
      <c r="G8" s="17">
        <f t="shared" si="0"/>
        <v>0.66955704139727923</v>
      </c>
      <c r="H8" s="17">
        <f t="shared" si="1"/>
        <v>1.0807323539239126</v>
      </c>
      <c r="I8" s="17">
        <f t="shared" si="2"/>
        <v>1.0441171307363883</v>
      </c>
      <c r="J8" s="17">
        <f t="shared" si="3"/>
        <v>1.1030926784211146</v>
      </c>
    </row>
    <row r="9" spans="2:10" x14ac:dyDescent="0.2">
      <c r="B9" t="str">
        <f>MECS_data!AH8</f>
        <v>314</v>
      </c>
      <c r="C9" t="str">
        <f>MECS_data!AI8</f>
        <v>Textile Product Mills</v>
      </c>
      <c r="D9" s="3">
        <f>[13]Expenditure_ratios!E241*0.001</f>
        <v>98.791221835976458</v>
      </c>
      <c r="E9" s="14">
        <f>MECS_data!E65</f>
        <v>20</v>
      </c>
      <c r="F9" s="3">
        <f>[13]Final_quantities!CG9</f>
        <v>16.936758559999998</v>
      </c>
      <c r="G9" s="17">
        <f t="shared" si="0"/>
        <v>1.1808635004831765</v>
      </c>
      <c r="H9" s="17">
        <f t="shared" si="1"/>
        <v>1.0294464956303129</v>
      </c>
      <c r="I9" s="17">
        <f t="shared" si="2"/>
        <v>1.2479978012475217</v>
      </c>
      <c r="J9" s="17">
        <f t="shared" si="3"/>
        <v>0.76088632526874844</v>
      </c>
    </row>
    <row r="10" spans="2:10" x14ac:dyDescent="0.2">
      <c r="B10" t="str">
        <f>MECS_data!AH9</f>
        <v>315</v>
      </c>
      <c r="C10" t="str">
        <f>MECS_data!AI9</f>
        <v>Apparel</v>
      </c>
      <c r="D10" s="3">
        <f>[13]Expenditure_ratios!E242*0.001</f>
        <v>105.76069342346587</v>
      </c>
      <c r="E10" s="14">
        <f>MECS_data!E66</f>
        <v>7</v>
      </c>
      <c r="F10" s="3">
        <f>[13]Final_quantities!CG10</f>
        <v>22.905516875999997</v>
      </c>
      <c r="G10" s="17">
        <f t="shared" si="0"/>
        <v>0.30560323252667915</v>
      </c>
      <c r="H10" s="17">
        <f t="shared" si="1"/>
        <v>1.0710941907410341</v>
      </c>
      <c r="I10" s="17">
        <f t="shared" si="2"/>
        <v>0.65311069023281521</v>
      </c>
      <c r="J10" s="17">
        <f t="shared" si="3"/>
        <v>1.1195474020943399</v>
      </c>
    </row>
    <row r="11" spans="2:10" x14ac:dyDescent="0.2">
      <c r="B11" t="str">
        <f>MECS_data!AH10</f>
        <v>316</v>
      </c>
      <c r="C11" t="str">
        <f>MECS_data!AI10</f>
        <v>Leather and Allied Products</v>
      </c>
      <c r="D11" s="3">
        <f>[13]Expenditure_ratios!E243*0.001</f>
        <v>18.60765212287366</v>
      </c>
      <c r="E11" s="14">
        <f>MECS_data!E67</f>
        <v>1</v>
      </c>
      <c r="F11" s="3">
        <f>[13]Final_quantities!CG11</f>
        <v>2.9945179159999999</v>
      </c>
      <c r="G11" s="17">
        <f t="shared" si="0"/>
        <v>0.33394356889865406</v>
      </c>
      <c r="H11" s="17">
        <f t="shared" si="1"/>
        <v>1.0265378744053864</v>
      </c>
      <c r="I11" s="17">
        <f t="shared" si="2"/>
        <v>0.42607234432993557</v>
      </c>
      <c r="J11" s="17">
        <f t="shared" si="3"/>
        <v>0.84355549951047792</v>
      </c>
    </row>
    <row r="12" spans="2:10" x14ac:dyDescent="0.2">
      <c r="B12" t="str">
        <f>MECS_data!AH11</f>
        <v>321</v>
      </c>
      <c r="C12" t="str">
        <f>MECS_data!AI11</f>
        <v>Wood Products</v>
      </c>
      <c r="D12" s="3">
        <f>[13]Expenditure_ratios!E244*0.001</f>
        <v>445.10590935093364</v>
      </c>
      <c r="E12" s="14">
        <f>MECS_data!E68</f>
        <v>94</v>
      </c>
      <c r="F12" s="3">
        <f>[13]Final_quantities!CG12</f>
        <v>76.021762047999999</v>
      </c>
      <c r="G12" s="17">
        <f t="shared" si="0"/>
        <v>1.2364880458920247</v>
      </c>
      <c r="H12" s="17">
        <f t="shared" si="1"/>
        <v>0.98984550652010228</v>
      </c>
      <c r="I12" s="17">
        <f t="shared" si="2"/>
        <v>0.97446827825737703</v>
      </c>
      <c r="J12" s="17">
        <f t="shared" si="3"/>
        <v>0.81380715315538155</v>
      </c>
    </row>
    <row r="13" spans="2:10" x14ac:dyDescent="0.2">
      <c r="B13" t="str">
        <f>MECS_data!AH12</f>
        <v>322</v>
      </c>
      <c r="C13" t="str">
        <f>MECS_data!AI12</f>
        <v>Paper</v>
      </c>
      <c r="D13" s="3">
        <f>[13]Expenditure_ratios!E245*0.001</f>
        <v>3137</v>
      </c>
      <c r="E13" s="14">
        <f>MECS_data!E69</f>
        <v>262</v>
      </c>
      <c r="F13" s="3">
        <f>[13]Final_quantities!CG13</f>
        <v>247.72932454400001</v>
      </c>
      <c r="G13" s="17">
        <f t="shared" si="0"/>
        <v>1.0576059192114955</v>
      </c>
      <c r="H13" s="17">
        <f t="shared" si="1"/>
        <v>1.0051707493977058</v>
      </c>
      <c r="I13" s="17">
        <f t="shared" si="2"/>
        <v>1.0671698541994703</v>
      </c>
      <c r="J13" s="17">
        <f t="shared" si="3"/>
        <v>0.99421391982487883</v>
      </c>
    </row>
    <row r="14" spans="2:10" x14ac:dyDescent="0.2">
      <c r="B14" t="str">
        <f>MECS_data!AH13</f>
        <v>323</v>
      </c>
      <c r="C14" t="str">
        <f>MECS_data!AI13</f>
        <v>Printing and Related Support</v>
      </c>
      <c r="D14" s="3">
        <f>[13]Expenditure_ratios!E246*0.001</f>
        <v>181.87576177422713</v>
      </c>
      <c r="E14" s="14">
        <f>MECS_data!E70</f>
        <v>45</v>
      </c>
      <c r="F14" s="3">
        <f>[13]Final_quantities!CG14</f>
        <v>50.323086435999997</v>
      </c>
      <c r="G14" s="17">
        <f t="shared" si="0"/>
        <v>0.89422178143286579</v>
      </c>
      <c r="H14" s="17">
        <f t="shared" si="1"/>
        <v>0.99461140111440005</v>
      </c>
      <c r="I14" s="17">
        <f t="shared" si="2"/>
        <v>0.74555845173152013</v>
      </c>
      <c r="J14" s="17">
        <f t="shared" si="3"/>
        <v>1.018902600132455</v>
      </c>
    </row>
    <row r="15" spans="2:10" x14ac:dyDescent="0.2">
      <c r="B15" t="str">
        <f>MECS_data!AH14</f>
        <v>324</v>
      </c>
      <c r="C15" t="str">
        <f>MECS_data!AI14</f>
        <v>Petroleum and Coal Products</v>
      </c>
      <c r="D15" s="3">
        <f>[13]Expenditure_ratios!E247*0.001</f>
        <v>2688.8458637681815</v>
      </c>
      <c r="E15" s="14">
        <f>MECS_data!E71</f>
        <v>150</v>
      </c>
      <c r="F15" s="3">
        <f>[13]Final_quantities!CG15</f>
        <v>115.36295116400001</v>
      </c>
      <c r="G15" s="17">
        <f t="shared" si="0"/>
        <v>1.3002441293891653</v>
      </c>
      <c r="H15" s="17">
        <f t="shared" si="1"/>
        <v>1.0570993924597529</v>
      </c>
      <c r="I15" s="17">
        <f t="shared" si="2"/>
        <v>0.89002931476310398</v>
      </c>
      <c r="J15" s="17">
        <f t="shared" si="3"/>
        <v>1.0854155795186671</v>
      </c>
    </row>
    <row r="16" spans="2:10" x14ac:dyDescent="0.2">
      <c r="B16" t="str">
        <f>MECS_data!AH15</f>
        <v>325</v>
      </c>
      <c r="C16" t="str">
        <f>MECS_data!AI15</f>
        <v>Chemicals</v>
      </c>
      <c r="D16" s="3">
        <f>[13]Expenditure_ratios!E248*0.001</f>
        <v>6321.821943032166</v>
      </c>
      <c r="E16" s="14">
        <f>MECS_data!E72</f>
        <v>540</v>
      </c>
      <c r="F16" s="3">
        <f>[13]Final_quantities!CG16</f>
        <v>520.46306800000002</v>
      </c>
      <c r="G16" s="17">
        <f t="shared" si="0"/>
        <v>1.037537595270833</v>
      </c>
      <c r="H16" s="17">
        <f t="shared" si="1"/>
        <v>1.0890214203844863</v>
      </c>
      <c r="I16" s="17">
        <f t="shared" si="2"/>
        <v>1.0146228068820715</v>
      </c>
      <c r="J16" s="17">
        <f t="shared" si="3"/>
        <v>0.9797388746576503</v>
      </c>
    </row>
    <row r="17" spans="2:10" x14ac:dyDescent="0.2">
      <c r="B17" t="str">
        <f>MECS_data!AH16</f>
        <v>326</v>
      </c>
      <c r="C17" t="str">
        <f>MECS_data!AI16</f>
        <v>Plastics and Rubber Products</v>
      </c>
      <c r="D17" s="3">
        <f>[13]Expenditure_ratios!E249*0.001</f>
        <v>529</v>
      </c>
      <c r="E17" s="14">
        <f>MECS_data!E73</f>
        <v>182</v>
      </c>
      <c r="F17" s="3">
        <f>[13]Final_quantities!CG17</f>
        <v>171.04344057999998</v>
      </c>
      <c r="G17" s="17">
        <f t="shared" si="0"/>
        <v>1.0640571739135207</v>
      </c>
      <c r="H17" s="17">
        <f t="shared" si="1"/>
        <v>0.98645475310106945</v>
      </c>
      <c r="I17" s="17">
        <f t="shared" si="2"/>
        <v>0.82720180569711277</v>
      </c>
      <c r="J17" s="17">
        <f t="shared" si="3"/>
        <v>0.90876703699593497</v>
      </c>
    </row>
    <row r="18" spans="2:10" x14ac:dyDescent="0.2">
      <c r="B18" t="str">
        <f>MECS_data!AH17</f>
        <v>327</v>
      </c>
      <c r="C18" t="str">
        <f>MECS_data!AI17</f>
        <v>Nonmetallic Mineral Products</v>
      </c>
      <c r="D18" s="3">
        <f>[13]Expenditure_ratios!E250*0.001</f>
        <v>1980</v>
      </c>
      <c r="E18" s="14">
        <f>MECS_data!E74</f>
        <v>150</v>
      </c>
      <c r="F18" s="3">
        <f>[13]Final_quantities!CG18</f>
        <v>131.55392499999999</v>
      </c>
      <c r="G18" s="17">
        <f t="shared" si="0"/>
        <v>1.1402168350355188</v>
      </c>
      <c r="H18" s="17">
        <f t="shared" si="1"/>
        <v>1.0131564376257671</v>
      </c>
      <c r="I18" s="17">
        <f t="shared" si="2"/>
        <v>0.95121471205016006</v>
      </c>
      <c r="J18" s="17">
        <f t="shared" si="3"/>
        <v>0.92034312703545151</v>
      </c>
    </row>
    <row r="19" spans="2:10" x14ac:dyDescent="0.2">
      <c r="B19" t="str">
        <f>MECS_data!AH18</f>
        <v>331</v>
      </c>
      <c r="C19" t="str">
        <f>MECS_data!AI18</f>
        <v>Primary Metals</v>
      </c>
      <c r="D19" s="3">
        <f>[13]Expenditure_ratios!E251*0.001</f>
        <v>5876.2865463615553</v>
      </c>
      <c r="E19" s="14">
        <f>MECS_data!E75</f>
        <v>465</v>
      </c>
      <c r="F19" s="3">
        <f>[13]Final_quantities!CG19</f>
        <v>444.10567774799995</v>
      </c>
      <c r="G19" s="17">
        <f t="shared" si="0"/>
        <v>1.0470480862977307</v>
      </c>
      <c r="H19" s="17">
        <f t="shared" si="1"/>
        <v>1.1101664037995842</v>
      </c>
      <c r="I19" s="17">
        <f t="shared" si="2"/>
        <v>1.0480680125979032</v>
      </c>
      <c r="J19" s="17">
        <f t="shared" si="3"/>
        <v>1.021606870109196</v>
      </c>
    </row>
    <row r="20" spans="2:10" x14ac:dyDescent="0.2">
      <c r="B20" t="str">
        <f>MECS_data!AH19</f>
        <v>332</v>
      </c>
      <c r="C20" t="str">
        <f>MECS_data!AI19</f>
        <v>Fabricated Metal Products</v>
      </c>
      <c r="D20" s="3">
        <f>[13]Expenditure_ratios!E252*0.001</f>
        <v>920.81806828749836</v>
      </c>
      <c r="E20" s="14">
        <f>MECS_data!E76</f>
        <v>143</v>
      </c>
      <c r="F20" s="3">
        <f>[13]Final_quantities!CG20</f>
        <v>145.711790396</v>
      </c>
      <c r="G20" s="17">
        <f t="shared" si="0"/>
        <v>0.98138935505060931</v>
      </c>
      <c r="H20" s="17">
        <f t="shared" si="1"/>
        <v>1.1545359360354051</v>
      </c>
      <c r="I20" s="17">
        <f t="shared" si="2"/>
        <v>0.79801762860023229</v>
      </c>
      <c r="J20" s="17">
        <f t="shared" si="3"/>
        <v>0.94477930421347867</v>
      </c>
    </row>
    <row r="21" spans="2:10" x14ac:dyDescent="0.2">
      <c r="B21" t="str">
        <f>MECS_data!AH20</f>
        <v>333</v>
      </c>
      <c r="C21" t="str">
        <f>MECS_data!AI20</f>
        <v>Machinery</v>
      </c>
      <c r="D21" s="3">
        <f>[13]Expenditure_ratios!E253*0.001</f>
        <v>453.5008057077734</v>
      </c>
      <c r="E21" s="14">
        <f>MECS_data!E77</f>
        <v>111</v>
      </c>
      <c r="F21" s="3">
        <f>[13]Final_quantities!CG21</f>
        <v>92.773699392000012</v>
      </c>
      <c r="G21" s="17">
        <f t="shared" si="0"/>
        <v>1.1964597803843926</v>
      </c>
      <c r="H21" s="17">
        <f t="shared" si="1"/>
        <v>1.0173213614114538</v>
      </c>
      <c r="I21" s="17">
        <f t="shared" si="2"/>
        <v>1.0399488748601267</v>
      </c>
      <c r="J21" s="17">
        <f t="shared" si="3"/>
        <v>0.87320800567430401</v>
      </c>
    </row>
    <row r="22" spans="2:10" x14ac:dyDescent="0.2">
      <c r="B22" t="str">
        <f>MECS_data!AH21</f>
        <v>334</v>
      </c>
      <c r="C22" t="str">
        <f>MECS_data!AI21</f>
        <v>Computer and Electronic Products</v>
      </c>
      <c r="D22" s="3">
        <f>[13]Expenditure_ratios!E254*0.001</f>
        <v>249.50090040638983</v>
      </c>
      <c r="E22" s="14">
        <f>MECS_data!E78</f>
        <v>94</v>
      </c>
      <c r="F22" s="3">
        <f>[13]Final_quantities!CG22</f>
        <v>127.959284052</v>
      </c>
      <c r="G22" s="17">
        <f t="shared" si="0"/>
        <v>0.73460867412950159</v>
      </c>
      <c r="H22" s="17">
        <f t="shared" si="1"/>
        <v>1.1789261455208466</v>
      </c>
      <c r="I22" s="17">
        <f t="shared" si="2"/>
        <v>0.79929984223544193</v>
      </c>
      <c r="J22" s="17">
        <f t="shared" si="3"/>
        <v>1.0709434787790357</v>
      </c>
    </row>
    <row r="23" spans="2:10" x14ac:dyDescent="0.2">
      <c r="B23" t="str">
        <f>MECS_data!AH22</f>
        <v>335</v>
      </c>
      <c r="C23" t="str">
        <f>MECS_data!AI22</f>
        <v>Electrical Equip., Appliances, and Components</v>
      </c>
      <c r="D23" s="3">
        <f>[13]Expenditure_ratios!E255*0.001</f>
        <v>357.4729887134996</v>
      </c>
      <c r="E23" s="14">
        <f>MECS_data!E79</f>
        <v>44</v>
      </c>
      <c r="F23" s="3">
        <f>[13]Final_quantities!CG23</f>
        <v>55.019660080000001</v>
      </c>
      <c r="G23" s="17">
        <f t="shared" si="0"/>
        <v>0.79971413738330754</v>
      </c>
      <c r="H23" s="17">
        <f t="shared" si="1"/>
        <v>0.99924282481252269</v>
      </c>
      <c r="I23" s="17">
        <f t="shared" si="2"/>
        <v>0.85166137543958165</v>
      </c>
      <c r="J23" s="17">
        <f t="shared" si="3"/>
        <v>0.90194975280799783</v>
      </c>
    </row>
    <row r="24" spans="2:10" x14ac:dyDescent="0.2">
      <c r="B24" t="str">
        <f>MECS_data!AH23</f>
        <v>336</v>
      </c>
      <c r="C24" t="str">
        <f>MECS_data!AI23</f>
        <v>Transportation Equipment</v>
      </c>
      <c r="D24" s="3">
        <f>[13]Expenditure_ratios!E256*0.001</f>
        <v>940.21039995852334</v>
      </c>
      <c r="E24" s="14">
        <f>MECS_data!E80</f>
        <v>195</v>
      </c>
      <c r="F24" s="3">
        <f>[13]Final_quantities!CG24</f>
        <v>175.71835826</v>
      </c>
      <c r="G24" s="17">
        <f t="shared" si="0"/>
        <v>1.1097303772407781</v>
      </c>
      <c r="H24" s="17">
        <f t="shared" si="1"/>
        <v>0.95146996786092553</v>
      </c>
      <c r="I24" s="17">
        <f t="shared" si="2"/>
        <v>1.0264289055261722</v>
      </c>
      <c r="J24" s="17">
        <f t="shared" si="3"/>
        <v>0.75265352057348145</v>
      </c>
    </row>
    <row r="25" spans="2:10" x14ac:dyDescent="0.2">
      <c r="B25" t="str">
        <f>MECS_data!AH24</f>
        <v>337</v>
      </c>
      <c r="C25" t="str">
        <f>MECS_data!AI24</f>
        <v>Furniture and Related Products</v>
      </c>
      <c r="D25" s="3">
        <f>[13]Expenditure_ratios!E257*0.001</f>
        <v>144.68077071877099</v>
      </c>
      <c r="E25" s="14">
        <f>MECS_data!E81</f>
        <v>32</v>
      </c>
      <c r="F25" s="3">
        <f>[13]Final_quantities!CG25</f>
        <v>28.813957855999998</v>
      </c>
      <c r="G25" s="17">
        <f t="shared" si="0"/>
        <v>1.1105728744354557</v>
      </c>
      <c r="H25" s="17">
        <f t="shared" si="1"/>
        <v>0.88787788220657726</v>
      </c>
      <c r="I25" s="17">
        <f t="shared" si="2"/>
        <v>0.97550058116556759</v>
      </c>
      <c r="J25" s="17">
        <f t="shared" si="3"/>
        <v>0.8900268854086093</v>
      </c>
    </row>
    <row r="26" spans="2:10" x14ac:dyDescent="0.2">
      <c r="B26" t="str">
        <f>MECS_data!AH25</f>
        <v>339</v>
      </c>
      <c r="C26" t="str">
        <f>MECS_data!AI25</f>
        <v>Miscellaneous</v>
      </c>
      <c r="D26" s="3">
        <f>[13]Expenditure_ratios!E258*0.001</f>
        <v>195.30090040638981</v>
      </c>
      <c r="E26" s="14">
        <f>MECS_data!E82</f>
        <v>33</v>
      </c>
      <c r="F26" s="3">
        <f>[13]Final_quantities!CG26</f>
        <v>35.481852031999999</v>
      </c>
      <c r="G26" s="17">
        <f t="shared" si="0"/>
        <v>0.93005291748126073</v>
      </c>
      <c r="H26" s="17">
        <f t="shared" si="1"/>
        <v>0.99230970378968675</v>
      </c>
      <c r="I26" s="17">
        <f t="shared" si="2"/>
        <v>0.7525496302111776</v>
      </c>
      <c r="J26" s="17">
        <f t="shared" si="3"/>
        <v>0.72316008138051491</v>
      </c>
    </row>
    <row r="27" spans="2:10" x14ac:dyDescent="0.2">
      <c r="E27">
        <f>MECS_data!E83</f>
        <v>2914</v>
      </c>
    </row>
    <row r="30" spans="2:10" x14ac:dyDescent="0.2">
      <c r="D30" t="s">
        <v>90</v>
      </c>
      <c r="E30" t="s">
        <v>89</v>
      </c>
    </row>
    <row r="31" spans="2:10" x14ac:dyDescent="0.2">
      <c r="B31">
        <v>2002</v>
      </c>
      <c r="D31" t="s">
        <v>323</v>
      </c>
      <c r="E31" t="s">
        <v>320</v>
      </c>
      <c r="F31" t="s">
        <v>88</v>
      </c>
      <c r="G31" t="s">
        <v>92</v>
      </c>
    </row>
    <row r="32" spans="2:10" x14ac:dyDescent="0.2">
      <c r="B32" t="str">
        <f>MECS_data!AH32</f>
        <v>311</v>
      </c>
      <c r="C32" t="str">
        <f>MECS_data!AI32</f>
        <v>Food</v>
      </c>
      <c r="D32" s="3">
        <f>[13]Expenditure_ratios!E322*0.001</f>
        <v>3244</v>
      </c>
      <c r="E32" s="14">
        <f>MECS_data!E32</f>
        <v>233</v>
      </c>
      <c r="F32" s="3">
        <f>[13]Final_quantities!CK6</f>
        <v>229.66458949199998</v>
      </c>
      <c r="G32" s="17">
        <f>E32/F32</f>
        <v>1.0145229637506492</v>
      </c>
    </row>
    <row r="33" spans="2:7" x14ac:dyDescent="0.2">
      <c r="B33" t="str">
        <f>MECS_data!AH33</f>
        <v>312</v>
      </c>
      <c r="C33" t="str">
        <f>MECS_data!AI33</f>
        <v>Beverage and Tobacco Products</v>
      </c>
      <c r="D33" s="3">
        <f>[13]Expenditure_ratios!E323*0.001</f>
        <v>301</v>
      </c>
      <c r="E33" s="14">
        <f>MECS_data!E33</f>
        <v>27</v>
      </c>
      <c r="F33" s="3">
        <f>[13]Final_quantities!CK7</f>
        <v>28.11203098</v>
      </c>
      <c r="G33" s="17">
        <f t="shared" ref="G33:G52" si="4">E33/F33</f>
        <v>0.96044288010385503</v>
      </c>
    </row>
    <row r="34" spans="2:7" x14ac:dyDescent="0.2">
      <c r="B34" t="str">
        <f>MECS_data!AH34</f>
        <v>313</v>
      </c>
      <c r="C34" t="str">
        <f>MECS_data!AI34</f>
        <v>Textile Mills</v>
      </c>
      <c r="D34" s="3">
        <f>[13]Expenditure_ratios!E324*0.001</f>
        <v>506.15192083818397</v>
      </c>
      <c r="E34" s="14">
        <f>MECS_data!E34</f>
        <v>87</v>
      </c>
      <c r="F34" s="3">
        <f>[13]Final_quantities!CK8</f>
        <v>80.500967407999994</v>
      </c>
      <c r="G34" s="17">
        <f t="shared" si="4"/>
        <v>1.0807323539239126</v>
      </c>
    </row>
    <row r="35" spans="2:7" x14ac:dyDescent="0.2">
      <c r="B35" t="str">
        <f>MECS_data!AH35</f>
        <v>314</v>
      </c>
      <c r="C35" t="str">
        <f>MECS_data!AI35</f>
        <v>Textile Product Mills</v>
      </c>
      <c r="D35" s="3">
        <f>[13]Expenditure_ratios!E325*0.001</f>
        <v>161.19909474745018</v>
      </c>
      <c r="E35" s="14">
        <f>MECS_data!E35</f>
        <v>17</v>
      </c>
      <c r="F35" s="3">
        <f>[13]Final_quantities!CK9</f>
        <v>16.513728564000001</v>
      </c>
      <c r="G35" s="17">
        <f t="shared" si="4"/>
        <v>1.0294464956303129</v>
      </c>
    </row>
    <row r="36" spans="2:7" x14ac:dyDescent="0.2">
      <c r="B36" t="str">
        <f>MECS_data!AH36</f>
        <v>315</v>
      </c>
      <c r="C36" t="str">
        <f>MECS_data!AI36</f>
        <v>Apparel</v>
      </c>
      <c r="D36" s="3">
        <f>[13]Expenditure_ratios!E326*0.001</f>
        <v>97.991735537190095</v>
      </c>
      <c r="E36" s="14">
        <f>MECS_data!E36</f>
        <v>12</v>
      </c>
      <c r="F36" s="3">
        <f>[13]Final_quantities!CK10</f>
        <v>11.203496483999999</v>
      </c>
      <c r="G36" s="17">
        <f t="shared" si="4"/>
        <v>1.0710941907410341</v>
      </c>
    </row>
    <row r="37" spans="2:7" x14ac:dyDescent="0.2">
      <c r="B37" t="str">
        <f>MECS_data!AH37</f>
        <v>316</v>
      </c>
      <c r="C37" t="str">
        <f>MECS_data!AI37</f>
        <v>Leather and Allied Products</v>
      </c>
      <c r="D37" s="3">
        <f>[13]Expenditure_ratios!E327*0.001</f>
        <v>23.39669421487605</v>
      </c>
      <c r="E37" s="14">
        <f>MECS_data!E37</f>
        <v>2</v>
      </c>
      <c r="F37" s="3">
        <f>[13]Final_quantities!CK11</f>
        <v>1.948296356</v>
      </c>
      <c r="G37" s="17">
        <f t="shared" si="4"/>
        <v>1.0265378744053864</v>
      </c>
    </row>
    <row r="38" spans="2:7" x14ac:dyDescent="0.2">
      <c r="B38" t="str">
        <f>MECS_data!AH38</f>
        <v>321</v>
      </c>
      <c r="C38" t="str">
        <f>MECS_data!AI38</f>
        <v>Wood Products</v>
      </c>
      <c r="D38" s="3">
        <f>[13]Expenditure_ratios!E328*0.001</f>
        <v>944.76165447500557</v>
      </c>
      <c r="E38" s="14">
        <f>MECS_data!E38</f>
        <v>74</v>
      </c>
      <c r="F38" s="3">
        <f>[13]Final_quantities!CK12</f>
        <v>74.759141212000003</v>
      </c>
      <c r="G38" s="17">
        <f t="shared" si="4"/>
        <v>0.98984550652010228</v>
      </c>
    </row>
    <row r="39" spans="2:7" x14ac:dyDescent="0.2">
      <c r="B39" t="str">
        <f>MECS_data!AH39</f>
        <v>322</v>
      </c>
      <c r="C39" t="str">
        <f>MECS_data!AI39</f>
        <v>Paper</v>
      </c>
      <c r="D39" s="3">
        <f>[13]Expenditure_ratios!E329*0.001</f>
        <v>4180</v>
      </c>
      <c r="E39" s="14">
        <f>MECS_data!E39</f>
        <v>245</v>
      </c>
      <c r="F39" s="3">
        <f>[13]Final_quantities!CK13</f>
        <v>243.73968318000001</v>
      </c>
      <c r="G39" s="17">
        <f t="shared" si="4"/>
        <v>1.0051707493977058</v>
      </c>
    </row>
    <row r="40" spans="2:7" x14ac:dyDescent="0.2">
      <c r="B40" t="str">
        <f>MECS_data!AH40</f>
        <v>323</v>
      </c>
      <c r="C40" t="str">
        <f>MECS_data!AI40</f>
        <v>Printing and Related Support</v>
      </c>
      <c r="D40" s="3">
        <f>[13]Expenditure_ratios!E330*0.001</f>
        <v>243.78944122363393</v>
      </c>
      <c r="E40" s="14">
        <f>MECS_data!E40</f>
        <v>50</v>
      </c>
      <c r="F40" s="3">
        <f>[13]Final_quantities!CK14</f>
        <v>50.270889659999995</v>
      </c>
      <c r="G40" s="17">
        <f t="shared" si="4"/>
        <v>0.99461140111440005</v>
      </c>
    </row>
    <row r="41" spans="2:7" x14ac:dyDescent="0.2">
      <c r="B41" t="str">
        <f>MECS_data!AH41</f>
        <v>324</v>
      </c>
      <c r="C41" t="str">
        <f>MECS_data!AI41</f>
        <v>Petroleum and Coal Products</v>
      </c>
      <c r="D41" s="3">
        <f>[13]Expenditure_ratios!E331*0.001</f>
        <v>3581.5003859391604</v>
      </c>
      <c r="E41" s="14">
        <f>MECS_data!E41</f>
        <v>141</v>
      </c>
      <c r="F41" s="3">
        <f>[13]Final_quantities!CK15</f>
        <v>133.38386248799998</v>
      </c>
      <c r="G41" s="17">
        <f t="shared" si="4"/>
        <v>1.0570993924597529</v>
      </c>
    </row>
    <row r="42" spans="2:7" x14ac:dyDescent="0.2">
      <c r="B42" t="str">
        <f>MECS_data!AH42</f>
        <v>325</v>
      </c>
      <c r="C42" t="str">
        <f>MECS_data!AI42</f>
        <v>Chemicals</v>
      </c>
      <c r="D42" s="3">
        <f>[13]Expenditure_ratios!E332*0.001</f>
        <v>7933.5483044180683</v>
      </c>
      <c r="E42" s="14">
        <f>MECS_data!E42</f>
        <v>551</v>
      </c>
      <c r="F42" s="3">
        <f>[13]Final_quantities!CK16</f>
        <v>505.95882659999995</v>
      </c>
      <c r="G42" s="17">
        <f t="shared" si="4"/>
        <v>1.0890214203844863</v>
      </c>
    </row>
    <row r="43" spans="2:7" x14ac:dyDescent="0.2">
      <c r="B43" t="str">
        <f>MECS_data!AH43</f>
        <v>326</v>
      </c>
      <c r="C43" t="str">
        <f>MECS_data!AI43</f>
        <v>Plastics and Rubber Products</v>
      </c>
      <c r="D43" s="3">
        <f>[13]Expenditure_ratios!E333*0.001</f>
        <v>772.13038416763675</v>
      </c>
      <c r="E43" s="14">
        <f>MECS_data!E43</f>
        <v>182</v>
      </c>
      <c r="F43" s="3">
        <f>[13]Final_quantities!CK17</f>
        <v>184.49908566799999</v>
      </c>
      <c r="G43" s="17">
        <f t="shared" si="4"/>
        <v>0.98645475310106945</v>
      </c>
    </row>
    <row r="44" spans="2:7" x14ac:dyDescent="0.2">
      <c r="B44" t="str">
        <f>MECS_data!AH44</f>
        <v>327</v>
      </c>
      <c r="C44" t="str">
        <f>MECS_data!AI44</f>
        <v>Nonmetallic Mineral Products</v>
      </c>
      <c r="D44" s="3">
        <f>[13]Expenditure_ratios!E334*0.001</f>
        <v>2822</v>
      </c>
      <c r="E44" s="14">
        <f>MECS_data!E44</f>
        <v>141</v>
      </c>
      <c r="F44" s="3">
        <f>[13]Final_quantities!CK18</f>
        <v>139.16903131999999</v>
      </c>
      <c r="G44" s="17">
        <f t="shared" si="4"/>
        <v>1.0131564376257671</v>
      </c>
    </row>
    <row r="45" spans="2:7" x14ac:dyDescent="0.2">
      <c r="B45" t="str">
        <f>MECS_data!AH45</f>
        <v>331</v>
      </c>
      <c r="C45" t="str">
        <f>MECS_data!AI45</f>
        <v>Primary Metals</v>
      </c>
      <c r="D45" s="3">
        <f>[13]Expenditure_ratios!E335*0.001</f>
        <v>5482.6127748406825</v>
      </c>
      <c r="E45" s="14">
        <f>MECS_data!E45</f>
        <v>500</v>
      </c>
      <c r="F45" s="3">
        <f>[13]Final_quantities!CK19</f>
        <v>450.38293204399997</v>
      </c>
      <c r="G45" s="17">
        <f t="shared" si="4"/>
        <v>1.1101664037995842</v>
      </c>
    </row>
    <row r="46" spans="2:7" x14ac:dyDescent="0.2">
      <c r="B46" t="str">
        <f>MECS_data!AH46</f>
        <v>332</v>
      </c>
      <c r="C46" t="str">
        <f>MECS_data!AI46</f>
        <v>Fabricated Metal Products</v>
      </c>
      <c r="D46" s="3">
        <f>[13]Expenditure_ratios!E336*0.001</f>
        <v>1191.7437810945273</v>
      </c>
      <c r="E46" s="14">
        <f>MECS_data!E46</f>
        <v>161</v>
      </c>
      <c r="F46" s="3">
        <f>[13]Final_quantities!CK20</f>
        <v>139.449968576</v>
      </c>
      <c r="G46" s="17">
        <f t="shared" si="4"/>
        <v>1.1545359360354051</v>
      </c>
    </row>
    <row r="47" spans="2:7" x14ac:dyDescent="0.2">
      <c r="B47" t="str">
        <f>MECS_data!AH47</f>
        <v>333</v>
      </c>
      <c r="C47" t="str">
        <f>MECS_data!AI47</f>
        <v>Machinery</v>
      </c>
      <c r="D47" s="3">
        <f>[13]Expenditure_ratios!E337*0.001</f>
        <v>522.3432835820895</v>
      </c>
      <c r="E47" s="14">
        <f>MECS_data!E47</f>
        <v>84</v>
      </c>
      <c r="F47" s="3">
        <f>[13]Final_quantities!CK21</f>
        <v>82.569779015999998</v>
      </c>
      <c r="G47" s="17">
        <f t="shared" si="4"/>
        <v>1.0173213614114538</v>
      </c>
    </row>
    <row r="48" spans="2:7" x14ac:dyDescent="0.2">
      <c r="B48" t="str">
        <f>MECS_data!AH48</f>
        <v>334</v>
      </c>
      <c r="C48" t="str">
        <f>MECS_data!AI48</f>
        <v>Computer and Electronic Products</v>
      </c>
      <c r="D48" s="3">
        <f>[13]Expenditure_ratios!E338*0.001</f>
        <v>378.21501746216535</v>
      </c>
      <c r="E48" s="14">
        <f>MECS_data!E48</f>
        <v>131</v>
      </c>
      <c r="F48" s="3">
        <f>[13]Final_quantities!CK22</f>
        <v>111.118071728</v>
      </c>
      <c r="G48" s="17">
        <f t="shared" si="4"/>
        <v>1.1789261455208466</v>
      </c>
    </row>
    <row r="49" spans="2:7" x14ac:dyDescent="0.2">
      <c r="B49" t="str">
        <f>MECS_data!AH49</f>
        <v>335</v>
      </c>
      <c r="C49" t="str">
        <f>MECS_data!AI49</f>
        <v>Electrical Equip., Appliances, and Components</v>
      </c>
      <c r="D49" s="3">
        <f>[13]Expenditure_ratios!E339*0.001</f>
        <v>417.84297520661158</v>
      </c>
      <c r="E49" s="14">
        <f>MECS_data!E49</f>
        <v>47</v>
      </c>
      <c r="F49" s="3">
        <f>[13]Final_quantities!CK23</f>
        <v>47.035614199999998</v>
      </c>
      <c r="G49" s="17">
        <f t="shared" si="4"/>
        <v>0.99924282481252269</v>
      </c>
    </row>
    <row r="50" spans="2:7" x14ac:dyDescent="0.2">
      <c r="B50" t="str">
        <f>MECS_data!AH50</f>
        <v>336</v>
      </c>
      <c r="C50" t="str">
        <f>MECS_data!AI50</f>
        <v>Transportation Equipment</v>
      </c>
      <c r="D50" s="3">
        <f>[13]Expenditure_ratios!E340*0.001</f>
        <v>1088.6666666666667</v>
      </c>
      <c r="E50" s="14">
        <f>MECS_data!E50</f>
        <v>173</v>
      </c>
      <c r="F50" s="3">
        <f>[13]Final_quantities!CK24</f>
        <v>181.823920716</v>
      </c>
      <c r="G50" s="17">
        <f t="shared" si="4"/>
        <v>0.95146996786092553</v>
      </c>
    </row>
    <row r="51" spans="2:7" x14ac:dyDescent="0.2">
      <c r="B51" t="str">
        <f>MECS_data!AH51</f>
        <v>337</v>
      </c>
      <c r="C51" t="str">
        <f>MECS_data!AI51</f>
        <v>Furniture and Related Products</v>
      </c>
      <c r="D51" s="3">
        <f>[13]Expenditure_ratios!E341*0.001</f>
        <v>176.60549525101766</v>
      </c>
      <c r="E51" s="14">
        <f>MECS_data!E51</f>
        <v>24</v>
      </c>
      <c r="F51" s="3">
        <f>[13]Final_quantities!CK25</f>
        <v>27.030744296000002</v>
      </c>
      <c r="G51" s="17">
        <f t="shared" si="4"/>
        <v>0.88787788220657726</v>
      </c>
    </row>
    <row r="52" spans="2:7" x14ac:dyDescent="0.2">
      <c r="B52" t="str">
        <f>MECS_data!AH52</f>
        <v>339</v>
      </c>
      <c r="C52" t="str">
        <f>MECS_data!AI52</f>
        <v>Miscellaneous</v>
      </c>
      <c r="D52" s="3">
        <f>[13]Expenditure_ratios!E342*0.001</f>
        <v>184.06022573084994</v>
      </c>
      <c r="E52" s="14">
        <f>MECS_data!E52</f>
        <v>35</v>
      </c>
      <c r="F52" s="3">
        <f>[13]Final_quantities!CK26</f>
        <v>35.271246332000004</v>
      </c>
      <c r="G52" s="17">
        <f t="shared" si="4"/>
        <v>0.99230970378968675</v>
      </c>
    </row>
    <row r="53" spans="2:7" x14ac:dyDescent="0.2">
      <c r="E53">
        <f>MECS_data!E53</f>
        <v>2917</v>
      </c>
    </row>
    <row r="55" spans="2:7" ht="15.75" x14ac:dyDescent="0.25">
      <c r="B55" s="19">
        <v>2006</v>
      </c>
    </row>
    <row r="56" spans="2:7" x14ac:dyDescent="0.2">
      <c r="D56" t="s">
        <v>90</v>
      </c>
      <c r="E56" t="s">
        <v>89</v>
      </c>
    </row>
    <row r="57" spans="2:7" x14ac:dyDescent="0.2">
      <c r="D57" t="s">
        <v>324</v>
      </c>
      <c r="E57" t="s">
        <v>100</v>
      </c>
      <c r="F57" t="s">
        <v>88</v>
      </c>
      <c r="G57" t="s">
        <v>92</v>
      </c>
    </row>
    <row r="58" spans="2:7" x14ac:dyDescent="0.2">
      <c r="B58" t="s">
        <v>10</v>
      </c>
      <c r="C58" t="s">
        <v>11</v>
      </c>
      <c r="D58" s="16">
        <f>[13]Expenditure_ratios!E406*0.001</f>
        <v>5671</v>
      </c>
      <c r="E58" s="16">
        <f>MECS_data!E62</f>
        <v>251</v>
      </c>
      <c r="F58" s="16">
        <f>[13]Final_quantities!CO6</f>
        <v>267.91995055199999</v>
      </c>
      <c r="G58" s="17">
        <f>E58/F58</f>
        <v>0.93684699285312822</v>
      </c>
    </row>
    <row r="59" spans="2:7" x14ac:dyDescent="0.2">
      <c r="B59" t="s">
        <v>12</v>
      </c>
      <c r="C59" t="s">
        <v>13</v>
      </c>
      <c r="D59" s="16">
        <f>[13]Expenditure_ratios!E407*0.001</f>
        <v>542.20481927710841</v>
      </c>
      <c r="E59" s="16">
        <f>MECS_data!E63</f>
        <v>30</v>
      </c>
      <c r="F59" s="16">
        <f>[13]Final_quantities!CO7</f>
        <v>33.712532136</v>
      </c>
      <c r="G59" s="17">
        <f t="shared" ref="G59:G78" si="5">E59/F59</f>
        <v>0.8898767935608265</v>
      </c>
    </row>
    <row r="60" spans="2:7" x14ac:dyDescent="0.2">
      <c r="B60" t="s">
        <v>14</v>
      </c>
      <c r="C60" t="s">
        <v>15</v>
      </c>
      <c r="D60" s="16">
        <f>[13]Expenditure_ratios!E408*0.001</f>
        <v>787</v>
      </c>
      <c r="E60" s="16">
        <f>MECS_data!E64</f>
        <v>66</v>
      </c>
      <c r="F60" s="16">
        <f>[13]Final_quantities!CO8</f>
        <v>63.211298864</v>
      </c>
      <c r="G60" s="17">
        <f t="shared" si="5"/>
        <v>1.0441171307363883</v>
      </c>
    </row>
    <row r="61" spans="2:7" x14ac:dyDescent="0.2">
      <c r="B61" t="s">
        <v>16</v>
      </c>
      <c r="C61" t="s">
        <v>17</v>
      </c>
      <c r="D61" s="16">
        <f>[13]Expenditure_ratios!E409*0.001</f>
        <v>470.46987951807233</v>
      </c>
      <c r="E61" s="16">
        <f>MECS_data!E65</f>
        <v>20</v>
      </c>
      <c r="F61" s="16">
        <f>[13]Final_quantities!CO9</f>
        <v>16.025669260000001</v>
      </c>
      <c r="G61" s="17">
        <f t="shared" si="5"/>
        <v>1.2479978012475217</v>
      </c>
    </row>
    <row r="62" spans="2:7" x14ac:dyDescent="0.2">
      <c r="B62" t="s">
        <v>18</v>
      </c>
      <c r="C62" t="s">
        <v>19</v>
      </c>
      <c r="D62" s="16">
        <f>[13]Expenditure_ratios!E410*0.001</f>
        <v>71.046987951807239</v>
      </c>
      <c r="E62" s="16">
        <f>MECS_data!E66</f>
        <v>7</v>
      </c>
      <c r="F62" s="16">
        <f>[13]Final_quantities!CO10</f>
        <v>10.717938175999999</v>
      </c>
      <c r="G62" s="17">
        <f t="shared" si="5"/>
        <v>0.65311069023281521</v>
      </c>
    </row>
    <row r="63" spans="2:7" x14ac:dyDescent="0.2">
      <c r="B63" t="s">
        <v>20</v>
      </c>
      <c r="C63" t="s">
        <v>21</v>
      </c>
      <c r="D63" s="16">
        <f>[13]Expenditure_ratios!E411*0.001</f>
        <v>17.500000000000018</v>
      </c>
      <c r="E63" s="16">
        <f>MECS_data!E67</f>
        <v>1</v>
      </c>
      <c r="F63" s="16">
        <f>[13]Final_quantities!CO11</f>
        <v>2.347019264</v>
      </c>
      <c r="G63" s="17">
        <f t="shared" si="5"/>
        <v>0.42607234432993557</v>
      </c>
    </row>
    <row r="64" spans="2:7" x14ac:dyDescent="0.2">
      <c r="B64" t="s">
        <v>22</v>
      </c>
      <c r="C64" t="s">
        <v>23</v>
      </c>
      <c r="D64" s="16">
        <f>[13]Expenditure_ratios!E412*0.001</f>
        <v>1175</v>
      </c>
      <c r="E64" s="16">
        <f>MECS_data!E68</f>
        <v>94</v>
      </c>
      <c r="F64" s="16">
        <f>[13]Final_quantities!CO12</f>
        <v>96.462862975999997</v>
      </c>
      <c r="G64" s="17">
        <f t="shared" si="5"/>
        <v>0.97446827825737703</v>
      </c>
    </row>
    <row r="65" spans="2:7" x14ac:dyDescent="0.2">
      <c r="B65" t="s">
        <v>24</v>
      </c>
      <c r="C65" t="s">
        <v>25</v>
      </c>
      <c r="D65" s="16">
        <f>[13]Expenditure_ratios!E413*0.001</f>
        <v>6344</v>
      </c>
      <c r="E65" s="16">
        <f>MECS_data!E69</f>
        <v>262</v>
      </c>
      <c r="F65" s="16">
        <f>[13]Final_quantities!CO13</f>
        <v>245.509183912</v>
      </c>
      <c r="G65" s="17">
        <f t="shared" si="5"/>
        <v>1.0671698541994703</v>
      </c>
    </row>
    <row r="66" spans="2:7" x14ac:dyDescent="0.2">
      <c r="B66" t="s">
        <v>26</v>
      </c>
      <c r="C66" t="s">
        <v>27</v>
      </c>
      <c r="D66" s="16">
        <f>[13]Expenditure_ratios!E414*0.001</f>
        <v>341</v>
      </c>
      <c r="E66" s="16">
        <f>MECS_data!E70</f>
        <v>45</v>
      </c>
      <c r="F66" s="16">
        <f>[13]Final_quantities!CO14</f>
        <v>60.357440648000001</v>
      </c>
      <c r="G66" s="17">
        <f t="shared" si="5"/>
        <v>0.74555845173152013</v>
      </c>
    </row>
    <row r="67" spans="2:7" x14ac:dyDescent="0.2">
      <c r="B67" t="s">
        <v>28</v>
      </c>
      <c r="C67" t="s">
        <v>29</v>
      </c>
      <c r="D67" s="16">
        <f>[13]Expenditure_ratios!E415*0.001</f>
        <v>8466</v>
      </c>
      <c r="E67" s="16">
        <f>MECS_data!E71</f>
        <v>150</v>
      </c>
      <c r="F67" s="16">
        <f>[13]Final_quantities!CO15</f>
        <v>168.53377468799999</v>
      </c>
      <c r="G67" s="17">
        <f t="shared" si="5"/>
        <v>0.89002931476310398</v>
      </c>
    </row>
    <row r="68" spans="2:7" x14ac:dyDescent="0.2">
      <c r="B68" t="s">
        <v>30</v>
      </c>
      <c r="C68" t="s">
        <v>31</v>
      </c>
      <c r="D68" s="16">
        <f>[13]Expenditure_ratios!E416*0.001</f>
        <v>39618</v>
      </c>
      <c r="E68" s="16">
        <f>MECS_data!E72</f>
        <v>540</v>
      </c>
      <c r="F68" s="16">
        <f>[13]Final_quantities!CO16</f>
        <v>532.21748647599998</v>
      </c>
      <c r="G68" s="17">
        <f t="shared" si="5"/>
        <v>1.0146228068820715</v>
      </c>
    </row>
    <row r="69" spans="2:7" x14ac:dyDescent="0.2">
      <c r="B69" t="s">
        <v>32</v>
      </c>
      <c r="C69" t="s">
        <v>33</v>
      </c>
      <c r="D69" s="16">
        <f>[13]Expenditure_ratios!E417*0.001</f>
        <v>1374.9</v>
      </c>
      <c r="E69" s="16">
        <f>MECS_data!E73</f>
        <v>182</v>
      </c>
      <c r="F69" s="16">
        <f>[13]Final_quantities!CO17</f>
        <v>220.01886207999999</v>
      </c>
      <c r="G69" s="17">
        <f t="shared" si="5"/>
        <v>0.82720180569711277</v>
      </c>
    </row>
    <row r="70" spans="2:7" x14ac:dyDescent="0.2">
      <c r="B70" t="s">
        <v>34</v>
      </c>
      <c r="C70" t="s">
        <v>35</v>
      </c>
      <c r="D70" s="16">
        <f>[13]Expenditure_ratios!E418*0.001</f>
        <v>5509</v>
      </c>
      <c r="E70" s="16">
        <f>MECS_data!E74</f>
        <v>150</v>
      </c>
      <c r="F70" s="16">
        <f>[13]Final_quantities!CO18</f>
        <v>157.69310346</v>
      </c>
      <c r="G70" s="17">
        <f t="shared" si="5"/>
        <v>0.95121471205016006</v>
      </c>
    </row>
    <row r="71" spans="2:7" x14ac:dyDescent="0.2">
      <c r="B71" t="s">
        <v>36</v>
      </c>
      <c r="C71" t="s">
        <v>37</v>
      </c>
      <c r="D71" s="16">
        <f>[13]Expenditure_ratios!E419*0.001</f>
        <v>8113.7260000000006</v>
      </c>
      <c r="E71" s="16">
        <f>MECS_data!E75</f>
        <v>465</v>
      </c>
      <c r="F71" s="16">
        <f>[13]Final_quantities!CO19</f>
        <v>443.67349676800001</v>
      </c>
      <c r="G71" s="17">
        <f t="shared" si="5"/>
        <v>1.0480680125979032</v>
      </c>
    </row>
    <row r="72" spans="2:7" x14ac:dyDescent="0.2">
      <c r="B72" t="s">
        <v>38</v>
      </c>
      <c r="C72" t="s">
        <v>39</v>
      </c>
      <c r="D72" s="16">
        <f>[13]Expenditure_ratios!E420*0.001</f>
        <v>2335.3000000000002</v>
      </c>
      <c r="E72" s="16">
        <f>MECS_data!E76</f>
        <v>143</v>
      </c>
      <c r="F72" s="16">
        <f>[13]Final_quantities!CO20</f>
        <v>179.19403641600002</v>
      </c>
      <c r="G72" s="17">
        <f t="shared" si="5"/>
        <v>0.79801762860023229</v>
      </c>
    </row>
    <row r="73" spans="2:7" x14ac:dyDescent="0.2">
      <c r="B73" t="s">
        <v>40</v>
      </c>
      <c r="C73" t="s">
        <v>41</v>
      </c>
      <c r="D73" s="16">
        <f>[13]Expenditure_ratios!E421*0.001</f>
        <v>1134.734939759036</v>
      </c>
      <c r="E73" s="16">
        <f>MECS_data!E77</f>
        <v>111</v>
      </c>
      <c r="F73" s="16">
        <f>[13]Final_quantities!CO21</f>
        <v>106.736016244</v>
      </c>
      <c r="G73" s="17">
        <f t="shared" si="5"/>
        <v>1.0399488748601267</v>
      </c>
    </row>
    <row r="74" spans="2:7" x14ac:dyDescent="0.2">
      <c r="B74" t="s">
        <v>42</v>
      </c>
      <c r="C74" t="s">
        <v>43</v>
      </c>
      <c r="D74" s="16">
        <f>[13]Expenditure_ratios!E422*0.001</f>
        <v>450.3</v>
      </c>
      <c r="E74" s="16">
        <f>MECS_data!E78</f>
        <v>94</v>
      </c>
      <c r="F74" s="16">
        <f>[13]Final_quantities!CO22</f>
        <v>117.602925752</v>
      </c>
      <c r="G74" s="17">
        <f t="shared" si="5"/>
        <v>0.79929984223544193</v>
      </c>
    </row>
    <row r="75" spans="2:7" x14ac:dyDescent="0.2">
      <c r="B75" t="s">
        <v>44</v>
      </c>
      <c r="C75" t="s">
        <v>45</v>
      </c>
      <c r="D75" s="16">
        <f>[13]Expenditure_ratios!E423*0.001</f>
        <v>515</v>
      </c>
      <c r="E75" s="16">
        <f>MECS_data!E79</f>
        <v>44</v>
      </c>
      <c r="F75" s="16">
        <f>[13]Final_quantities!CO23</f>
        <v>51.663726063999995</v>
      </c>
      <c r="G75" s="17">
        <f t="shared" si="5"/>
        <v>0.85166137543958165</v>
      </c>
    </row>
    <row r="76" spans="2:7" x14ac:dyDescent="0.2">
      <c r="B76" t="s">
        <v>46</v>
      </c>
      <c r="C76" t="s">
        <v>47</v>
      </c>
      <c r="D76" s="16">
        <f>[13]Expenditure_ratios!E424*0.001</f>
        <v>2040</v>
      </c>
      <c r="E76" s="16">
        <f>MECS_data!E80</f>
        <v>195</v>
      </c>
      <c r="F76" s="16">
        <f>[13]Final_quantities!CO24</f>
        <v>189.979061336</v>
      </c>
      <c r="G76" s="17">
        <f t="shared" si="5"/>
        <v>1.0264289055261722</v>
      </c>
    </row>
    <row r="77" spans="2:7" x14ac:dyDescent="0.2">
      <c r="B77" t="s">
        <v>48</v>
      </c>
      <c r="C77" t="s">
        <v>49</v>
      </c>
      <c r="D77" s="16">
        <f>[13]Expenditure_ratios!E425*0.001</f>
        <v>198.00700000000001</v>
      </c>
      <c r="E77" s="16">
        <f>MECS_data!E81</f>
        <v>32</v>
      </c>
      <c r="F77" s="16">
        <f>[13]Final_quantities!CO25</f>
        <v>32.803670871999998</v>
      </c>
      <c r="G77" s="17">
        <f t="shared" si="5"/>
        <v>0.97550058116556759</v>
      </c>
    </row>
    <row r="78" spans="2:7" x14ac:dyDescent="0.2">
      <c r="B78" t="s">
        <v>50</v>
      </c>
      <c r="C78" t="s">
        <v>51</v>
      </c>
      <c r="D78" s="16">
        <f>[13]Expenditure_ratios!E426*0.001</f>
        <v>309.3</v>
      </c>
      <c r="E78" s="16">
        <f>MECS_data!E82</f>
        <v>33</v>
      </c>
      <c r="F78" s="16">
        <f>[13]Final_quantities!CO26</f>
        <v>43.850928463999999</v>
      </c>
      <c r="G78" s="17">
        <f t="shared" si="5"/>
        <v>0.7525496302111776</v>
      </c>
    </row>
    <row r="79" spans="2:7" x14ac:dyDescent="0.2">
      <c r="E79">
        <f>MECS_data!E83</f>
        <v>2914</v>
      </c>
    </row>
    <row r="81" spans="2:9" ht="15.75" x14ac:dyDescent="0.25">
      <c r="B81" s="19">
        <v>2010</v>
      </c>
    </row>
    <row r="82" spans="2:9" x14ac:dyDescent="0.2">
      <c r="D82" t="s">
        <v>90</v>
      </c>
      <c r="E82" t="s">
        <v>89</v>
      </c>
    </row>
    <row r="83" spans="2:9" x14ac:dyDescent="0.2">
      <c r="D83" t="s">
        <v>323</v>
      </c>
      <c r="E83" t="s">
        <v>321</v>
      </c>
      <c r="F83" t="s">
        <v>88</v>
      </c>
      <c r="G83" t="s">
        <v>92</v>
      </c>
    </row>
    <row r="84" spans="2:9" x14ac:dyDescent="0.2">
      <c r="B84" t="s">
        <v>10</v>
      </c>
      <c r="C84" t="s">
        <v>11</v>
      </c>
      <c r="D84" s="16">
        <f>[13]Expenditure_ratios!E490</f>
        <v>4783</v>
      </c>
      <c r="E84" s="16">
        <f>MECS_data!E90</f>
        <v>258</v>
      </c>
      <c r="F84" s="16">
        <f>[13]Final_quantities!CS6</f>
        <v>289.315514124</v>
      </c>
      <c r="G84" s="17">
        <f>E84/F84</f>
        <v>0.89175999006199769</v>
      </c>
      <c r="I84">
        <f>G84/G58</f>
        <v>0.9518736750663841</v>
      </c>
    </row>
    <row r="85" spans="2:9" x14ac:dyDescent="0.2">
      <c r="B85" t="s">
        <v>12</v>
      </c>
      <c r="C85" t="s">
        <v>13</v>
      </c>
      <c r="D85" s="16">
        <f>[13]Expenditure_ratios!E491</f>
        <v>378</v>
      </c>
      <c r="E85" s="16">
        <f>MECS_data!E91</f>
        <v>29</v>
      </c>
      <c r="F85" s="16">
        <f>[13]Final_quantities!CS7</f>
        <v>31.953509655999998</v>
      </c>
      <c r="G85" s="17">
        <f t="shared" ref="G85:G104" si="6">E85/F85</f>
        <v>0.9075685366710442</v>
      </c>
      <c r="I85">
        <f t="shared" ref="I85:I104" si="7">G85/G59</f>
        <v>1.0198811152715024</v>
      </c>
    </row>
    <row r="86" spans="2:9" x14ac:dyDescent="0.2">
      <c r="B86" t="s">
        <v>14</v>
      </c>
      <c r="C86" t="s">
        <v>15</v>
      </c>
      <c r="D86" s="16">
        <f>[13]Expenditure_ratios!E492</f>
        <v>351</v>
      </c>
      <c r="E86" s="16">
        <f>MECS_data!E92</f>
        <v>46</v>
      </c>
      <c r="F86" s="16">
        <f>[13]Final_quantities!CS8</f>
        <v>41.700938552000004</v>
      </c>
      <c r="G86" s="17">
        <f t="shared" si="6"/>
        <v>1.1030926784211146</v>
      </c>
      <c r="I86">
        <f t="shared" si="7"/>
        <v>1.0564836510661715</v>
      </c>
    </row>
    <row r="87" spans="2:9" x14ac:dyDescent="0.2">
      <c r="B87" t="s">
        <v>16</v>
      </c>
      <c r="C87" t="s">
        <v>17</v>
      </c>
      <c r="D87" s="16">
        <f>[13]Expenditure_ratios!E493</f>
        <v>81</v>
      </c>
      <c r="E87" s="16">
        <f>MECS_data!E93</f>
        <v>8</v>
      </c>
      <c r="F87" s="16">
        <f>[13]Final_quantities!CS9</f>
        <v>10.514054116000001</v>
      </c>
      <c r="G87" s="17">
        <f t="shared" si="6"/>
        <v>0.76088632526874844</v>
      </c>
      <c r="I87">
        <f t="shared" si="7"/>
        <v>0.60968562966068718</v>
      </c>
    </row>
    <row r="88" spans="2:9" x14ac:dyDescent="0.2">
      <c r="B88" t="s">
        <v>18</v>
      </c>
      <c r="C88" t="s">
        <v>19</v>
      </c>
      <c r="D88" s="16">
        <f>[13]Expenditure_ratios!E494</f>
        <v>25</v>
      </c>
      <c r="E88" s="16">
        <f>MECS_data!E94</f>
        <v>4</v>
      </c>
      <c r="F88" s="16">
        <f>[13]Final_quantities!CS10</f>
        <v>3.572872388</v>
      </c>
      <c r="G88" s="17">
        <f t="shared" si="6"/>
        <v>1.1195474020943399</v>
      </c>
      <c r="I88">
        <f t="shared" si="7"/>
        <v>1.7141771201069353</v>
      </c>
    </row>
    <row r="89" spans="2:9" x14ac:dyDescent="0.2">
      <c r="B89" t="s">
        <v>20</v>
      </c>
      <c r="C89" t="s">
        <v>21</v>
      </c>
      <c r="D89" s="16">
        <f>[13]Expenditure_ratios!E495</f>
        <v>9.1999999999999993</v>
      </c>
      <c r="E89" s="16">
        <f>MECS_data!E95</f>
        <v>1</v>
      </c>
      <c r="F89" s="16">
        <f>[13]Final_quantities!CS11</f>
        <v>1.1854584560000001</v>
      </c>
      <c r="G89" s="17">
        <f t="shared" si="6"/>
        <v>0.84355549951047792</v>
      </c>
      <c r="I89">
        <f t="shared" si="7"/>
        <v>1.9798410076042343</v>
      </c>
    </row>
    <row r="90" spans="2:9" x14ac:dyDescent="0.2">
      <c r="B90" t="s">
        <v>22</v>
      </c>
      <c r="C90" t="s">
        <v>23</v>
      </c>
      <c r="D90" s="16">
        <f>[13]Expenditure_ratios!E496</f>
        <v>767</v>
      </c>
      <c r="E90" s="16">
        <f>MECS_data!E96</f>
        <v>55</v>
      </c>
      <c r="F90" s="16">
        <f>[13]Final_quantities!CS12</f>
        <v>67.583578967999998</v>
      </c>
      <c r="G90" s="17">
        <f t="shared" si="6"/>
        <v>0.81380715315538155</v>
      </c>
      <c r="I90">
        <f t="shared" si="7"/>
        <v>0.83512944578421511</v>
      </c>
    </row>
    <row r="91" spans="2:9" x14ac:dyDescent="0.2">
      <c r="B91" t="s">
        <v>24</v>
      </c>
      <c r="C91" t="s">
        <v>25</v>
      </c>
      <c r="D91" s="16">
        <f>[13]Expenditure_ratios!E497</f>
        <v>4522</v>
      </c>
      <c r="E91" s="16">
        <f>MECS_data!E97</f>
        <v>228</v>
      </c>
      <c r="F91" s="16">
        <f>[13]Final_quantities!CS13</f>
        <v>229.32690385199999</v>
      </c>
      <c r="G91" s="17">
        <f t="shared" si="6"/>
        <v>0.99421391982487883</v>
      </c>
      <c r="I91">
        <f t="shared" si="7"/>
        <v>0.93163606141281152</v>
      </c>
    </row>
    <row r="92" spans="2:9" x14ac:dyDescent="0.2">
      <c r="B92" t="s">
        <v>26</v>
      </c>
      <c r="C92" t="s">
        <v>27</v>
      </c>
      <c r="D92" s="16">
        <f>[13]Expenditure_ratios!E498</f>
        <v>269</v>
      </c>
      <c r="E92" s="16">
        <f>MECS_data!E98</f>
        <v>47</v>
      </c>
      <c r="F92" s="16">
        <f>[13]Final_quantities!CS14</f>
        <v>46.128059732000004</v>
      </c>
      <c r="G92" s="17">
        <f t="shared" si="6"/>
        <v>1.018902600132455</v>
      </c>
      <c r="I92">
        <f t="shared" si="7"/>
        <v>1.3666300714130564</v>
      </c>
    </row>
    <row r="93" spans="2:9" x14ac:dyDescent="0.2">
      <c r="B93" t="s">
        <v>28</v>
      </c>
      <c r="C93" t="s">
        <v>29</v>
      </c>
      <c r="D93" s="16">
        <f>[13]Expenditure_ratios!E499</f>
        <v>7695</v>
      </c>
      <c r="E93" s="16">
        <f>MECS_data!E99</f>
        <v>179</v>
      </c>
      <c r="F93" s="16">
        <f>[13]Final_quantities!CS15</f>
        <v>164.91379281599998</v>
      </c>
      <c r="G93" s="17">
        <f t="shared" si="6"/>
        <v>1.0854155795186671</v>
      </c>
      <c r="I93">
        <f t="shared" si="7"/>
        <v>1.2195278981429598</v>
      </c>
    </row>
    <row r="94" spans="2:9" x14ac:dyDescent="0.2">
      <c r="B94" t="s">
        <v>30</v>
      </c>
      <c r="C94" t="s">
        <v>31</v>
      </c>
      <c r="D94" s="16">
        <f>[13]Expenditure_ratios!E500</f>
        <v>40246</v>
      </c>
      <c r="E94" s="16">
        <f>MECS_data!E100</f>
        <v>499</v>
      </c>
      <c r="F94" s="16">
        <f>[13]Final_quantities!CS16</f>
        <v>509.31938387599996</v>
      </c>
      <c r="G94" s="17">
        <f t="shared" si="6"/>
        <v>0.9797388746576503</v>
      </c>
      <c r="I94">
        <f t="shared" si="7"/>
        <v>0.96561881717244336</v>
      </c>
    </row>
    <row r="95" spans="2:9" x14ac:dyDescent="0.2">
      <c r="B95" t="s">
        <v>32</v>
      </c>
      <c r="C95" t="s">
        <v>33</v>
      </c>
      <c r="D95" s="16">
        <f>[13]Expenditure_ratios!E501</f>
        <v>802</v>
      </c>
      <c r="E95" s="16">
        <f>MECS_data!E101</f>
        <v>156</v>
      </c>
      <c r="F95" s="16">
        <f>[13]Final_quantities!CS17</f>
        <v>171.66115588400001</v>
      </c>
      <c r="G95" s="17">
        <f t="shared" si="6"/>
        <v>0.90876703699593497</v>
      </c>
      <c r="I95">
        <f t="shared" si="7"/>
        <v>1.0986037877783454</v>
      </c>
    </row>
    <row r="96" spans="2:9" x14ac:dyDescent="0.2">
      <c r="B96" t="s">
        <v>34</v>
      </c>
      <c r="C96" t="s">
        <v>35</v>
      </c>
      <c r="D96" s="16">
        <f>[13]Expenditure_ratios!E502</f>
        <v>2999</v>
      </c>
      <c r="E96" s="16">
        <f>MECS_data!E102</f>
        <v>111</v>
      </c>
      <c r="F96" s="16">
        <f>[13]Final_quantities!CS18</f>
        <v>120.60719175200001</v>
      </c>
      <c r="G96" s="17">
        <f t="shared" si="6"/>
        <v>0.92034312703545151</v>
      </c>
      <c r="I96">
        <f t="shared" si="7"/>
        <v>0.96754509300200919</v>
      </c>
    </row>
    <row r="97" spans="2:9" x14ac:dyDescent="0.2">
      <c r="B97" t="s">
        <v>36</v>
      </c>
      <c r="C97" t="s">
        <v>37</v>
      </c>
      <c r="D97" s="16">
        <f>[13]Expenditure_ratios!E503</f>
        <v>8620</v>
      </c>
      <c r="E97" s="16">
        <f>MECS_data!E103</f>
        <v>412</v>
      </c>
      <c r="F97" s="16">
        <f>[13]Final_quantities!CS19</f>
        <v>403.28624645599996</v>
      </c>
      <c r="G97" s="17">
        <f t="shared" si="6"/>
        <v>1.021606870109196</v>
      </c>
      <c r="I97">
        <f t="shared" si="7"/>
        <v>0.97475245673883659</v>
      </c>
    </row>
    <row r="98" spans="2:9" x14ac:dyDescent="0.2">
      <c r="B98" t="s">
        <v>38</v>
      </c>
      <c r="C98" t="s">
        <v>39</v>
      </c>
      <c r="D98" s="16">
        <f>[13]Expenditure_ratios!E504</f>
        <v>1310</v>
      </c>
      <c r="E98" s="16">
        <f>MECS_data!E104</f>
        <v>128</v>
      </c>
      <c r="F98" s="16">
        <f>[13]Final_quantities!CS20</f>
        <v>135.48137584</v>
      </c>
      <c r="G98" s="17">
        <f t="shared" si="6"/>
        <v>0.94477930421347867</v>
      </c>
      <c r="I98">
        <f t="shared" si="7"/>
        <v>1.1839078114986941</v>
      </c>
    </row>
    <row r="99" spans="2:9" x14ac:dyDescent="0.2">
      <c r="B99" t="s">
        <v>40</v>
      </c>
      <c r="C99" t="s">
        <v>41</v>
      </c>
      <c r="D99" s="16">
        <f>[13]Expenditure_ratios!E505</f>
        <v>643</v>
      </c>
      <c r="E99" s="16">
        <f>MECS_data!E105</f>
        <v>70</v>
      </c>
      <c r="F99" s="16">
        <f>[13]Final_quantities!CS21</f>
        <v>80.164175712000002</v>
      </c>
      <c r="G99" s="17">
        <f t="shared" si="6"/>
        <v>0.87320800567430401</v>
      </c>
      <c r="I99">
        <f t="shared" si="7"/>
        <v>0.83966435926165184</v>
      </c>
    </row>
    <row r="100" spans="2:9" x14ac:dyDescent="0.2">
      <c r="B100" t="s">
        <v>42</v>
      </c>
      <c r="C100" t="s">
        <v>43</v>
      </c>
      <c r="D100" s="16">
        <f>[13]Expenditure_ratios!E506</f>
        <v>311</v>
      </c>
      <c r="E100" s="16">
        <f>MECS_data!E106</f>
        <v>101</v>
      </c>
      <c r="F100" s="16">
        <f>[13]Final_quantities!CS22</f>
        <v>94.309365528000001</v>
      </c>
      <c r="G100" s="17">
        <f t="shared" si="6"/>
        <v>1.0709434787790357</v>
      </c>
      <c r="I100">
        <f t="shared" si="7"/>
        <v>1.3398519831855271</v>
      </c>
    </row>
    <row r="101" spans="2:9" x14ac:dyDescent="0.2">
      <c r="B101" t="s">
        <v>44</v>
      </c>
      <c r="C101" t="s">
        <v>45</v>
      </c>
      <c r="D101" s="16">
        <f>[13]Expenditure_ratios!E507</f>
        <v>460.2</v>
      </c>
      <c r="E101" s="16">
        <f>MECS_data!E107</f>
        <v>36</v>
      </c>
      <c r="F101" s="16">
        <f>[13]Final_quantities!CS23</f>
        <v>39.913531644000003</v>
      </c>
      <c r="G101" s="17">
        <f t="shared" si="6"/>
        <v>0.90194975280799783</v>
      </c>
      <c r="I101">
        <f t="shared" si="7"/>
        <v>1.0590473852855662</v>
      </c>
    </row>
    <row r="102" spans="2:9" x14ac:dyDescent="0.2">
      <c r="B102" t="s">
        <v>46</v>
      </c>
      <c r="C102" t="s">
        <v>47</v>
      </c>
      <c r="D102" s="16">
        <f>[13]Expenditure_ratios!E508</f>
        <v>1097</v>
      </c>
      <c r="E102" s="16">
        <f>MECS_data!E108</f>
        <v>133</v>
      </c>
      <c r="F102" s="16">
        <f>[13]Final_quantities!CS24</f>
        <v>176.70813510400001</v>
      </c>
      <c r="G102" s="17">
        <f t="shared" si="6"/>
        <v>0.75265352057348145</v>
      </c>
      <c r="I102">
        <f t="shared" si="7"/>
        <v>0.73327389410146548</v>
      </c>
    </row>
    <row r="103" spans="2:9" x14ac:dyDescent="0.2">
      <c r="B103" t="s">
        <v>48</v>
      </c>
      <c r="C103" t="s">
        <v>49</v>
      </c>
      <c r="D103" s="16">
        <f>[13]Expenditure_ratios!E509</f>
        <v>141</v>
      </c>
      <c r="E103" s="16">
        <f>MECS_data!E109</f>
        <v>17</v>
      </c>
      <c r="F103" s="16">
        <f>[13]Final_quantities!CS25</f>
        <v>19.100546599999998</v>
      </c>
      <c r="G103" s="17">
        <f t="shared" si="6"/>
        <v>0.8900268854086093</v>
      </c>
      <c r="I103">
        <f t="shared" si="7"/>
        <v>0.91237965675547739</v>
      </c>
    </row>
    <row r="104" spans="2:9" x14ac:dyDescent="0.2">
      <c r="B104" t="s">
        <v>50</v>
      </c>
      <c r="C104" t="s">
        <v>51</v>
      </c>
      <c r="D104" s="16">
        <f>[13]Expenditure_ratios!E510</f>
        <v>160.30000000000001</v>
      </c>
      <c r="E104" s="16">
        <f>MECS_data!E110</f>
        <v>26</v>
      </c>
      <c r="F104" s="16">
        <f>[13]Final_quantities!CS26</f>
        <v>35.953311956</v>
      </c>
      <c r="G104" s="17">
        <f t="shared" si="6"/>
        <v>0.72316008138051491</v>
      </c>
      <c r="I104">
        <f t="shared" si="7"/>
        <v>0.96094669686779921</v>
      </c>
    </row>
    <row r="105" spans="2:9" x14ac:dyDescent="0.2">
      <c r="E105">
        <f>MECS_data!E111</f>
        <v>2543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104"/>
  <sheetViews>
    <sheetView workbookViewId="0">
      <selection activeCell="D2" sqref="D2"/>
    </sheetView>
  </sheetViews>
  <sheetFormatPr defaultRowHeight="12.75" x14ac:dyDescent="0.2"/>
  <cols>
    <col min="3" max="3" width="28.85546875" customWidth="1"/>
    <col min="4" max="4" width="12.5703125" customWidth="1"/>
    <col min="5" max="5" width="11.5703125" customWidth="1"/>
    <col min="6" max="6" width="11" bestFit="1" customWidth="1"/>
    <col min="7" max="7" width="11.28515625" customWidth="1"/>
  </cols>
  <sheetData>
    <row r="3" spans="2:10" x14ac:dyDescent="0.2">
      <c r="B3" s="33">
        <v>1998</v>
      </c>
    </row>
    <row r="4" spans="2:10" x14ac:dyDescent="0.2">
      <c r="D4" t="s">
        <v>90</v>
      </c>
      <c r="E4" t="s">
        <v>95</v>
      </c>
      <c r="F4" t="s">
        <v>96</v>
      </c>
      <c r="G4">
        <v>1998</v>
      </c>
      <c r="H4">
        <v>2002</v>
      </c>
      <c r="I4">
        <v>2006</v>
      </c>
      <c r="J4">
        <v>2010</v>
      </c>
    </row>
    <row r="5" spans="2:10" x14ac:dyDescent="0.2">
      <c r="D5" t="s">
        <v>87</v>
      </c>
      <c r="E5" t="s">
        <v>94</v>
      </c>
      <c r="F5" t="s">
        <v>97</v>
      </c>
      <c r="G5" t="s">
        <v>98</v>
      </c>
    </row>
    <row r="6" spans="2:10" x14ac:dyDescent="0.2">
      <c r="B6" t="str">
        <f>MECS_data!AH5</f>
        <v>311</v>
      </c>
      <c r="C6" t="str">
        <f>MECS_data!AI5</f>
        <v>Food</v>
      </c>
      <c r="D6" s="3">
        <f>[13]Expenditure_ratios!E238*0.001</f>
        <v>2104.6067947831611</v>
      </c>
      <c r="E6" s="14">
        <f>MECS_data!AN5</f>
        <v>2123.5083720930234</v>
      </c>
      <c r="F6" s="3">
        <f>'[13]3DNAICS'!J234*0.001</f>
        <v>2420.5329999999999</v>
      </c>
      <c r="G6" s="17">
        <f>E6/F6</f>
        <v>0.87728957716875722</v>
      </c>
      <c r="H6" s="17">
        <f>G32</f>
        <v>1.0006635802469137</v>
      </c>
      <c r="I6" s="17">
        <f>G58</f>
        <v>1.0144153930178326</v>
      </c>
      <c r="J6" s="17">
        <f>G84</f>
        <v>0.99653982855948142</v>
      </c>
    </row>
    <row r="7" spans="2:10" x14ac:dyDescent="0.2">
      <c r="B7" t="str">
        <f>MECS_data!AH6</f>
        <v>312</v>
      </c>
      <c r="C7" t="str">
        <f>MECS_data!AI6</f>
        <v>Beverage and Tobacco Products</v>
      </c>
      <c r="D7" s="3">
        <f>[13]Expenditure_ratios!E239*0.001</f>
        <v>223</v>
      </c>
      <c r="E7" s="14">
        <f>MECS_data!AN6</f>
        <v>223.38000000000002</v>
      </c>
      <c r="F7" s="3">
        <f>'[13]3DNAICS'!J235*0.001</f>
        <v>233.70400000000001</v>
      </c>
      <c r="G7" s="17">
        <f t="shared" ref="G7:G26" si="0">E7/F7</f>
        <v>0.95582446171225144</v>
      </c>
      <c r="H7" s="17">
        <f t="shared" ref="H7:H26" si="1">G33</f>
        <v>1.0106644518272427</v>
      </c>
      <c r="I7" s="17">
        <f t="shared" ref="I7:I26" si="2">G59</f>
        <v>0.93698148148148153</v>
      </c>
      <c r="J7" s="17">
        <f t="shared" ref="J7:J26" si="3">G85</f>
        <v>0.9696842105263157</v>
      </c>
    </row>
    <row r="8" spans="2:10" x14ac:dyDescent="0.2">
      <c r="B8" t="str">
        <f>MECS_data!AH7</f>
        <v>313</v>
      </c>
      <c r="C8" t="str">
        <f>MECS_data!AI7</f>
        <v>Textile Mills</v>
      </c>
      <c r="D8" s="3">
        <f>[13]Expenditure_ratios!E240*0.001</f>
        <v>453</v>
      </c>
      <c r="E8" s="14">
        <f>MECS_data!AN7</f>
        <v>476.12</v>
      </c>
      <c r="F8" s="3">
        <f>'[13]3DNAICS'!J236*0.001</f>
        <v>545.06899999999996</v>
      </c>
      <c r="G8" s="17">
        <f t="shared" si="0"/>
        <v>0.8735040884732026</v>
      </c>
      <c r="H8" s="17">
        <f t="shared" si="1"/>
        <v>0.97599472990777336</v>
      </c>
      <c r="I8" s="17">
        <f t="shared" si="2"/>
        <v>0.98355908513341794</v>
      </c>
      <c r="J8" s="17">
        <f t="shared" si="3"/>
        <v>0.99117216117216123</v>
      </c>
    </row>
    <row r="9" spans="2:10" x14ac:dyDescent="0.2">
      <c r="B9" t="str">
        <f>MECS_data!AH8</f>
        <v>314</v>
      </c>
      <c r="C9" t="str">
        <f>MECS_data!AI8</f>
        <v>Textile Product Mills</v>
      </c>
      <c r="D9" s="3">
        <f>[13]Expenditure_ratios!E241*0.001</f>
        <v>98.791221835976458</v>
      </c>
      <c r="E9" s="14">
        <f>MECS_data!AN8</f>
        <v>107.88800000000001</v>
      </c>
      <c r="F9" s="3">
        <f>'[13]3DNAICS'!J237*0.001</f>
        <v>150.941</v>
      </c>
      <c r="G9" s="17">
        <f t="shared" si="0"/>
        <v>0.71476934696338301</v>
      </c>
      <c r="H9" s="17">
        <f t="shared" si="1"/>
        <v>1.0257988505747127</v>
      </c>
      <c r="I9" s="17">
        <f t="shared" si="2"/>
        <v>0.96849361702127656</v>
      </c>
      <c r="J9" s="17">
        <f t="shared" si="3"/>
        <v>0.9233209876543208</v>
      </c>
    </row>
    <row r="10" spans="2:10" x14ac:dyDescent="0.2">
      <c r="B10" t="str">
        <f>MECS_data!AH9</f>
        <v>315</v>
      </c>
      <c r="C10" t="str">
        <f>MECS_data!AI9</f>
        <v>Apparel</v>
      </c>
      <c r="D10" s="3">
        <f>[13]Expenditure_ratios!E242*0.001</f>
        <v>105.76069342346587</v>
      </c>
      <c r="E10" s="14">
        <f>MECS_data!AN9</f>
        <v>106.93</v>
      </c>
      <c r="F10" s="3">
        <f>'[13]3DNAICS'!J238*0.001</f>
        <v>191.39099999999999</v>
      </c>
      <c r="G10" s="17">
        <f t="shared" si="0"/>
        <v>0.55869920738174739</v>
      </c>
      <c r="H10" s="17">
        <f t="shared" si="1"/>
        <v>0.96532989690721638</v>
      </c>
      <c r="I10" s="17">
        <f t="shared" si="2"/>
        <v>0.94109859154929576</v>
      </c>
      <c r="J10" s="17">
        <f t="shared" si="3"/>
        <v>0.84343999999999997</v>
      </c>
    </row>
    <row r="11" spans="2:10" x14ac:dyDescent="0.2">
      <c r="B11" t="str">
        <f>MECS_data!AH10</f>
        <v>316</v>
      </c>
      <c r="C11" t="str">
        <f>MECS_data!AI10</f>
        <v>Leather and Allied Products</v>
      </c>
      <c r="D11" s="3">
        <f>[13]Expenditure_ratios!E243*0.001</f>
        <v>18.60765212287366</v>
      </c>
      <c r="E11" s="14">
        <f>MECS_data!AN10</f>
        <v>19.657000000000004</v>
      </c>
      <c r="F11" s="3">
        <f>'[13]3DNAICS'!J239*0.001</f>
        <v>27.704000000000001</v>
      </c>
      <c r="G11" s="17">
        <f t="shared" si="0"/>
        <v>0.70953652902108011</v>
      </c>
      <c r="H11" s="17">
        <f t="shared" si="1"/>
        <v>1.0173913043478262</v>
      </c>
      <c r="I11" s="17">
        <f t="shared" si="2"/>
        <v>1.1280294117647058</v>
      </c>
      <c r="J11" s="17">
        <f t="shared" si="3"/>
        <v>1.5002222222222226</v>
      </c>
    </row>
    <row r="12" spans="2:10" x14ac:dyDescent="0.2">
      <c r="B12" t="str">
        <f>MECS_data!AH11</f>
        <v>321</v>
      </c>
      <c r="C12" t="str">
        <f>MECS_data!AI11</f>
        <v>Wood Products</v>
      </c>
      <c r="D12" s="3">
        <f>[13]Expenditure_ratios!E244*0.001</f>
        <v>445.10590935093364</v>
      </c>
      <c r="E12" s="14">
        <f>MECS_data!AN11</f>
        <v>558.55580645161297</v>
      </c>
      <c r="F12" s="3">
        <f>'[13]3DNAICS'!J240*0.001</f>
        <v>418.30599999999998</v>
      </c>
      <c r="G12" s="17">
        <f t="shared" si="0"/>
        <v>1.3352804082456695</v>
      </c>
      <c r="H12" s="17">
        <f t="shared" si="1"/>
        <v>0.48145932537078356</v>
      </c>
      <c r="I12" s="17">
        <f t="shared" si="2"/>
        <v>1.0903260014474969</v>
      </c>
      <c r="J12" s="17">
        <f t="shared" si="3"/>
        <v>1.251040279969807</v>
      </c>
    </row>
    <row r="13" spans="2:10" x14ac:dyDescent="0.2">
      <c r="B13" t="str">
        <f>MECS_data!AH12</f>
        <v>322</v>
      </c>
      <c r="C13" t="str">
        <f>MECS_data!AI12</f>
        <v>Paper</v>
      </c>
      <c r="D13" s="3">
        <f>[13]Expenditure_ratios!E245*0.001</f>
        <v>3137</v>
      </c>
      <c r="E13" s="14">
        <f>MECS_data!AN12</f>
        <v>3283.5768354430379</v>
      </c>
      <c r="F13" s="3">
        <f>'[13]3DNAICS'!J241*0.001</f>
        <v>3019.1260000000002</v>
      </c>
      <c r="G13" s="17">
        <f t="shared" si="0"/>
        <v>1.0875918512321241</v>
      </c>
      <c r="H13" s="17">
        <f t="shared" si="1"/>
        <v>0.93114850555238404</v>
      </c>
      <c r="I13" s="17">
        <f t="shared" si="2"/>
        <v>1.1011599684791176</v>
      </c>
      <c r="J13" s="17">
        <f t="shared" si="3"/>
        <v>0.99063306671666884</v>
      </c>
    </row>
    <row r="14" spans="2:10" x14ac:dyDescent="0.2">
      <c r="B14" t="str">
        <f>MECS_data!AH13</f>
        <v>323</v>
      </c>
      <c r="C14" t="str">
        <f>MECS_data!AI13</f>
        <v>Printing and Related Support</v>
      </c>
      <c r="D14" s="3">
        <f>[13]Expenditure_ratios!E246*0.001</f>
        <v>181.87576177422713</v>
      </c>
      <c r="E14" s="14">
        <f>MECS_data!AN13</f>
        <v>181.535</v>
      </c>
      <c r="F14" s="3">
        <f>'[13]3DNAICS'!J242*0.001</f>
        <v>262.69</v>
      </c>
      <c r="G14" s="17">
        <f t="shared" si="0"/>
        <v>0.69106170771631958</v>
      </c>
      <c r="H14" s="17">
        <f t="shared" si="1"/>
        <v>0.99199190283400818</v>
      </c>
      <c r="I14" s="17">
        <f t="shared" si="2"/>
        <v>0.93194444444444446</v>
      </c>
      <c r="J14" s="17">
        <f t="shared" si="3"/>
        <v>0.94780797101449266</v>
      </c>
    </row>
    <row r="15" spans="2:10" x14ac:dyDescent="0.2">
      <c r="B15" t="str">
        <f>MECS_data!AH14</f>
        <v>324</v>
      </c>
      <c r="C15" t="str">
        <f>MECS_data!AI14</f>
        <v>Petroleum and Coal Products</v>
      </c>
      <c r="D15" s="3">
        <f>[13]Expenditure_ratios!E247*0.001</f>
        <v>2688.8458637681815</v>
      </c>
      <c r="E15" s="14">
        <f>MECS_data!AN14</f>
        <v>3493.113896103896</v>
      </c>
      <c r="F15" s="3">
        <f>'[13]3DNAICS'!J243*0.001</f>
        <v>2912.4670000000001</v>
      </c>
      <c r="G15" s="17">
        <f t="shared" si="0"/>
        <v>1.1993660000624542</v>
      </c>
      <c r="H15" s="17">
        <f t="shared" si="1"/>
        <v>0.84325299196103032</v>
      </c>
      <c r="I15" s="17">
        <f t="shared" si="2"/>
        <v>0.97067174234396847</v>
      </c>
      <c r="J15" s="17">
        <f t="shared" si="3"/>
        <v>0.85730104377037042</v>
      </c>
    </row>
    <row r="16" spans="2:10" x14ac:dyDescent="0.2">
      <c r="B16" t="str">
        <f>MECS_data!AH15</f>
        <v>325</v>
      </c>
      <c r="C16" t="str">
        <f>MECS_data!AI15</f>
        <v>Chemicals</v>
      </c>
      <c r="D16" s="3">
        <f>[13]Expenditure_ratios!E248*0.001</f>
        <v>6321.821943032166</v>
      </c>
      <c r="E16" s="14">
        <f>MECS_data!AN15</f>
        <v>6998.8562101313319</v>
      </c>
      <c r="F16" s="3">
        <f>'[13]3DNAICS'!J244*0.001</f>
        <v>5595.2390000000005</v>
      </c>
      <c r="G16" s="17">
        <f t="shared" si="0"/>
        <v>1.2508592055015579</v>
      </c>
      <c r="H16" s="17">
        <f t="shared" si="1"/>
        <v>0.33073660627204887</v>
      </c>
      <c r="I16" s="17">
        <f t="shared" si="2"/>
        <v>0.40981561543448686</v>
      </c>
      <c r="J16" s="17">
        <f t="shared" si="3"/>
        <v>0.30655974358337268</v>
      </c>
    </row>
    <row r="17" spans="2:10" x14ac:dyDescent="0.2">
      <c r="B17" t="str">
        <f>MECS_data!AH16</f>
        <v>326</v>
      </c>
      <c r="C17" t="str">
        <f>MECS_data!AI16</f>
        <v>Plastics and Rubber Products</v>
      </c>
      <c r="D17" s="3">
        <f>[13]Expenditure_ratios!E249*0.001</f>
        <v>529</v>
      </c>
      <c r="E17" s="14">
        <f>MECS_data!AN16</f>
        <v>521.55999999999995</v>
      </c>
      <c r="F17" s="3">
        <f>'[13]3DNAICS'!J245*0.001</f>
        <v>579.62199999999996</v>
      </c>
      <c r="G17" s="17">
        <f t="shared" si="0"/>
        <v>0.89982781881985152</v>
      </c>
      <c r="H17" s="17">
        <f t="shared" si="1"/>
        <v>0.94308823529411767</v>
      </c>
      <c r="I17" s="17">
        <f t="shared" si="2"/>
        <v>1.0010984308131241</v>
      </c>
      <c r="J17" s="17">
        <f t="shared" si="3"/>
        <v>0.95208433734939757</v>
      </c>
    </row>
    <row r="18" spans="2:10" x14ac:dyDescent="0.2">
      <c r="B18" t="str">
        <f>MECS_data!AH17</f>
        <v>327</v>
      </c>
      <c r="C18" t="str">
        <f>MECS_data!AI17</f>
        <v>Nonmetallic Mineral Products</v>
      </c>
      <c r="D18" s="3">
        <f>[13]Expenditure_ratios!E250*0.001</f>
        <v>1980</v>
      </c>
      <c r="E18" s="14">
        <f>MECS_data!AN17</f>
        <v>1925.4814285714288</v>
      </c>
      <c r="F18" s="3">
        <f>'[13]3DNAICS'!J246*0.001</f>
        <v>2225.962</v>
      </c>
      <c r="G18" s="17">
        <f t="shared" si="0"/>
        <v>0.86501091598662905</v>
      </c>
      <c r="H18" s="17">
        <f t="shared" si="1"/>
        <v>0.94593449626201498</v>
      </c>
      <c r="I18" s="17">
        <f t="shared" si="2"/>
        <v>0.97886185383244195</v>
      </c>
      <c r="J18" s="17">
        <f t="shared" si="3"/>
        <v>0.98265567154863576</v>
      </c>
    </row>
    <row r="19" spans="2:10" x14ac:dyDescent="0.2">
      <c r="B19" t="str">
        <f>MECS_data!AH18</f>
        <v>331</v>
      </c>
      <c r="C19" t="str">
        <f>MECS_data!AI18</f>
        <v>Primary Metals</v>
      </c>
      <c r="D19" s="3">
        <f>[13]Expenditure_ratios!E251*0.001</f>
        <v>5876.2865463615553</v>
      </c>
      <c r="E19" s="14">
        <f>MECS_data!AN18</f>
        <v>5028.9013924050632</v>
      </c>
      <c r="F19" s="3">
        <f>'[13]3DNAICS'!J247*0.001</f>
        <v>3171.1620000000003</v>
      </c>
      <c r="G19" s="17">
        <f t="shared" si="0"/>
        <v>1.5858229230815275</v>
      </c>
      <c r="H19" s="17">
        <f t="shared" si="1"/>
        <v>0.7683825306306814</v>
      </c>
      <c r="I19" s="17">
        <f t="shared" si="2"/>
        <v>0.75527025217767552</v>
      </c>
      <c r="J19" s="17">
        <f t="shared" si="3"/>
        <v>0.74393978890860291</v>
      </c>
    </row>
    <row r="20" spans="2:10" x14ac:dyDescent="0.2">
      <c r="B20" t="str">
        <f>MECS_data!AH19</f>
        <v>332</v>
      </c>
      <c r="C20" t="str">
        <f>MECS_data!AI19</f>
        <v>Fabricated Metal Products</v>
      </c>
      <c r="D20" s="3">
        <f>[13]Expenditure_ratios!E252*0.001</f>
        <v>920.81806828749836</v>
      </c>
      <c r="E20" s="14">
        <f>MECS_data!AN19</f>
        <v>1021.3855555555557</v>
      </c>
      <c r="F20" s="3">
        <f>'[13]3DNAICS'!J248*0.001</f>
        <v>1175.9770000000001</v>
      </c>
      <c r="G20" s="17">
        <f t="shared" si="0"/>
        <v>0.86854211906827739</v>
      </c>
      <c r="H20" s="17">
        <f t="shared" si="1"/>
        <v>0.98428170594837261</v>
      </c>
      <c r="I20" s="17">
        <f t="shared" si="2"/>
        <v>0.97067739204064341</v>
      </c>
      <c r="J20" s="17">
        <f t="shared" si="3"/>
        <v>0.96894360141628721</v>
      </c>
    </row>
    <row r="21" spans="2:10" x14ac:dyDescent="0.2">
      <c r="B21" t="str">
        <f>MECS_data!AH20</f>
        <v>333</v>
      </c>
      <c r="C21" t="str">
        <f>MECS_data!AI20</f>
        <v>Machinery</v>
      </c>
      <c r="D21" s="3">
        <f>[13]Expenditure_ratios!E253*0.001</f>
        <v>453.5008057077734</v>
      </c>
      <c r="E21" s="14">
        <f>MECS_data!AN20</f>
        <v>443.88857142857148</v>
      </c>
      <c r="F21" s="3">
        <f>'[13]3DNAICS'!J249*0.001</f>
        <v>489.94</v>
      </c>
      <c r="G21" s="17">
        <f t="shared" si="0"/>
        <v>0.90600598323993031</v>
      </c>
      <c r="H21" s="17">
        <f t="shared" si="1"/>
        <v>0.96407088122605378</v>
      </c>
      <c r="I21" s="17">
        <f t="shared" si="2"/>
        <v>0.99730337078651699</v>
      </c>
      <c r="J21" s="17">
        <f t="shared" si="3"/>
        <v>0.95708074534161491</v>
      </c>
    </row>
    <row r="22" spans="2:10" x14ac:dyDescent="0.2">
      <c r="B22" t="str">
        <f>MECS_data!AH21</f>
        <v>334</v>
      </c>
      <c r="C22" t="str">
        <f>MECS_data!AI21</f>
        <v>Computer and Electronic Products</v>
      </c>
      <c r="D22" s="3">
        <f>[13]Expenditure_ratios!E254*0.001</f>
        <v>249.50090040638983</v>
      </c>
      <c r="E22" s="14">
        <f>MECS_data!AN21</f>
        <v>270.19</v>
      </c>
      <c r="F22" s="3">
        <f>'[13]3DNAICS'!J250*0.001</f>
        <v>371.76600000000002</v>
      </c>
      <c r="G22" s="17">
        <f t="shared" si="0"/>
        <v>0.72677436882339963</v>
      </c>
      <c r="H22" s="17">
        <f t="shared" si="1"/>
        <v>0.88397616434748261</v>
      </c>
      <c r="I22" s="17">
        <f t="shared" si="2"/>
        <v>1.0304555555555555</v>
      </c>
      <c r="J22" s="17">
        <f t="shared" si="3"/>
        <v>0.91097756410256403</v>
      </c>
    </row>
    <row r="23" spans="2:10" x14ac:dyDescent="0.2">
      <c r="B23" t="str">
        <f>MECS_data!AH22</f>
        <v>335</v>
      </c>
      <c r="C23" t="str">
        <f>MECS_data!AI22</f>
        <v>Electrical Equip., Appliances, and Components</v>
      </c>
      <c r="D23" s="3">
        <f>[13]Expenditure_ratios!E255*0.001</f>
        <v>357.4729887134996</v>
      </c>
      <c r="E23" s="14">
        <f>MECS_data!AN22</f>
        <v>202.86543080939944</v>
      </c>
      <c r="F23" s="3">
        <f>'[13]3DNAICS'!J251*0.001</f>
        <v>236.857</v>
      </c>
      <c r="G23" s="17">
        <f t="shared" si="0"/>
        <v>0.85648906643839717</v>
      </c>
      <c r="H23" s="17">
        <f t="shared" si="1"/>
        <v>0.69344009779951121</v>
      </c>
      <c r="I23" s="17">
        <f t="shared" si="2"/>
        <v>0.81771760154738882</v>
      </c>
      <c r="J23" s="17">
        <f t="shared" si="3"/>
        <v>0.61551301518438184</v>
      </c>
    </row>
    <row r="24" spans="2:10" x14ac:dyDescent="0.2">
      <c r="B24" t="str">
        <f>MECS_data!AH23</f>
        <v>336</v>
      </c>
      <c r="C24" t="str">
        <f>MECS_data!AI23</f>
        <v>Transportation Equipment</v>
      </c>
      <c r="D24" s="3">
        <f>[13]Expenditure_ratios!E256*0.001</f>
        <v>940.21039995852334</v>
      </c>
      <c r="E24" s="14">
        <f>MECS_data!AN23</f>
        <v>974.85555555555561</v>
      </c>
      <c r="F24" s="3">
        <f>'[13]3DNAICS'!J252*0.001</f>
        <v>941.22699999999998</v>
      </c>
      <c r="G24" s="17">
        <f t="shared" si="0"/>
        <v>1.035728422108116</v>
      </c>
      <c r="H24" s="17">
        <f t="shared" si="1"/>
        <v>0.97452883138367019</v>
      </c>
      <c r="I24" s="17">
        <f t="shared" si="2"/>
        <v>0.99132352941176483</v>
      </c>
      <c r="J24" s="17">
        <f t="shared" si="3"/>
        <v>0.9674597386812519</v>
      </c>
    </row>
    <row r="25" spans="2:10" x14ac:dyDescent="0.2">
      <c r="B25" t="str">
        <f>MECS_data!AH24</f>
        <v>337</v>
      </c>
      <c r="C25" t="str">
        <f>MECS_data!AI24</f>
        <v>Furniture and Related Products</v>
      </c>
      <c r="D25" s="3">
        <f>[13]Expenditure_ratios!E257*0.001</f>
        <v>144.68077071877099</v>
      </c>
      <c r="E25" s="14">
        <f>MECS_data!AN24</f>
        <v>196.73333333333335</v>
      </c>
      <c r="F25" s="3">
        <f>'[13]3DNAICS'!J253*0.001</f>
        <v>164.57300000000001</v>
      </c>
      <c r="G25" s="17">
        <f t="shared" si="0"/>
        <v>1.1954168261703519</v>
      </c>
      <c r="H25" s="17">
        <f t="shared" si="1"/>
        <v>0.99865384615384611</v>
      </c>
      <c r="I25" s="17">
        <f t="shared" si="2"/>
        <v>0.92324663677130059</v>
      </c>
      <c r="J25" s="17">
        <f t="shared" si="3"/>
        <v>0.98151408450704225</v>
      </c>
    </row>
    <row r="26" spans="2:10" x14ac:dyDescent="0.2">
      <c r="B26" t="str">
        <f>MECS_data!AH25</f>
        <v>339</v>
      </c>
      <c r="C26" t="str">
        <f>MECS_data!AI25</f>
        <v>Miscellaneous</v>
      </c>
      <c r="D26" s="3">
        <f>[13]Expenditure_ratios!E258*0.001</f>
        <v>195.30090040638981</v>
      </c>
      <c r="E26" s="14">
        <f>MECS_data!AN25</f>
        <v>190.73999999999998</v>
      </c>
      <c r="F26" s="3">
        <f>'[13]3DNAICS'!J254*0.001</f>
        <v>183.887</v>
      </c>
      <c r="G26" s="17">
        <f t="shared" si="0"/>
        <v>1.0372674522940717</v>
      </c>
      <c r="H26" s="17">
        <f t="shared" si="1"/>
        <v>0.90881313131313124</v>
      </c>
      <c r="I26" s="17">
        <f t="shared" si="2"/>
        <v>1.1751127819548872</v>
      </c>
      <c r="J26" s="17">
        <f t="shared" si="3"/>
        <v>0.96645679012345675</v>
      </c>
    </row>
    <row r="30" spans="2:10" x14ac:dyDescent="0.2">
      <c r="B30" s="33">
        <v>2002</v>
      </c>
      <c r="D30" t="s">
        <v>90</v>
      </c>
      <c r="E30" t="s">
        <v>95</v>
      </c>
      <c r="F30" t="s">
        <v>96</v>
      </c>
    </row>
    <row r="31" spans="2:10" x14ac:dyDescent="0.2">
      <c r="D31" t="s">
        <v>87</v>
      </c>
      <c r="E31" t="s">
        <v>94</v>
      </c>
      <c r="F31" t="s">
        <v>97</v>
      </c>
      <c r="G31" t="s">
        <v>99</v>
      </c>
    </row>
    <row r="32" spans="2:10" x14ac:dyDescent="0.2">
      <c r="B32" t="str">
        <f>MECS_data!AH32</f>
        <v>311</v>
      </c>
      <c r="C32" t="str">
        <f>MECS_data!AI32</f>
        <v>Food</v>
      </c>
      <c r="D32" s="3">
        <f>[13]Expenditure_ratios!E322*0.001</f>
        <v>3244</v>
      </c>
      <c r="E32" s="14">
        <f>MECS_data!AP32</f>
        <v>3240</v>
      </c>
      <c r="F32" s="14">
        <f>MECS_data!AN32</f>
        <v>3242.15</v>
      </c>
      <c r="G32" s="17">
        <f>F32/E32</f>
        <v>1.0006635802469137</v>
      </c>
    </row>
    <row r="33" spans="2:7" x14ac:dyDescent="0.2">
      <c r="B33" t="str">
        <f>MECS_data!AH33</f>
        <v>312</v>
      </c>
      <c r="C33" t="str">
        <f>MECS_data!AI33</f>
        <v>Beverage and Tobacco Products</v>
      </c>
      <c r="D33" s="3">
        <f>[13]Expenditure_ratios!E323*0.001</f>
        <v>301</v>
      </c>
      <c r="E33" s="14">
        <f>MECS_data!AP33</f>
        <v>301</v>
      </c>
      <c r="F33" s="14">
        <f>MECS_data!AN33</f>
        <v>304.21000000000004</v>
      </c>
      <c r="G33" s="17">
        <f t="shared" ref="G33:G52" si="4">F33/E33</f>
        <v>1.0106644518272427</v>
      </c>
    </row>
    <row r="34" spans="2:7" x14ac:dyDescent="0.2">
      <c r="B34" t="str">
        <f>MECS_data!AH34</f>
        <v>313</v>
      </c>
      <c r="C34" t="str">
        <f>MECS_data!AI34</f>
        <v>Textile Mills</v>
      </c>
      <c r="D34" s="3">
        <f>[13]Expenditure_ratios!E324*0.001</f>
        <v>506.15192083818397</v>
      </c>
      <c r="E34" s="14">
        <f>MECS_data!AP34</f>
        <v>506</v>
      </c>
      <c r="F34" s="14">
        <f>MECS_data!AN34</f>
        <v>493.8533333333333</v>
      </c>
      <c r="G34" s="17">
        <f t="shared" si="4"/>
        <v>0.97599472990777336</v>
      </c>
    </row>
    <row r="35" spans="2:7" x14ac:dyDescent="0.2">
      <c r="B35" t="str">
        <f>MECS_data!AH35</f>
        <v>314</v>
      </c>
      <c r="C35" t="str">
        <f>MECS_data!AI35</f>
        <v>Textile Product Mills</v>
      </c>
      <c r="D35" s="3">
        <f>[13]Expenditure_ratios!E325*0.001</f>
        <v>161.19909474745018</v>
      </c>
      <c r="E35" s="14">
        <f>MECS_data!AP35</f>
        <v>174</v>
      </c>
      <c r="F35" s="14">
        <f>MECS_data!AN35</f>
        <v>178.489</v>
      </c>
      <c r="G35" s="17">
        <f t="shared" si="4"/>
        <v>1.0257988505747127</v>
      </c>
    </row>
    <row r="36" spans="2:7" x14ac:dyDescent="0.2">
      <c r="B36" t="str">
        <f>MECS_data!AH36</f>
        <v>315</v>
      </c>
      <c r="C36" t="str">
        <f>MECS_data!AI36</f>
        <v>Apparel</v>
      </c>
      <c r="D36" s="3">
        <f>[13]Expenditure_ratios!E326*0.001</f>
        <v>97.991735537190095</v>
      </c>
      <c r="E36" s="14">
        <f>MECS_data!AP36</f>
        <v>97</v>
      </c>
      <c r="F36" s="14">
        <f>MECS_data!AN36</f>
        <v>93.636999999999986</v>
      </c>
      <c r="G36" s="17">
        <f t="shared" si="4"/>
        <v>0.96532989690721638</v>
      </c>
    </row>
    <row r="37" spans="2:7" x14ac:dyDescent="0.2">
      <c r="B37" t="str">
        <f>MECS_data!AH37</f>
        <v>316</v>
      </c>
      <c r="C37" t="str">
        <f>MECS_data!AI37</f>
        <v>Leather and Allied Products</v>
      </c>
      <c r="D37" s="3">
        <f>[13]Expenditure_ratios!E327*0.001</f>
        <v>23.39669421487605</v>
      </c>
      <c r="E37" s="14">
        <f>MECS_data!AP37</f>
        <v>23</v>
      </c>
      <c r="F37" s="14">
        <f>MECS_data!AN37</f>
        <v>23.400000000000002</v>
      </c>
      <c r="G37" s="17">
        <f t="shared" si="4"/>
        <v>1.0173913043478262</v>
      </c>
    </row>
    <row r="38" spans="2:7" x14ac:dyDescent="0.2">
      <c r="B38" t="str">
        <f>MECS_data!AH38</f>
        <v>321</v>
      </c>
      <c r="C38" t="str">
        <f>MECS_data!AI38</f>
        <v>Wood Products</v>
      </c>
      <c r="D38" s="3">
        <f>[13]Expenditure_ratios!E328*0.001</f>
        <v>944.76165447500557</v>
      </c>
      <c r="E38" s="14">
        <f>MECS_data!AP38</f>
        <v>950</v>
      </c>
      <c r="F38" s="14">
        <f>MECS_data!AN38</f>
        <v>457.3863591022444</v>
      </c>
      <c r="G38" s="17">
        <f t="shared" si="4"/>
        <v>0.48145932537078356</v>
      </c>
    </row>
    <row r="39" spans="2:7" x14ac:dyDescent="0.2">
      <c r="B39" t="str">
        <f>MECS_data!AH39</f>
        <v>322</v>
      </c>
      <c r="C39" t="str">
        <f>MECS_data!AI39</f>
        <v>Paper</v>
      </c>
      <c r="D39" s="3">
        <f>[13]Expenditure_ratios!E329*0.001</f>
        <v>4180</v>
      </c>
      <c r="E39" s="14">
        <f>MECS_data!AP39</f>
        <v>4177</v>
      </c>
      <c r="F39" s="14">
        <f>MECS_data!AN39</f>
        <v>3889.4073076923082</v>
      </c>
      <c r="G39" s="17">
        <f t="shared" si="4"/>
        <v>0.93114850555238404</v>
      </c>
    </row>
    <row r="40" spans="2:7" x14ac:dyDescent="0.2">
      <c r="B40" t="str">
        <f>MECS_data!AH40</f>
        <v>323</v>
      </c>
      <c r="C40" t="str">
        <f>MECS_data!AI40</f>
        <v>Printing and Related Support</v>
      </c>
      <c r="D40" s="3">
        <f>[13]Expenditure_ratios!E330*0.001</f>
        <v>243.78944122363393</v>
      </c>
      <c r="E40" s="14">
        <f>MECS_data!AP40</f>
        <v>247</v>
      </c>
      <c r="F40" s="14">
        <f>MECS_data!AN40</f>
        <v>245.02200000000002</v>
      </c>
      <c r="G40" s="17">
        <f t="shared" si="4"/>
        <v>0.99199190283400818</v>
      </c>
    </row>
    <row r="41" spans="2:7" x14ac:dyDescent="0.2">
      <c r="B41" t="str">
        <f>MECS_data!AH41</f>
        <v>324</v>
      </c>
      <c r="C41" t="str">
        <f>MECS_data!AI41</f>
        <v>Petroleum and Coal Products</v>
      </c>
      <c r="D41" s="3">
        <f>[13]Expenditure_ratios!E331*0.001</f>
        <v>3581.5003859391604</v>
      </c>
      <c r="E41" s="14">
        <f>MECS_data!AP41</f>
        <v>4757</v>
      </c>
      <c r="F41" s="14">
        <f>MECS_data!AN41</f>
        <v>4011.3544827586211</v>
      </c>
      <c r="G41" s="17">
        <f t="shared" si="4"/>
        <v>0.84325299196103032</v>
      </c>
    </row>
    <row r="42" spans="2:7" x14ac:dyDescent="0.2">
      <c r="B42" t="str">
        <f>MECS_data!AH42</f>
        <v>325</v>
      </c>
      <c r="C42" t="str">
        <f>MECS_data!AI42</f>
        <v>Chemicals</v>
      </c>
      <c r="D42" s="3">
        <f>[13]Expenditure_ratios!E332*0.001</f>
        <v>7933.5483044180683</v>
      </c>
      <c r="E42" s="14">
        <f>MECS_data!AP42</f>
        <v>25633</v>
      </c>
      <c r="F42" s="14">
        <f>MECS_data!AN42</f>
        <v>8477.7714285714283</v>
      </c>
      <c r="G42" s="17">
        <f t="shared" si="4"/>
        <v>0.33073660627204887</v>
      </c>
    </row>
    <row r="43" spans="2:7" x14ac:dyDescent="0.2">
      <c r="B43" t="str">
        <f>MECS_data!AH43</f>
        <v>326</v>
      </c>
      <c r="C43" t="str">
        <f>MECS_data!AI43</f>
        <v>Plastics and Rubber Products</v>
      </c>
      <c r="D43" s="3">
        <f>[13]Expenditure_ratios!E333*0.001</f>
        <v>772.13038416763675</v>
      </c>
      <c r="E43" s="14">
        <f>MECS_data!AP43</f>
        <v>816</v>
      </c>
      <c r="F43" s="14">
        <f>MECS_data!AN43</f>
        <v>769.56000000000006</v>
      </c>
      <c r="G43" s="17">
        <f t="shared" si="4"/>
        <v>0.94308823529411767</v>
      </c>
    </row>
    <row r="44" spans="2:7" x14ac:dyDescent="0.2">
      <c r="B44" t="str">
        <f>MECS_data!AH44</f>
        <v>327</v>
      </c>
      <c r="C44" t="str">
        <f>MECS_data!AI44</f>
        <v>Nonmetallic Mineral Products</v>
      </c>
      <c r="D44" s="3">
        <f>[13]Expenditure_ratios!E334*0.001</f>
        <v>2822</v>
      </c>
      <c r="E44" s="14">
        <f>MECS_data!AP44</f>
        <v>2809</v>
      </c>
      <c r="F44" s="14">
        <f>MECS_data!AN44</f>
        <v>2657.13</v>
      </c>
      <c r="G44" s="17">
        <f t="shared" si="4"/>
        <v>0.94593449626201498</v>
      </c>
    </row>
    <row r="45" spans="2:7" x14ac:dyDescent="0.2">
      <c r="B45" t="str">
        <f>MECS_data!AH45</f>
        <v>331</v>
      </c>
      <c r="C45" t="str">
        <f>MECS_data!AI45</f>
        <v>Primary Metals</v>
      </c>
      <c r="D45" s="3">
        <f>[13]Expenditure_ratios!E335*0.001</f>
        <v>5482.6127748406825</v>
      </c>
      <c r="E45" s="14">
        <f>MECS_data!AP45</f>
        <v>5970</v>
      </c>
      <c r="F45" s="14">
        <f>MECS_data!AN45</f>
        <v>4587.2437078651683</v>
      </c>
      <c r="G45" s="17">
        <f t="shared" si="4"/>
        <v>0.7683825306306814</v>
      </c>
    </row>
    <row r="46" spans="2:7" x14ac:dyDescent="0.2">
      <c r="B46" t="str">
        <f>MECS_data!AH46</f>
        <v>332</v>
      </c>
      <c r="C46" t="str">
        <f>MECS_data!AI46</f>
        <v>Fabricated Metal Products</v>
      </c>
      <c r="D46" s="3">
        <f>[13]Expenditure_ratios!E336*0.001</f>
        <v>1191.7437810945273</v>
      </c>
      <c r="E46" s="14">
        <f>MECS_data!AP46</f>
        <v>1188</v>
      </c>
      <c r="F46" s="14">
        <f>MECS_data!AN46</f>
        <v>1169.3266666666666</v>
      </c>
      <c r="G46" s="17">
        <f t="shared" si="4"/>
        <v>0.98428170594837261</v>
      </c>
    </row>
    <row r="47" spans="2:7" x14ac:dyDescent="0.2">
      <c r="B47" t="str">
        <f>MECS_data!AH47</f>
        <v>333</v>
      </c>
      <c r="C47" t="str">
        <f>MECS_data!AI47</f>
        <v>Machinery</v>
      </c>
      <c r="D47" s="3">
        <f>[13]Expenditure_ratios!E337*0.001</f>
        <v>522.3432835820895</v>
      </c>
      <c r="E47" s="14">
        <f>MECS_data!AP47</f>
        <v>522</v>
      </c>
      <c r="F47" s="14">
        <f>MECS_data!AN47</f>
        <v>503.24500000000006</v>
      </c>
      <c r="G47" s="17">
        <f t="shared" si="4"/>
        <v>0.96407088122605378</v>
      </c>
    </row>
    <row r="48" spans="2:7" x14ac:dyDescent="0.2">
      <c r="B48" t="str">
        <f>MECS_data!AH48</f>
        <v>334</v>
      </c>
      <c r="C48" t="str">
        <f>MECS_data!AI48</f>
        <v>Computer and Electronic Products</v>
      </c>
      <c r="D48" s="3">
        <f>[13]Expenditure_ratios!E338*0.001</f>
        <v>378.21501746216535</v>
      </c>
      <c r="E48" s="14">
        <f>MECS_data!AP48</f>
        <v>418</v>
      </c>
      <c r="F48" s="14">
        <f>MECS_data!AN48</f>
        <v>369.50203669724772</v>
      </c>
      <c r="G48" s="17">
        <f t="shared" si="4"/>
        <v>0.88397616434748261</v>
      </c>
    </row>
    <row r="49" spans="2:7" x14ac:dyDescent="0.2">
      <c r="B49" t="str">
        <f>MECS_data!AH49</f>
        <v>335</v>
      </c>
      <c r="C49" t="str">
        <f>MECS_data!AI49</f>
        <v>Electrical Equip., Appliances, and Components</v>
      </c>
      <c r="D49" s="3">
        <f>[13]Expenditure_ratios!E339*0.001</f>
        <v>417.84297520661158</v>
      </c>
      <c r="E49" s="14">
        <f>MECS_data!AP49</f>
        <v>409</v>
      </c>
      <c r="F49" s="14">
        <f>MECS_data!AN49</f>
        <v>283.61700000000008</v>
      </c>
      <c r="G49" s="17">
        <f t="shared" si="4"/>
        <v>0.69344009779951121</v>
      </c>
    </row>
    <row r="50" spans="2:7" x14ac:dyDescent="0.2">
      <c r="B50" t="str">
        <f>MECS_data!AH50</f>
        <v>336</v>
      </c>
      <c r="C50" t="str">
        <f>MECS_data!AI50</f>
        <v>Transportation Equipment</v>
      </c>
      <c r="D50" s="3">
        <f>[13]Expenditure_ratios!E340*0.001</f>
        <v>1088.6666666666667</v>
      </c>
      <c r="E50" s="14">
        <f>MECS_data!AP50</f>
        <v>1092</v>
      </c>
      <c r="F50" s="14">
        <f>MECS_data!AN50</f>
        <v>1064.1854838709678</v>
      </c>
      <c r="G50" s="17">
        <f t="shared" si="4"/>
        <v>0.97452883138367019</v>
      </c>
    </row>
    <row r="51" spans="2:7" x14ac:dyDescent="0.2">
      <c r="B51" t="str">
        <f>MECS_data!AH51</f>
        <v>337</v>
      </c>
      <c r="C51" t="str">
        <f>MECS_data!AI51</f>
        <v>Furniture and Related Products</v>
      </c>
      <c r="D51" s="3">
        <f>[13]Expenditure_ratios!E341*0.001</f>
        <v>176.60549525101766</v>
      </c>
      <c r="E51" s="14">
        <f>MECS_data!AP51</f>
        <v>156</v>
      </c>
      <c r="F51" s="14">
        <f>MECS_data!AN51</f>
        <v>155.79</v>
      </c>
      <c r="G51" s="17">
        <f t="shared" si="4"/>
        <v>0.99865384615384611</v>
      </c>
    </row>
    <row r="52" spans="2:7" x14ac:dyDescent="0.2">
      <c r="B52" t="str">
        <f>MECS_data!AH52</f>
        <v>339</v>
      </c>
      <c r="C52" t="str">
        <f>MECS_data!AI52</f>
        <v>Miscellaneous</v>
      </c>
      <c r="D52" s="3">
        <f>[13]Expenditure_ratios!E342*0.001</f>
        <v>184.06022573084994</v>
      </c>
      <c r="E52" s="14">
        <f>MECS_data!AP52</f>
        <v>198</v>
      </c>
      <c r="F52" s="14">
        <f>MECS_data!AN52</f>
        <v>179.94499999999999</v>
      </c>
      <c r="G52" s="17">
        <f t="shared" si="4"/>
        <v>0.90881313131313124</v>
      </c>
    </row>
    <row r="55" spans="2:7" ht="15.75" x14ac:dyDescent="0.25">
      <c r="B55" s="19">
        <v>2006</v>
      </c>
    </row>
    <row r="56" spans="2:7" x14ac:dyDescent="0.2">
      <c r="D56" t="s">
        <v>90</v>
      </c>
      <c r="E56" t="s">
        <v>95</v>
      </c>
      <c r="F56" t="s">
        <v>96</v>
      </c>
    </row>
    <row r="57" spans="2:7" x14ac:dyDescent="0.2">
      <c r="D57" t="s">
        <v>87</v>
      </c>
      <c r="E57" t="s">
        <v>94</v>
      </c>
      <c r="F57" t="s">
        <v>97</v>
      </c>
      <c r="G57" t="s">
        <v>99</v>
      </c>
    </row>
    <row r="58" spans="2:7" x14ac:dyDescent="0.2">
      <c r="B58" t="s">
        <v>10</v>
      </c>
      <c r="C58" t="s">
        <v>11</v>
      </c>
      <c r="D58" s="16">
        <f>[13]Expenditure_ratios!E406*0.001</f>
        <v>5671</v>
      </c>
      <c r="E58" s="16">
        <f>MECS_data!AP62</f>
        <v>5673</v>
      </c>
      <c r="F58" s="16">
        <f>MECS_data!AN62</f>
        <v>5754.7785245901641</v>
      </c>
      <c r="G58" s="17">
        <f>F58/E58</f>
        <v>1.0144153930178326</v>
      </c>
    </row>
    <row r="59" spans="2:7" x14ac:dyDescent="0.2">
      <c r="B59" t="s">
        <v>12</v>
      </c>
      <c r="C59" t="s">
        <v>13</v>
      </c>
      <c r="D59" s="16">
        <f>[13]Expenditure_ratios!E407*0.001</f>
        <v>542.20481927710841</v>
      </c>
      <c r="E59" s="16">
        <f>MECS_data!AP63</f>
        <v>540</v>
      </c>
      <c r="F59" s="16">
        <f>MECS_data!AN63</f>
        <v>505.97</v>
      </c>
      <c r="G59" s="17">
        <f t="shared" ref="G59:G78" si="5">F59/E59</f>
        <v>0.93698148148148153</v>
      </c>
    </row>
    <row r="60" spans="2:7" x14ac:dyDescent="0.2">
      <c r="B60" t="s">
        <v>14</v>
      </c>
      <c r="C60" t="s">
        <v>15</v>
      </c>
      <c r="D60" s="16">
        <f>[13]Expenditure_ratios!E408*0.001</f>
        <v>787</v>
      </c>
      <c r="E60" s="16">
        <f>MECS_data!AP64</f>
        <v>787</v>
      </c>
      <c r="F60" s="16">
        <f>MECS_data!AN64</f>
        <v>774.06099999999992</v>
      </c>
      <c r="G60" s="17">
        <f t="shared" si="5"/>
        <v>0.98355908513341794</v>
      </c>
    </row>
    <row r="61" spans="2:7" x14ac:dyDescent="0.2">
      <c r="B61" t="s">
        <v>16</v>
      </c>
      <c r="C61" t="s">
        <v>17</v>
      </c>
      <c r="D61" s="16">
        <f>[13]Expenditure_ratios!E409*0.001</f>
        <v>470.46987951807233</v>
      </c>
      <c r="E61" s="16">
        <f>MECS_data!AP65</f>
        <v>470</v>
      </c>
      <c r="F61" s="16">
        <f>MECS_data!AN65</f>
        <v>455.19200000000001</v>
      </c>
      <c r="G61" s="17">
        <f t="shared" si="5"/>
        <v>0.96849361702127656</v>
      </c>
    </row>
    <row r="62" spans="2:7" x14ac:dyDescent="0.2">
      <c r="B62" t="s">
        <v>18</v>
      </c>
      <c r="C62" t="s">
        <v>19</v>
      </c>
      <c r="D62" s="16">
        <f>[13]Expenditure_ratios!E410*0.001</f>
        <v>71.046987951807239</v>
      </c>
      <c r="E62" s="16">
        <f>MECS_data!AP66</f>
        <v>71</v>
      </c>
      <c r="F62" s="16">
        <f>MECS_data!AN66</f>
        <v>66.817999999999998</v>
      </c>
      <c r="G62" s="17">
        <f t="shared" si="5"/>
        <v>0.94109859154929576</v>
      </c>
    </row>
    <row r="63" spans="2:7" x14ac:dyDescent="0.2">
      <c r="B63" t="s">
        <v>20</v>
      </c>
      <c r="C63" t="s">
        <v>21</v>
      </c>
      <c r="D63" s="16">
        <f>[13]Expenditure_ratios!E411*0.001</f>
        <v>17.500000000000018</v>
      </c>
      <c r="E63" s="16">
        <f>MECS_data!AP67</f>
        <v>17</v>
      </c>
      <c r="F63" s="16">
        <f>MECS_data!AN67</f>
        <v>19.176500000000001</v>
      </c>
      <c r="G63" s="17">
        <f t="shared" si="5"/>
        <v>1.1280294117647058</v>
      </c>
    </row>
    <row r="64" spans="2:7" x14ac:dyDescent="0.2">
      <c r="B64" t="s">
        <v>22</v>
      </c>
      <c r="C64" t="s">
        <v>23</v>
      </c>
      <c r="D64" s="16">
        <f>[13]Expenditure_ratios!E412*0.001</f>
        <v>1175</v>
      </c>
      <c r="E64" s="16">
        <f>MECS_data!AP68</f>
        <v>1177</v>
      </c>
      <c r="F64" s="16">
        <f>MECS_data!AN68</f>
        <v>1283.3137037037038</v>
      </c>
      <c r="G64" s="17">
        <f t="shared" si="5"/>
        <v>1.0903260014474969</v>
      </c>
    </row>
    <row r="65" spans="2:7" x14ac:dyDescent="0.2">
      <c r="B65" t="s">
        <v>24</v>
      </c>
      <c r="C65" t="s">
        <v>25</v>
      </c>
      <c r="D65" s="16">
        <f>[13]Expenditure_ratios!E413*0.001</f>
        <v>6344</v>
      </c>
      <c r="E65" s="16">
        <f>MECS_data!AP69</f>
        <v>6345</v>
      </c>
      <c r="F65" s="16">
        <f>MECS_data!AN69</f>
        <v>6986.8600000000006</v>
      </c>
      <c r="G65" s="17">
        <f t="shared" si="5"/>
        <v>1.1011599684791176</v>
      </c>
    </row>
    <row r="66" spans="2:7" x14ac:dyDescent="0.2">
      <c r="B66" t="s">
        <v>26</v>
      </c>
      <c r="C66" t="s">
        <v>27</v>
      </c>
      <c r="D66" s="16">
        <f>[13]Expenditure_ratios!E414*0.001</f>
        <v>341</v>
      </c>
      <c r="E66" s="16">
        <f>MECS_data!AP70</f>
        <v>342</v>
      </c>
      <c r="F66" s="16">
        <f>MECS_data!AN70</f>
        <v>318.72500000000002</v>
      </c>
      <c r="G66" s="17">
        <f t="shared" si="5"/>
        <v>0.93194444444444446</v>
      </c>
    </row>
    <row r="67" spans="2:7" x14ac:dyDescent="0.2">
      <c r="B67" t="s">
        <v>28</v>
      </c>
      <c r="C67" t="s">
        <v>29</v>
      </c>
      <c r="D67" s="16">
        <f>[13]Expenditure_ratios!E415*0.001</f>
        <v>8466</v>
      </c>
      <c r="E67" s="16">
        <f>MECS_data!AP71</f>
        <v>8466</v>
      </c>
      <c r="F67" s="16">
        <f>MECS_data!AN71</f>
        <v>8217.7069706840375</v>
      </c>
      <c r="G67" s="17">
        <f t="shared" si="5"/>
        <v>0.97067174234396847</v>
      </c>
    </row>
    <row r="68" spans="2:7" x14ac:dyDescent="0.2">
      <c r="B68" t="s">
        <v>30</v>
      </c>
      <c r="C68" t="s">
        <v>31</v>
      </c>
      <c r="D68" s="16">
        <f>[13]Expenditure_ratios!E416*0.001</f>
        <v>39618</v>
      </c>
      <c r="E68" s="16">
        <f>MECS_data!AP72</f>
        <v>39616</v>
      </c>
      <c r="F68" s="16">
        <f>MECS_data!AN72</f>
        <v>16235.25542105263</v>
      </c>
      <c r="G68" s="17">
        <f t="shared" si="5"/>
        <v>0.40981561543448686</v>
      </c>
    </row>
    <row r="69" spans="2:7" x14ac:dyDescent="0.2">
      <c r="B69" t="s">
        <v>32</v>
      </c>
      <c r="C69" t="s">
        <v>33</v>
      </c>
      <c r="D69" s="16">
        <f>[13]Expenditure_ratios!E417*0.001</f>
        <v>1374.9</v>
      </c>
      <c r="E69" s="16">
        <f>MECS_data!AP73</f>
        <v>1402</v>
      </c>
      <c r="F69" s="16">
        <f>MECS_data!AN73</f>
        <v>1403.54</v>
      </c>
      <c r="G69" s="17">
        <f t="shared" si="5"/>
        <v>1.0010984308131241</v>
      </c>
    </row>
    <row r="70" spans="2:7" x14ac:dyDescent="0.2">
      <c r="B70" t="s">
        <v>34</v>
      </c>
      <c r="C70" t="s">
        <v>35</v>
      </c>
      <c r="D70" s="16">
        <f>[13]Expenditure_ratios!E418*0.001</f>
        <v>5509</v>
      </c>
      <c r="E70" s="16">
        <f>MECS_data!AP74</f>
        <v>5610</v>
      </c>
      <c r="F70" s="16">
        <f>MECS_data!AN74</f>
        <v>5491.4149999999991</v>
      </c>
      <c r="G70" s="17">
        <f t="shared" si="5"/>
        <v>0.97886185383244195</v>
      </c>
    </row>
    <row r="71" spans="2:7" x14ac:dyDescent="0.2">
      <c r="B71" t="s">
        <v>36</v>
      </c>
      <c r="C71" t="s">
        <v>37</v>
      </c>
      <c r="D71" s="16">
        <f>[13]Expenditure_ratios!E419*0.001</f>
        <v>8113.7260000000006</v>
      </c>
      <c r="E71" s="16">
        <f>MECS_data!AP75</f>
        <v>9210</v>
      </c>
      <c r="F71" s="16">
        <f>MECS_data!AN75</f>
        <v>6956.0390225563915</v>
      </c>
      <c r="G71" s="17">
        <f t="shared" si="5"/>
        <v>0.75527025217767552</v>
      </c>
    </row>
    <row r="72" spans="2:7" x14ac:dyDescent="0.2">
      <c r="B72" t="s">
        <v>38</v>
      </c>
      <c r="C72" t="s">
        <v>39</v>
      </c>
      <c r="D72" s="16">
        <f>[13]Expenditure_ratios!E420*0.001</f>
        <v>2335.3000000000002</v>
      </c>
      <c r="E72" s="16">
        <f>MECS_data!AP76</f>
        <v>2362</v>
      </c>
      <c r="F72" s="16">
        <f>MECS_data!AN76</f>
        <v>2292.7399999999998</v>
      </c>
      <c r="G72" s="17">
        <f t="shared" si="5"/>
        <v>0.97067739204064341</v>
      </c>
    </row>
    <row r="73" spans="2:7" x14ac:dyDescent="0.2">
      <c r="B73" t="s">
        <v>40</v>
      </c>
      <c r="C73" t="s">
        <v>41</v>
      </c>
      <c r="D73" s="16">
        <f>[13]Expenditure_ratios!E421*0.001</f>
        <v>1134.734939759036</v>
      </c>
      <c r="E73" s="16">
        <f>MECS_data!AP77</f>
        <v>1157</v>
      </c>
      <c r="F73" s="16">
        <f>MECS_data!AN77</f>
        <v>1153.8800000000001</v>
      </c>
      <c r="G73" s="17">
        <f t="shared" si="5"/>
        <v>0.99730337078651699</v>
      </c>
    </row>
    <row r="74" spans="2:7" x14ac:dyDescent="0.2">
      <c r="B74" t="s">
        <v>42</v>
      </c>
      <c r="C74" t="s">
        <v>43</v>
      </c>
      <c r="D74" s="16">
        <f>[13]Expenditure_ratios!E422*0.001</f>
        <v>450.3</v>
      </c>
      <c r="E74" s="16">
        <f>MECS_data!AP78</f>
        <v>450</v>
      </c>
      <c r="F74" s="16">
        <f>MECS_data!AN78</f>
        <v>463.70499999999993</v>
      </c>
      <c r="G74" s="17">
        <f t="shared" si="5"/>
        <v>1.0304555555555555</v>
      </c>
    </row>
    <row r="75" spans="2:7" x14ac:dyDescent="0.2">
      <c r="B75" t="s">
        <v>44</v>
      </c>
      <c r="C75" t="s">
        <v>45</v>
      </c>
      <c r="D75" s="16">
        <f>[13]Expenditure_ratios!E423*0.001</f>
        <v>515</v>
      </c>
      <c r="E75" s="16">
        <f>MECS_data!AP79</f>
        <v>517</v>
      </c>
      <c r="F75" s="16">
        <f>MECS_data!AN79</f>
        <v>422.76</v>
      </c>
      <c r="G75" s="17">
        <f t="shared" si="5"/>
        <v>0.81771760154738882</v>
      </c>
    </row>
    <row r="76" spans="2:7" x14ac:dyDescent="0.2">
      <c r="B76" t="s">
        <v>46</v>
      </c>
      <c r="C76" t="s">
        <v>47</v>
      </c>
      <c r="D76" s="16">
        <f>[13]Expenditure_ratios!E424*0.001</f>
        <v>2040</v>
      </c>
      <c r="E76" s="16">
        <f>MECS_data!AP80</f>
        <v>2040</v>
      </c>
      <c r="F76" s="16">
        <f>MECS_data!AN80</f>
        <v>2022.3000000000002</v>
      </c>
      <c r="G76" s="17">
        <f t="shared" si="5"/>
        <v>0.99132352941176483</v>
      </c>
    </row>
    <row r="77" spans="2:7" x14ac:dyDescent="0.2">
      <c r="B77" t="s">
        <v>48</v>
      </c>
      <c r="C77" t="s">
        <v>49</v>
      </c>
      <c r="D77" s="16">
        <f>[13]Expenditure_ratios!E425*0.001</f>
        <v>198.00700000000001</v>
      </c>
      <c r="E77" s="16">
        <f>MECS_data!AP81</f>
        <v>223</v>
      </c>
      <c r="F77" s="16">
        <f>MECS_data!AN81</f>
        <v>205.88400000000004</v>
      </c>
      <c r="G77" s="17">
        <f t="shared" si="5"/>
        <v>0.92324663677130059</v>
      </c>
    </row>
    <row r="78" spans="2:7" x14ac:dyDescent="0.2">
      <c r="B78" t="s">
        <v>50</v>
      </c>
      <c r="C78" t="s">
        <v>51</v>
      </c>
      <c r="D78" s="16">
        <f>[13]Expenditure_ratios!E426*0.001</f>
        <v>309.3</v>
      </c>
      <c r="E78" s="16">
        <f>MECS_data!AP82</f>
        <v>266</v>
      </c>
      <c r="F78" s="16">
        <f>MECS_data!AN82</f>
        <v>312.58</v>
      </c>
      <c r="G78" s="17">
        <f t="shared" si="5"/>
        <v>1.1751127819548872</v>
      </c>
    </row>
    <row r="81" spans="2:8" ht="15.75" x14ac:dyDescent="0.25">
      <c r="B81" s="19">
        <v>2010</v>
      </c>
    </row>
    <row r="82" spans="2:8" x14ac:dyDescent="0.2">
      <c r="D82" t="s">
        <v>90</v>
      </c>
      <c r="E82" t="s">
        <v>95</v>
      </c>
      <c r="F82" t="s">
        <v>96</v>
      </c>
    </row>
    <row r="83" spans="2:8" x14ac:dyDescent="0.2">
      <c r="D83" t="s">
        <v>87</v>
      </c>
      <c r="E83" t="s">
        <v>94</v>
      </c>
      <c r="F83" t="s">
        <v>97</v>
      </c>
      <c r="G83" t="s">
        <v>99</v>
      </c>
    </row>
    <row r="84" spans="2:8" x14ac:dyDescent="0.2">
      <c r="B84" t="s">
        <v>10</v>
      </c>
      <c r="C84" t="s">
        <v>11</v>
      </c>
      <c r="D84" s="16">
        <f>[13]Expenditure_ratios!E490</f>
        <v>4783</v>
      </c>
      <c r="E84" s="16">
        <f>MECS_data!AP90</f>
        <v>4783</v>
      </c>
      <c r="F84" s="16">
        <f>MECS_data!AN90</f>
        <v>4766.45</v>
      </c>
      <c r="G84" s="17">
        <f>F84/E84</f>
        <v>0.99653982855948142</v>
      </c>
      <c r="H84" s="16"/>
    </row>
    <row r="85" spans="2:8" x14ac:dyDescent="0.2">
      <c r="B85" t="s">
        <v>12</v>
      </c>
      <c r="C85" t="s">
        <v>13</v>
      </c>
      <c r="D85" s="16">
        <f>[13]Expenditure_ratios!E491</f>
        <v>378</v>
      </c>
      <c r="E85" s="16">
        <f>MECS_data!AP91</f>
        <v>380</v>
      </c>
      <c r="F85" s="16">
        <f>MECS_data!AN91</f>
        <v>368.47999999999996</v>
      </c>
      <c r="G85" s="17">
        <f t="shared" ref="G85:G104" si="6">F85/E85</f>
        <v>0.9696842105263157</v>
      </c>
      <c r="H85" s="16"/>
    </row>
    <row r="86" spans="2:8" x14ac:dyDescent="0.2">
      <c r="B86" t="s">
        <v>14</v>
      </c>
      <c r="C86" t="s">
        <v>15</v>
      </c>
      <c r="D86" s="16">
        <f>[13]Expenditure_ratios!E492</f>
        <v>351</v>
      </c>
      <c r="E86" s="16">
        <f>MECS_data!AP92</f>
        <v>351</v>
      </c>
      <c r="F86" s="16">
        <f>MECS_data!AN92</f>
        <v>347.9014285714286</v>
      </c>
      <c r="G86" s="17">
        <f t="shared" si="6"/>
        <v>0.99117216117216123</v>
      </c>
      <c r="H86" s="16"/>
    </row>
    <row r="87" spans="2:8" x14ac:dyDescent="0.2">
      <c r="B87" t="s">
        <v>16</v>
      </c>
      <c r="C87" t="s">
        <v>17</v>
      </c>
      <c r="D87" s="16">
        <f>[13]Expenditure_ratios!E493</f>
        <v>81</v>
      </c>
      <c r="E87" s="16">
        <f>MECS_data!AP93</f>
        <v>81</v>
      </c>
      <c r="F87" s="16">
        <f>MECS_data!AN93</f>
        <v>74.788999999999987</v>
      </c>
      <c r="G87" s="17">
        <f t="shared" si="6"/>
        <v>0.9233209876543208</v>
      </c>
      <c r="H87" s="16"/>
    </row>
    <row r="88" spans="2:8" x14ac:dyDescent="0.2">
      <c r="B88" t="s">
        <v>18</v>
      </c>
      <c r="C88" t="s">
        <v>19</v>
      </c>
      <c r="D88" s="16">
        <f>[13]Expenditure_ratios!E494</f>
        <v>25</v>
      </c>
      <c r="E88" s="16">
        <f>MECS_data!AP94</f>
        <v>25</v>
      </c>
      <c r="F88" s="16">
        <f>MECS_data!AN94</f>
        <v>21.085999999999999</v>
      </c>
      <c r="G88" s="17">
        <f t="shared" si="6"/>
        <v>0.84343999999999997</v>
      </c>
      <c r="H88" s="16"/>
    </row>
    <row r="89" spans="2:8" x14ac:dyDescent="0.2">
      <c r="B89" t="s">
        <v>20</v>
      </c>
      <c r="C89" t="s">
        <v>21</v>
      </c>
      <c r="D89" s="16">
        <f>[13]Expenditure_ratios!E495</f>
        <v>9.1999999999999993</v>
      </c>
      <c r="E89" s="16">
        <f>MECS_data!AP95</f>
        <v>9</v>
      </c>
      <c r="F89" s="16">
        <f>MECS_data!AN95</f>
        <v>13.502000000000002</v>
      </c>
      <c r="G89" s="17">
        <f t="shared" si="6"/>
        <v>1.5002222222222226</v>
      </c>
      <c r="H89" s="16"/>
    </row>
    <row r="90" spans="2:8" x14ac:dyDescent="0.2">
      <c r="B90" t="s">
        <v>22</v>
      </c>
      <c r="C90" t="s">
        <v>23</v>
      </c>
      <c r="D90" s="16">
        <f>[13]Expenditure_ratios!E496</f>
        <v>767</v>
      </c>
      <c r="E90" s="16">
        <f>MECS_data!AP96</f>
        <v>767</v>
      </c>
      <c r="F90" s="16">
        <f>MECS_data!AN96</f>
        <v>959.54789473684207</v>
      </c>
      <c r="G90" s="17">
        <f t="shared" si="6"/>
        <v>1.251040279969807</v>
      </c>
      <c r="H90" s="16"/>
    </row>
    <row r="91" spans="2:8" x14ac:dyDescent="0.2">
      <c r="B91" t="s">
        <v>24</v>
      </c>
      <c r="C91" t="s">
        <v>25</v>
      </c>
      <c r="D91" s="16">
        <f>[13]Expenditure_ratios!E497</f>
        <v>4522</v>
      </c>
      <c r="E91" s="16">
        <f>MECS_data!AP97</f>
        <v>4523</v>
      </c>
      <c r="F91" s="16">
        <f>MECS_data!AN97</f>
        <v>4480.6333607594934</v>
      </c>
      <c r="G91" s="17">
        <f t="shared" si="6"/>
        <v>0.99063306671666884</v>
      </c>
      <c r="H91" s="16"/>
    </row>
    <row r="92" spans="2:8" x14ac:dyDescent="0.2">
      <c r="B92" t="s">
        <v>26</v>
      </c>
      <c r="C92" t="s">
        <v>27</v>
      </c>
      <c r="D92" s="16">
        <f>[13]Expenditure_ratios!E498</f>
        <v>269</v>
      </c>
      <c r="E92" s="16">
        <f>MECS_data!AP98</f>
        <v>276</v>
      </c>
      <c r="F92" s="16">
        <f>MECS_data!AN98</f>
        <v>261.59499999999997</v>
      </c>
      <c r="G92" s="17">
        <f t="shared" si="6"/>
        <v>0.94780797101449266</v>
      </c>
      <c r="H92" s="16"/>
    </row>
    <row r="93" spans="2:8" x14ac:dyDescent="0.2">
      <c r="B93" t="s">
        <v>28</v>
      </c>
      <c r="C93" t="s">
        <v>29</v>
      </c>
      <c r="D93" s="16">
        <f>[13]Expenditure_ratios!E499</f>
        <v>7695</v>
      </c>
      <c r="E93" s="16">
        <f>MECS_data!AP99</f>
        <v>7694</v>
      </c>
      <c r="F93" s="16">
        <f>MECS_data!AN99</f>
        <v>6596.0742307692299</v>
      </c>
      <c r="G93" s="17">
        <f t="shared" si="6"/>
        <v>0.85730104377037042</v>
      </c>
      <c r="H93" s="16"/>
    </row>
    <row r="94" spans="2:8" x14ac:dyDescent="0.2">
      <c r="B94" t="s">
        <v>30</v>
      </c>
      <c r="C94" t="s">
        <v>31</v>
      </c>
      <c r="D94" s="16">
        <f>[13]Expenditure_ratios!E500</f>
        <v>40246</v>
      </c>
      <c r="E94" s="16">
        <f>MECS_data!AP100</f>
        <v>40247</v>
      </c>
      <c r="F94" s="16">
        <f>MECS_data!AN100</f>
        <v>12338.11</v>
      </c>
      <c r="G94" s="17">
        <f t="shared" si="6"/>
        <v>0.30655974358337268</v>
      </c>
      <c r="H94" s="16"/>
    </row>
    <row r="95" spans="2:8" x14ac:dyDescent="0.2">
      <c r="B95" t="s">
        <v>32</v>
      </c>
      <c r="C95" t="s">
        <v>33</v>
      </c>
      <c r="D95" s="16">
        <f>[13]Expenditure_ratios!E501</f>
        <v>802</v>
      </c>
      <c r="E95" s="16">
        <f>MECS_data!AP101</f>
        <v>830</v>
      </c>
      <c r="F95" s="16">
        <f>MECS_data!AN101</f>
        <v>790.23</v>
      </c>
      <c r="G95" s="17">
        <f t="shared" si="6"/>
        <v>0.95208433734939757</v>
      </c>
      <c r="H95" s="16"/>
    </row>
    <row r="96" spans="2:8" x14ac:dyDescent="0.2">
      <c r="B96" t="s">
        <v>34</v>
      </c>
      <c r="C96" t="s">
        <v>35</v>
      </c>
      <c r="D96" s="16">
        <f>[13]Expenditure_ratios!E502</f>
        <v>2999</v>
      </c>
      <c r="E96" s="16">
        <f>MECS_data!AP102</f>
        <v>2999</v>
      </c>
      <c r="F96" s="16">
        <f>MECS_data!AN102</f>
        <v>2946.9843589743587</v>
      </c>
      <c r="G96" s="17">
        <f t="shared" si="6"/>
        <v>0.98265567154863576</v>
      </c>
      <c r="H96" s="16"/>
    </row>
    <row r="97" spans="2:8" x14ac:dyDescent="0.2">
      <c r="B97" t="s">
        <v>36</v>
      </c>
      <c r="C97" t="s">
        <v>37</v>
      </c>
      <c r="D97" s="16">
        <f>[13]Expenditure_ratios!E503</f>
        <v>8620</v>
      </c>
      <c r="E97" s="16">
        <f>MECS_data!AP103</f>
        <v>8620</v>
      </c>
      <c r="F97" s="16">
        <f>MECS_data!AN103</f>
        <v>6412.7609803921569</v>
      </c>
      <c r="G97" s="17">
        <f t="shared" si="6"/>
        <v>0.74393978890860291</v>
      </c>
      <c r="H97" s="16"/>
    </row>
    <row r="98" spans="2:8" x14ac:dyDescent="0.2">
      <c r="B98" t="s">
        <v>38</v>
      </c>
      <c r="C98" t="s">
        <v>39</v>
      </c>
      <c r="D98" s="16">
        <f>[13]Expenditure_ratios!E504</f>
        <v>1310</v>
      </c>
      <c r="E98" s="16">
        <f>MECS_data!AP104</f>
        <v>1318</v>
      </c>
      <c r="F98" s="16">
        <f>MECS_data!AN104</f>
        <v>1277.0676666666666</v>
      </c>
      <c r="G98" s="17">
        <f t="shared" si="6"/>
        <v>0.96894360141628721</v>
      </c>
      <c r="H98" s="16"/>
    </row>
    <row r="99" spans="2:8" x14ac:dyDescent="0.2">
      <c r="B99" t="s">
        <v>40</v>
      </c>
      <c r="C99" t="s">
        <v>41</v>
      </c>
      <c r="D99" s="16">
        <f>[13]Expenditure_ratios!E505</f>
        <v>643</v>
      </c>
      <c r="E99" s="16">
        <f>MECS_data!AP105</f>
        <v>644</v>
      </c>
      <c r="F99" s="16">
        <f>MECS_data!AN105</f>
        <v>616.36</v>
      </c>
      <c r="G99" s="17">
        <f t="shared" si="6"/>
        <v>0.95708074534161491</v>
      </c>
      <c r="H99" s="16"/>
    </row>
    <row r="100" spans="2:8" x14ac:dyDescent="0.2">
      <c r="B100" t="s">
        <v>42</v>
      </c>
      <c r="C100" t="s">
        <v>43</v>
      </c>
      <c r="D100" s="16">
        <f>[13]Expenditure_ratios!E506</f>
        <v>311</v>
      </c>
      <c r="E100" s="16">
        <f>MECS_data!AP106</f>
        <v>312</v>
      </c>
      <c r="F100" s="16">
        <f>MECS_data!AN106</f>
        <v>284.22499999999997</v>
      </c>
      <c r="G100" s="17">
        <f t="shared" si="6"/>
        <v>0.91097756410256403</v>
      </c>
      <c r="H100" s="16"/>
    </row>
    <row r="101" spans="2:8" x14ac:dyDescent="0.2">
      <c r="B101" t="s">
        <v>44</v>
      </c>
      <c r="C101" t="s">
        <v>45</v>
      </c>
      <c r="D101" s="16">
        <f>[13]Expenditure_ratios!E507</f>
        <v>460.2</v>
      </c>
      <c r="E101" s="16">
        <f>MECS_data!AP107</f>
        <v>461</v>
      </c>
      <c r="F101" s="16">
        <f>MECS_data!AN107</f>
        <v>283.75150000000002</v>
      </c>
      <c r="G101" s="17">
        <f t="shared" si="6"/>
        <v>0.61551301518438184</v>
      </c>
      <c r="H101" s="16"/>
    </row>
    <row r="102" spans="2:8" x14ac:dyDescent="0.2">
      <c r="B102" t="s">
        <v>46</v>
      </c>
      <c r="C102" t="s">
        <v>47</v>
      </c>
      <c r="D102" s="16">
        <f>[13]Expenditure_ratios!E508</f>
        <v>1097</v>
      </c>
      <c r="E102" s="16">
        <f>MECS_data!AP108</f>
        <v>1097</v>
      </c>
      <c r="F102" s="16">
        <f>MECS_data!AN108</f>
        <v>1061.3033333333333</v>
      </c>
      <c r="G102" s="17">
        <f t="shared" si="6"/>
        <v>0.9674597386812519</v>
      </c>
      <c r="H102" s="16"/>
    </row>
    <row r="103" spans="2:8" x14ac:dyDescent="0.2">
      <c r="B103" t="s">
        <v>48</v>
      </c>
      <c r="C103" t="s">
        <v>49</v>
      </c>
      <c r="D103" s="16">
        <f>[13]Expenditure_ratios!E509</f>
        <v>141</v>
      </c>
      <c r="E103" s="16">
        <f>MECS_data!AP109</f>
        <v>142</v>
      </c>
      <c r="F103" s="16">
        <f>MECS_data!AN109</f>
        <v>139.375</v>
      </c>
      <c r="G103" s="17">
        <f t="shared" si="6"/>
        <v>0.98151408450704225</v>
      </c>
      <c r="H103" s="16"/>
    </row>
    <row r="104" spans="2:8" x14ac:dyDescent="0.2">
      <c r="B104" t="s">
        <v>50</v>
      </c>
      <c r="C104" t="s">
        <v>51</v>
      </c>
      <c r="D104" s="16">
        <f>[13]Expenditure_ratios!E510</f>
        <v>160.30000000000001</v>
      </c>
      <c r="E104" s="16">
        <f>MECS_data!AP110</f>
        <v>162</v>
      </c>
      <c r="F104" s="16">
        <f>MECS_data!AN110</f>
        <v>156.566</v>
      </c>
      <c r="G104" s="17">
        <f t="shared" si="6"/>
        <v>0.96645679012345675</v>
      </c>
      <c r="H10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 few notes</vt:lpstr>
      <vt:lpstr>Sheet1</vt:lpstr>
      <vt:lpstr>MECS_data</vt:lpstr>
      <vt:lpstr>MECS_data_SIC</vt:lpstr>
      <vt:lpstr>MECS_Total_Fuel</vt:lpstr>
      <vt:lpstr>MECS_EnergyPrices</vt:lpstr>
      <vt:lpstr>MECS vs CM</vt:lpstr>
      <vt:lpstr>MECS vs CM_Elec</vt:lpstr>
      <vt:lpstr>Energy vs Fuel Expen</vt:lpstr>
      <vt:lpstr>Quantity Shares_1998 forward</vt:lpstr>
      <vt:lpstr>Plot Prices_1998forward</vt:lpstr>
      <vt:lpstr>Quantity Shares_1985-1998</vt:lpstr>
      <vt:lpstr>Plot Prices_1985forward</vt:lpstr>
    </vt:vector>
  </TitlesOfParts>
  <Company>PNNL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Belzer, David B</dc:creator>
  <cp:lastModifiedBy>David</cp:lastModifiedBy>
  <cp:lastPrinted>2016-10-13T17:51:58Z</cp:lastPrinted>
  <dcterms:created xsi:type="dcterms:W3CDTF">2013-09-19T18:03:06Z</dcterms:created>
  <dcterms:modified xsi:type="dcterms:W3CDTF">2020-03-05T00:59:28Z</dcterms:modified>
</cp:coreProperties>
</file>