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Indicators - Industrial_2020\Nonmanufacturing\Mining\"/>
    </mc:Choice>
  </mc:AlternateContent>
  <xr:revisionPtr revIDLastSave="0" documentId="13_ncr:1_{18B2EB89-D4E0-40A9-91D9-FD38DA89A429}" xr6:coauthVersionLast="45" xr6:coauthVersionMax="45" xr10:uidLastSave="{00000000-0000-0000-0000-000000000000}"/>
  <bookViews>
    <workbookView xWindow="3990" yWindow="915" windowWidth="17100" windowHeight="14055" firstSheet="4" activeTab="5" xr2:uid="{00000000-000D-0000-FFFF-FFFF00000000}"/>
  </bookViews>
  <sheets>
    <sheet name="Data 1997-2002" sheetId="1" r:id="rId1"/>
    <sheet name="Major_uses" sheetId="7" r:id="rId2"/>
    <sheet name="Industrial " sheetId="6" r:id="rId3"/>
    <sheet name="Sheet1 (2)" sheetId="4" r:id="rId4"/>
    <sheet name="Data 1997-2007_NOT USED" sheetId="8" r:id="rId5"/>
    <sheet name="Data 1987-2017" sheetId="13" r:id="rId6"/>
    <sheet name="Preliminary estimates - 2017" sheetId="20" r:id="rId7"/>
    <sheet name="Pivot_Table_2012" sheetId="19" r:id="rId8"/>
    <sheet name="Pivot table 2017 (prelim)" sheetId="21" r:id="rId9"/>
    <sheet name="Sector Table " sheetId="18" r:id="rId10"/>
    <sheet name="Sector_estimates" sheetId="14" r:id="rId11"/>
    <sheet name="Compute_intensities" sheetId="16" r:id="rId12"/>
    <sheet name="BEA&amp;BLS_Output_data" sheetId="15" r:id="rId13"/>
    <sheet name="NEA_Data" sheetId="17" r:id="rId14"/>
    <sheet name="Prices" sheetId="9" r:id="rId15"/>
    <sheet name="stb0709" sheetId="10" r:id="rId16"/>
    <sheet name="stb0608" sheetId="11" r:id="rId17"/>
    <sheet name="stb0523" sheetId="12" r:id="rId18"/>
    <sheet name="Conversion_Factors" sheetId="2"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calcPr calcId="191029"/>
  <pivotCaches>
    <pivotCache cacheId="0" r:id="rId3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O17" i="16" l="1"/>
  <c r="AP17" i="16"/>
  <c r="AO18" i="16"/>
  <c r="AP18" i="16"/>
  <c r="AO19" i="16"/>
  <c r="AP19" i="16"/>
  <c r="AO20" i="16"/>
  <c r="AP20" i="16"/>
  <c r="AO21" i="16"/>
  <c r="AP21" i="16"/>
  <c r="AO22" i="16"/>
  <c r="AP22" i="16"/>
  <c r="AO23" i="16"/>
  <c r="AP23" i="16"/>
  <c r="FZ20" i="16" l="1"/>
  <c r="FZ21" i="16"/>
  <c r="FZ22" i="16"/>
  <c r="FZ23" i="16"/>
  <c r="FZ24" i="16"/>
  <c r="FZ25" i="16"/>
  <c r="FZ26" i="16"/>
  <c r="FZ27" i="16"/>
  <c r="FZ28" i="16"/>
  <c r="FZ29" i="16"/>
  <c r="FZ30" i="16"/>
  <c r="FZ31" i="16"/>
  <c r="FZ32" i="16"/>
  <c r="FZ33" i="16"/>
  <c r="FZ34" i="16"/>
  <c r="FZ35" i="16"/>
  <c r="FZ36" i="16"/>
  <c r="FZ37" i="16"/>
  <c r="FZ38" i="16"/>
  <c r="FZ39" i="16"/>
  <c r="FZ40" i="16"/>
  <c r="FZ41" i="16"/>
  <c r="FZ42" i="16"/>
  <c r="FZ43" i="16"/>
  <c r="FZ44" i="16"/>
  <c r="FZ45" i="16"/>
  <c r="FZ46" i="16"/>
  <c r="FZ47" i="16"/>
  <c r="FZ48" i="16"/>
  <c r="FZ49" i="16"/>
  <c r="FZ50" i="16"/>
  <c r="FZ51" i="16"/>
  <c r="FZ52" i="16"/>
  <c r="FZ53" i="16"/>
  <c r="FZ54" i="16"/>
  <c r="FZ55" i="16"/>
  <c r="FZ56" i="16"/>
  <c r="FZ57" i="16"/>
  <c r="FZ58" i="16"/>
  <c r="FZ59" i="16"/>
  <c r="FZ60" i="16"/>
  <c r="FZ61" i="16"/>
  <c r="FZ62" i="16"/>
  <c r="FZ63" i="16"/>
  <c r="FZ64" i="16"/>
  <c r="FZ18" i="16"/>
  <c r="FZ19" i="16"/>
  <c r="FZ17" i="16"/>
  <c r="AT1" i="13" l="1"/>
  <c r="AI11" i="13"/>
  <c r="AM11" i="13"/>
  <c r="AI12" i="13"/>
  <c r="AI13" i="13"/>
  <c r="AM13" i="13"/>
  <c r="AI15" i="13"/>
  <c r="AM15" i="13"/>
  <c r="AI16" i="13"/>
  <c r="AM16" i="13"/>
  <c r="AI17" i="13"/>
  <c r="AM17" i="13"/>
  <c r="AI18" i="13"/>
  <c r="AM18" i="13"/>
  <c r="AI19" i="13"/>
  <c r="AM19" i="13"/>
  <c r="AI20" i="13"/>
  <c r="AM20" i="13"/>
  <c r="AI21" i="13"/>
  <c r="AM21" i="13"/>
  <c r="AM22" i="13"/>
  <c r="AI23" i="13"/>
  <c r="AF24" i="13"/>
  <c r="AM24" i="13" s="1"/>
  <c r="AI24" i="13"/>
  <c r="AI25" i="13"/>
  <c r="AM25" i="13"/>
  <c r="AI26" i="13"/>
  <c r="AI27" i="13"/>
  <c r="AI28" i="13"/>
  <c r="AI29" i="13"/>
  <c r="AM29" i="13"/>
  <c r="AI30" i="13"/>
  <c r="AF31" i="13"/>
  <c r="AM31" i="13" s="1"/>
  <c r="AI31" i="13"/>
  <c r="AI32" i="13"/>
  <c r="AI33" i="13"/>
  <c r="AI34" i="13"/>
  <c r="AI36" i="13"/>
  <c r="AI37" i="13"/>
  <c r="AI40" i="13"/>
  <c r="AI41" i="13"/>
  <c r="AI42" i="13"/>
  <c r="EX59" i="16" l="1"/>
  <c r="EX60" i="16"/>
  <c r="EX61" i="16" s="1"/>
  <c r="EX62" i="16" s="1"/>
  <c r="EX63" i="16" s="1"/>
  <c r="EX64" i="16" s="1"/>
  <c r="EY60" i="16"/>
  <c r="EY61" i="16"/>
  <c r="EY62" i="16"/>
  <c r="EY63" i="16"/>
  <c r="HL10" i="13"/>
  <c r="HL14" i="13"/>
  <c r="HD53" i="13"/>
  <c r="K13" i="14" s="1"/>
  <c r="HD7" i="13"/>
  <c r="HD45" i="13" s="1"/>
  <c r="K5" i="14" s="1"/>
  <c r="HD8" i="13"/>
  <c r="HD9" i="13"/>
  <c r="HD10" i="13"/>
  <c r="HD11" i="13"/>
  <c r="HD46" i="13" s="1"/>
  <c r="K6" i="14" s="1"/>
  <c r="HD12" i="13"/>
  <c r="HD13" i="13"/>
  <c r="HD15" i="13"/>
  <c r="HD16" i="13"/>
  <c r="HD17" i="13"/>
  <c r="HD20" i="13"/>
  <c r="HD21" i="13"/>
  <c r="HD23" i="13"/>
  <c r="HD24" i="13"/>
  <c r="HD25" i="13"/>
  <c r="HD26" i="13"/>
  <c r="HD27" i="13"/>
  <c r="HD28" i="13"/>
  <c r="HD29" i="13"/>
  <c r="HD30" i="13"/>
  <c r="HD31" i="13"/>
  <c r="HD32" i="13"/>
  <c r="HD33" i="13"/>
  <c r="HD49" i="13" s="1"/>
  <c r="K9" i="14" s="1"/>
  <c r="HD34" i="13"/>
  <c r="HD36" i="13"/>
  <c r="HD50" i="13" s="1"/>
  <c r="K10" i="14" s="1"/>
  <c r="HD37" i="13"/>
  <c r="HD51" i="13" s="1"/>
  <c r="K11" i="14" s="1"/>
  <c r="HD40" i="13"/>
  <c r="HD52" i="13" s="1"/>
  <c r="K12" i="14" s="1"/>
  <c r="HD41" i="13"/>
  <c r="HD42" i="13"/>
  <c r="HD54" i="13" s="1"/>
  <c r="K14" i="14" s="1"/>
  <c r="BC8" i="20"/>
  <c r="BC7" i="20"/>
  <c r="HD48" i="13" l="1"/>
  <c r="K8" i="14" s="1"/>
  <c r="AH5" i="20" l="1"/>
  <c r="AH7" i="20"/>
  <c r="AH32" i="20"/>
  <c r="AD40" i="20"/>
  <c r="AT5" i="20"/>
  <c r="AZ28" i="20" l="1"/>
  <c r="BA28" i="20"/>
  <c r="BB28" i="20"/>
  <c r="AO6" i="20"/>
  <c r="AO8" i="20"/>
  <c r="AO9" i="20"/>
  <c r="AO10" i="20"/>
  <c r="AO12" i="20"/>
  <c r="AO13" i="20"/>
  <c r="AO14" i="20"/>
  <c r="AO15" i="20"/>
  <c r="AO16" i="20"/>
  <c r="AO17" i="20"/>
  <c r="AO18" i="20"/>
  <c r="AO20" i="20"/>
  <c r="AO21" i="20"/>
  <c r="AO22" i="20"/>
  <c r="AO23" i="20"/>
  <c r="AO24" i="20"/>
  <c r="AO25" i="20"/>
  <c r="AO26" i="20"/>
  <c r="AO27" i="20"/>
  <c r="AO28" i="20"/>
  <c r="AO29" i="20"/>
  <c r="AO30" i="20"/>
  <c r="AO31" i="20"/>
  <c r="AO33" i="20"/>
  <c r="AO34" i="20"/>
  <c r="AO35" i="20"/>
  <c r="AO36" i="20"/>
  <c r="AO37" i="20"/>
  <c r="AO4" i="20"/>
  <c r="AP4" i="20"/>
  <c r="AQ4" i="20"/>
  <c r="AI4" i="20" s="1"/>
  <c r="AR4" i="20"/>
  <c r="AT4" i="20" s="1"/>
  <c r="AP6" i="20"/>
  <c r="AQ6" i="20"/>
  <c r="AI6" i="20" s="1"/>
  <c r="AR6" i="20"/>
  <c r="AT6" i="20" s="1"/>
  <c r="AP8" i="20"/>
  <c r="AQ8" i="20"/>
  <c r="AI8" i="20" s="1"/>
  <c r="AR8" i="20"/>
  <c r="AT8" i="20" s="1"/>
  <c r="AP9" i="20"/>
  <c r="AQ9" i="20"/>
  <c r="AI9" i="20" s="1"/>
  <c r="AR9" i="20"/>
  <c r="AT9" i="20" s="1"/>
  <c r="AP10" i="20"/>
  <c r="AQ10" i="20"/>
  <c r="AI10" i="20" s="1"/>
  <c r="AR10" i="20"/>
  <c r="AT10" i="20" s="1"/>
  <c r="AP12" i="20"/>
  <c r="AQ12" i="20"/>
  <c r="AI12" i="20" s="1"/>
  <c r="AJ12" i="20" s="1"/>
  <c r="AR12" i="20"/>
  <c r="AT12" i="20" s="1"/>
  <c r="AP13" i="20"/>
  <c r="AQ13" i="20"/>
  <c r="AR13" i="20"/>
  <c r="AT13" i="20" s="1"/>
  <c r="AP14" i="20"/>
  <c r="AQ14" i="20"/>
  <c r="AR14" i="20"/>
  <c r="AT14" i="20" s="1"/>
  <c r="AP15" i="20"/>
  <c r="AQ15" i="20"/>
  <c r="AR15" i="20"/>
  <c r="AP17" i="20"/>
  <c r="AQ17" i="20"/>
  <c r="AI17" i="20" s="1"/>
  <c r="AR17" i="20"/>
  <c r="AT17" i="20" s="1"/>
  <c r="AP18" i="20"/>
  <c r="AQ18" i="20"/>
  <c r="AI18" i="20" s="1"/>
  <c r="AR18" i="20"/>
  <c r="AT18" i="20" s="1"/>
  <c r="AP20" i="20"/>
  <c r="AQ20" i="20"/>
  <c r="AI20" i="20" s="1"/>
  <c r="AR20" i="20"/>
  <c r="AT20" i="20" s="1"/>
  <c r="AP21" i="20"/>
  <c r="AQ21" i="20"/>
  <c r="AI21" i="20" s="1"/>
  <c r="AR21" i="20"/>
  <c r="AT21" i="20" s="1"/>
  <c r="AP22" i="20"/>
  <c r="AQ22" i="20"/>
  <c r="AI22" i="20" s="1"/>
  <c r="AR22" i="20"/>
  <c r="AT22" i="20" s="1"/>
  <c r="AP23" i="20"/>
  <c r="AQ23" i="20"/>
  <c r="AI23" i="20" s="1"/>
  <c r="AR23" i="20"/>
  <c r="AT23" i="20" s="1"/>
  <c r="AP24" i="20"/>
  <c r="AQ24" i="20"/>
  <c r="AI24" i="20" s="1"/>
  <c r="AR24" i="20"/>
  <c r="AT24" i="20" s="1"/>
  <c r="AP25" i="20"/>
  <c r="AQ25" i="20"/>
  <c r="AI25" i="20" s="1"/>
  <c r="AR25" i="20"/>
  <c r="AT25" i="20" s="1"/>
  <c r="AP26" i="20"/>
  <c r="AQ26" i="20"/>
  <c r="AI26" i="20" s="1"/>
  <c r="AR26" i="20"/>
  <c r="AT26" i="20" s="1"/>
  <c r="AP27" i="20"/>
  <c r="AQ27" i="20"/>
  <c r="AI27" i="20" s="1"/>
  <c r="AR27" i="20"/>
  <c r="AT27" i="20" s="1"/>
  <c r="AP28" i="20"/>
  <c r="AQ28" i="20"/>
  <c r="BA29" i="20" s="1"/>
  <c r="AR28" i="20"/>
  <c r="AP29" i="20"/>
  <c r="AQ29" i="20"/>
  <c r="AR29" i="20"/>
  <c r="AT29" i="20" s="1"/>
  <c r="AP30" i="20"/>
  <c r="AQ30" i="20"/>
  <c r="AR30" i="20"/>
  <c r="AT30" i="20" s="1"/>
  <c r="AP31" i="20"/>
  <c r="AQ31" i="20"/>
  <c r="BA30" i="20" s="1"/>
  <c r="AR31" i="20"/>
  <c r="AP33" i="20"/>
  <c r="AQ33" i="20"/>
  <c r="AI33" i="20" s="1"/>
  <c r="AR33" i="20"/>
  <c r="AT33" i="20" s="1"/>
  <c r="AP34" i="20"/>
  <c r="AQ34" i="20"/>
  <c r="AI34" i="20" s="1"/>
  <c r="AR34" i="20"/>
  <c r="AT34" i="20" s="1"/>
  <c r="AP35" i="20"/>
  <c r="AQ35" i="20"/>
  <c r="AI35" i="20" s="1"/>
  <c r="AR35" i="20"/>
  <c r="AT35" i="20" s="1"/>
  <c r="AP36" i="20"/>
  <c r="AQ36" i="20"/>
  <c r="AI36" i="20" s="1"/>
  <c r="AR36" i="20"/>
  <c r="AT36" i="20" s="1"/>
  <c r="AP37" i="20"/>
  <c r="AQ37" i="20"/>
  <c r="AI37" i="20" s="1"/>
  <c r="AR37" i="20"/>
  <c r="AT37" i="20" s="1"/>
  <c r="S5" i="20"/>
  <c r="S6" i="20"/>
  <c r="S7" i="20"/>
  <c r="S11" i="20"/>
  <c r="S19" i="20"/>
  <c r="S32" i="20"/>
  <c r="R5" i="20"/>
  <c r="R6" i="20"/>
  <c r="R7" i="20"/>
  <c r="R11" i="20"/>
  <c r="R19" i="20"/>
  <c r="R32" i="20"/>
  <c r="Q5" i="20"/>
  <c r="Q6" i="20"/>
  <c r="Q7" i="20"/>
  <c r="Q11" i="20"/>
  <c r="Q19" i="20"/>
  <c r="Q32" i="20"/>
  <c r="P5" i="20"/>
  <c r="P6" i="20"/>
  <c r="Z6" i="20" s="1"/>
  <c r="P7" i="20"/>
  <c r="P11" i="20"/>
  <c r="P19" i="20"/>
  <c r="P32" i="20"/>
  <c r="O4" i="20"/>
  <c r="O5" i="20"/>
  <c r="O6" i="20"/>
  <c r="O7" i="20"/>
  <c r="O11" i="20"/>
  <c r="O19" i="20"/>
  <c r="O32" i="20"/>
  <c r="W4" i="20"/>
  <c r="V5" i="20"/>
  <c r="W5" i="20"/>
  <c r="W6" i="20"/>
  <c r="V7" i="20"/>
  <c r="W7" i="20"/>
  <c r="V11" i="20"/>
  <c r="W11" i="20"/>
  <c r="V19" i="20"/>
  <c r="W19" i="20"/>
  <c r="V32" i="20"/>
  <c r="W32" i="20"/>
  <c r="F5" i="20"/>
  <c r="G5" i="20"/>
  <c r="H5" i="20"/>
  <c r="I5" i="20"/>
  <c r="J5" i="20"/>
  <c r="K5" i="20"/>
  <c r="L5" i="20"/>
  <c r="M5" i="20"/>
  <c r="F7" i="20"/>
  <c r="G7" i="20"/>
  <c r="H7" i="20"/>
  <c r="I7" i="20"/>
  <c r="J7" i="20"/>
  <c r="K7" i="20"/>
  <c r="L7" i="20"/>
  <c r="M7" i="20"/>
  <c r="F11" i="20"/>
  <c r="G11" i="20"/>
  <c r="H11" i="20"/>
  <c r="I11" i="20"/>
  <c r="J11" i="20"/>
  <c r="K11" i="20"/>
  <c r="L11" i="20"/>
  <c r="M11" i="20"/>
  <c r="F17" i="20"/>
  <c r="M17" i="20"/>
  <c r="F19" i="20"/>
  <c r="G19" i="20"/>
  <c r="H19" i="20"/>
  <c r="I19" i="20"/>
  <c r="J19" i="20"/>
  <c r="K19" i="20"/>
  <c r="L19" i="20"/>
  <c r="M19" i="20"/>
  <c r="F32" i="20"/>
  <c r="G32" i="20"/>
  <c r="H32" i="20"/>
  <c r="I32" i="20"/>
  <c r="J32" i="20"/>
  <c r="K32" i="20"/>
  <c r="L32" i="20"/>
  <c r="M32" i="20"/>
  <c r="BB29" i="20" l="1"/>
  <c r="AT28" i="20"/>
  <c r="BB30" i="20"/>
  <c r="AT31" i="20"/>
  <c r="AI28" i="20"/>
  <c r="AI31" i="20"/>
  <c r="BB31" i="20"/>
  <c r="BA31" i="20"/>
  <c r="U7" i="20"/>
  <c r="U19" i="20"/>
  <c r="U5" i="20"/>
  <c r="U32" i="20"/>
  <c r="U11" i="20"/>
  <c r="U6" i="20"/>
  <c r="O40" i="9"/>
  <c r="M28" i="9"/>
  <c r="BE4" i="20" s="1"/>
  <c r="O28" i="9"/>
  <c r="E28" i="9"/>
  <c r="BB4" i="20" s="1"/>
  <c r="P14" i="9"/>
  <c r="O14" i="9"/>
  <c r="M14" i="9"/>
  <c r="N14" i="9" s="1"/>
  <c r="K14" i="9"/>
  <c r="L14" i="9" s="1"/>
  <c r="I14" i="9"/>
  <c r="I28" i="9" s="1"/>
  <c r="E14" i="9"/>
  <c r="F14" i="9" s="1"/>
  <c r="M13" i="9"/>
  <c r="K13" i="9"/>
  <c r="I13" i="9"/>
  <c r="E13" i="9"/>
  <c r="BC4" i="20" l="1"/>
  <c r="I40" i="9"/>
  <c r="J14" i="9"/>
  <c r="K28" i="9"/>
  <c r="E40" i="9"/>
  <c r="M40" i="9"/>
  <c r="BM8" i="8"/>
  <c r="BN8" i="8"/>
  <c r="BM10" i="8"/>
  <c r="BN10" i="8"/>
  <c r="BM14" i="8"/>
  <c r="BN14" i="8"/>
  <c r="BM22" i="8"/>
  <c r="BN22" i="8"/>
  <c r="BM35" i="8"/>
  <c r="BN35" i="8"/>
  <c r="BC8" i="8"/>
  <c r="BD8" i="8"/>
  <c r="BC10" i="8"/>
  <c r="BD10" i="8"/>
  <c r="BC14" i="8"/>
  <c r="BD14" i="8"/>
  <c r="BC22" i="8"/>
  <c r="BD22" i="8"/>
  <c r="BC35" i="8"/>
  <c r="BD35" i="8"/>
  <c r="AR8" i="8"/>
  <c r="AS8" i="8"/>
  <c r="AR10" i="8"/>
  <c r="AS10" i="8"/>
  <c r="AR14" i="8"/>
  <c r="AS14" i="8"/>
  <c r="AR22" i="8"/>
  <c r="AS22" i="8"/>
  <c r="AR35" i="8"/>
  <c r="AS35" i="8"/>
  <c r="AH8" i="8"/>
  <c r="AI8" i="8"/>
  <c r="AH10" i="8"/>
  <c r="AI10" i="8"/>
  <c r="AH14" i="8"/>
  <c r="AI14" i="8"/>
  <c r="AH22" i="8"/>
  <c r="AI22" i="8"/>
  <c r="AH35" i="8"/>
  <c r="AI35" i="8"/>
  <c r="X8" i="8"/>
  <c r="Y8" i="8"/>
  <c r="X10" i="8"/>
  <c r="Y10" i="8"/>
  <c r="X14" i="8"/>
  <c r="Y14" i="8"/>
  <c r="X22" i="8"/>
  <c r="Y22" i="8"/>
  <c r="X35" i="8"/>
  <c r="Y35" i="8"/>
  <c r="CN8" i="8"/>
  <c r="CN10" i="8"/>
  <c r="CN14" i="8"/>
  <c r="CN22" i="8"/>
  <c r="CN35" i="8"/>
  <c r="EX12" i="8"/>
  <c r="EX5" i="8"/>
  <c r="EY5" i="8"/>
  <c r="EZ5" i="8"/>
  <c r="FA5" i="8"/>
  <c r="FB5" i="8"/>
  <c r="FC5" i="8"/>
  <c r="FD5" i="8"/>
  <c r="FE5" i="8"/>
  <c r="FF5" i="8"/>
  <c r="FG5" i="8"/>
  <c r="FH5" i="8"/>
  <c r="FI5" i="8"/>
  <c r="FJ5" i="8"/>
  <c r="FK5" i="8"/>
  <c r="FL5" i="8"/>
  <c r="FM5" i="8"/>
  <c r="FN5" i="8"/>
  <c r="FO5" i="8"/>
  <c r="FP5" i="8"/>
  <c r="EX6" i="8"/>
  <c r="EY6" i="8"/>
  <c r="X6" i="8" s="1"/>
  <c r="EZ6" i="8"/>
  <c r="Y6" i="8" s="1"/>
  <c r="FA6" i="8"/>
  <c r="AH6" i="8" s="1"/>
  <c r="FB6" i="8"/>
  <c r="AI6" i="8" s="1"/>
  <c r="FC6" i="8"/>
  <c r="BC6" i="8" s="1"/>
  <c r="FD6" i="8"/>
  <c r="BD6" i="8" s="1"/>
  <c r="FE6" i="8"/>
  <c r="BM6" i="8" s="1"/>
  <c r="FF6" i="8"/>
  <c r="BN6" i="8" s="1"/>
  <c r="FG6" i="8"/>
  <c r="FH6" i="8"/>
  <c r="FI6" i="8"/>
  <c r="AR6" i="8" s="1"/>
  <c r="FJ6" i="8"/>
  <c r="AS6" i="8" s="1"/>
  <c r="FK6" i="8"/>
  <c r="FL6" i="8"/>
  <c r="FM6" i="8"/>
  <c r="FN6" i="8"/>
  <c r="FO6" i="8"/>
  <c r="FP6" i="8"/>
  <c r="EX7" i="8"/>
  <c r="EY7" i="8"/>
  <c r="X7" i="8" s="1"/>
  <c r="EZ7" i="8"/>
  <c r="Y7" i="8" s="1"/>
  <c r="FA7" i="8"/>
  <c r="AH7" i="8" s="1"/>
  <c r="FB7" i="8"/>
  <c r="AI7" i="8" s="1"/>
  <c r="FC7" i="8"/>
  <c r="BC7" i="8" s="1"/>
  <c r="FD7" i="8"/>
  <c r="BD7" i="8" s="1"/>
  <c r="FE7" i="8"/>
  <c r="BM7" i="8" s="1"/>
  <c r="FF7" i="8"/>
  <c r="BN7" i="8" s="1"/>
  <c r="FG7" i="8"/>
  <c r="FH7" i="8"/>
  <c r="FI7" i="8"/>
  <c r="AR7" i="8" s="1"/>
  <c r="FJ7" i="8"/>
  <c r="AS7" i="8" s="1"/>
  <c r="FK7" i="8"/>
  <c r="FL7" i="8"/>
  <c r="FM7" i="8"/>
  <c r="FN7" i="8"/>
  <c r="FO7" i="8"/>
  <c r="FP7" i="8"/>
  <c r="EX9" i="8"/>
  <c r="EY9" i="8"/>
  <c r="X9" i="8" s="1"/>
  <c r="EZ9" i="8"/>
  <c r="Y9" i="8" s="1"/>
  <c r="FA9" i="8"/>
  <c r="AH9" i="8" s="1"/>
  <c r="FB9" i="8"/>
  <c r="AI9" i="8" s="1"/>
  <c r="FC9" i="8"/>
  <c r="BC9" i="8" s="1"/>
  <c r="FD9" i="8"/>
  <c r="BD9" i="8" s="1"/>
  <c r="FE9" i="8"/>
  <c r="BM9" i="8" s="1"/>
  <c r="FF9" i="8"/>
  <c r="BN9" i="8" s="1"/>
  <c r="FG9" i="8"/>
  <c r="FH9" i="8"/>
  <c r="FI9" i="8"/>
  <c r="AR9" i="8" s="1"/>
  <c r="FJ9" i="8"/>
  <c r="AS9" i="8" s="1"/>
  <c r="FK9" i="8"/>
  <c r="FL9" i="8"/>
  <c r="FM9" i="8"/>
  <c r="FN9" i="8"/>
  <c r="FO9" i="8"/>
  <c r="FP9" i="8"/>
  <c r="EX11" i="8"/>
  <c r="EY11" i="8"/>
  <c r="X11" i="8" s="1"/>
  <c r="EZ11" i="8"/>
  <c r="Y11" i="8" s="1"/>
  <c r="FA11" i="8"/>
  <c r="AH11" i="8" s="1"/>
  <c r="FB11" i="8"/>
  <c r="AI11" i="8" s="1"/>
  <c r="FC11" i="8"/>
  <c r="BC11" i="8" s="1"/>
  <c r="FD11" i="8"/>
  <c r="BD11" i="8" s="1"/>
  <c r="FE11" i="8"/>
  <c r="BM11" i="8" s="1"/>
  <c r="FF11" i="8"/>
  <c r="BN11" i="8" s="1"/>
  <c r="FG11" i="8"/>
  <c r="FH11" i="8"/>
  <c r="FI11" i="8"/>
  <c r="AR11" i="8" s="1"/>
  <c r="FJ11" i="8"/>
  <c r="AS11" i="8" s="1"/>
  <c r="FK11" i="8"/>
  <c r="FL11" i="8"/>
  <c r="FM11" i="8"/>
  <c r="FN11" i="8"/>
  <c r="FO11" i="8"/>
  <c r="FP11" i="8"/>
  <c r="EY12" i="8"/>
  <c r="X12" i="8" s="1"/>
  <c r="EZ12" i="8"/>
  <c r="Y12" i="8" s="1"/>
  <c r="FA12" i="8"/>
  <c r="AH12" i="8" s="1"/>
  <c r="FB12" i="8"/>
  <c r="AI12" i="8" s="1"/>
  <c r="FC12" i="8"/>
  <c r="BC12" i="8" s="1"/>
  <c r="FD12" i="8"/>
  <c r="BD12" i="8" s="1"/>
  <c r="FE12" i="8"/>
  <c r="BM12" i="8" s="1"/>
  <c r="FF12" i="8"/>
  <c r="BN12" i="8" s="1"/>
  <c r="FG12" i="8"/>
  <c r="FH12" i="8"/>
  <c r="FI12" i="8"/>
  <c r="AR12" i="8" s="1"/>
  <c r="FJ12" i="8"/>
  <c r="AS12" i="8" s="1"/>
  <c r="FK12" i="8"/>
  <c r="FL12" i="8"/>
  <c r="FM12" i="8"/>
  <c r="FN12" i="8"/>
  <c r="FO12" i="8"/>
  <c r="FP12" i="8"/>
  <c r="EX13" i="8"/>
  <c r="EY13" i="8"/>
  <c r="X13" i="8" s="1"/>
  <c r="EZ13" i="8"/>
  <c r="Y13" i="8" s="1"/>
  <c r="FA13" i="8"/>
  <c r="AH13" i="8" s="1"/>
  <c r="FB13" i="8"/>
  <c r="AI13" i="8" s="1"/>
  <c r="FC13" i="8"/>
  <c r="BC13" i="8" s="1"/>
  <c r="FD13" i="8"/>
  <c r="BD13" i="8" s="1"/>
  <c r="FE13" i="8"/>
  <c r="BM13" i="8" s="1"/>
  <c r="FF13" i="8"/>
  <c r="BN13" i="8" s="1"/>
  <c r="FG13" i="8"/>
  <c r="FH13" i="8"/>
  <c r="FI13" i="8"/>
  <c r="AR13" i="8" s="1"/>
  <c r="FJ13" i="8"/>
  <c r="AS13" i="8" s="1"/>
  <c r="FK13" i="8"/>
  <c r="FL13" i="8"/>
  <c r="FM13" i="8"/>
  <c r="FN13" i="8"/>
  <c r="FO13" i="8"/>
  <c r="FP13" i="8"/>
  <c r="EX15" i="8"/>
  <c r="EY15" i="8"/>
  <c r="X15" i="8" s="1"/>
  <c r="EZ15" i="8"/>
  <c r="Y15" i="8" s="1"/>
  <c r="FA15" i="8"/>
  <c r="AH15" i="8" s="1"/>
  <c r="FB15" i="8"/>
  <c r="AI15" i="8" s="1"/>
  <c r="FC15" i="8"/>
  <c r="BC15" i="8" s="1"/>
  <c r="FD15" i="8"/>
  <c r="BD15" i="8" s="1"/>
  <c r="FE15" i="8"/>
  <c r="BM15" i="8" s="1"/>
  <c r="FF15" i="8"/>
  <c r="BN15" i="8" s="1"/>
  <c r="FG15" i="8"/>
  <c r="FH15" i="8"/>
  <c r="FI15" i="8"/>
  <c r="AR15" i="8" s="1"/>
  <c r="FJ15" i="8"/>
  <c r="AS15" i="8" s="1"/>
  <c r="FK15" i="8"/>
  <c r="CN15" i="8" s="1"/>
  <c r="FL15" i="8"/>
  <c r="FM15" i="8"/>
  <c r="FN15" i="8"/>
  <c r="FO15" i="8"/>
  <c r="FP15" i="8"/>
  <c r="EX16" i="8"/>
  <c r="EY16" i="8"/>
  <c r="X16" i="8" s="1"/>
  <c r="EZ16" i="8"/>
  <c r="Y16" i="8" s="1"/>
  <c r="FA16" i="8"/>
  <c r="AH16" i="8" s="1"/>
  <c r="FB16" i="8"/>
  <c r="AI16" i="8" s="1"/>
  <c r="FC16" i="8"/>
  <c r="BC16" i="8" s="1"/>
  <c r="FD16" i="8"/>
  <c r="BD16" i="8" s="1"/>
  <c r="FE16" i="8"/>
  <c r="BM16" i="8" s="1"/>
  <c r="FF16" i="8"/>
  <c r="BN16" i="8" s="1"/>
  <c r="FG16" i="8"/>
  <c r="FH16" i="8"/>
  <c r="FI16" i="8"/>
  <c r="AR16" i="8" s="1"/>
  <c r="FJ16" i="8"/>
  <c r="AS16" i="8" s="1"/>
  <c r="FK16" i="8"/>
  <c r="FL16" i="8"/>
  <c r="FM16" i="8"/>
  <c r="FN16" i="8"/>
  <c r="FO16" i="8"/>
  <c r="FP16" i="8"/>
  <c r="EX17" i="8"/>
  <c r="EY17" i="8"/>
  <c r="X17" i="8" s="1"/>
  <c r="EZ17" i="8"/>
  <c r="Y17" i="8" s="1"/>
  <c r="FA17" i="8"/>
  <c r="AH17" i="8" s="1"/>
  <c r="FB17" i="8"/>
  <c r="AI17" i="8" s="1"/>
  <c r="FC17" i="8"/>
  <c r="BC17" i="8" s="1"/>
  <c r="FD17" i="8"/>
  <c r="BD17" i="8" s="1"/>
  <c r="FE17" i="8"/>
  <c r="BM17" i="8" s="1"/>
  <c r="FF17" i="8"/>
  <c r="BN17" i="8" s="1"/>
  <c r="FG17" i="8"/>
  <c r="FH17" i="8"/>
  <c r="FI17" i="8"/>
  <c r="AR17" i="8" s="1"/>
  <c r="FJ17" i="8"/>
  <c r="AS17" i="8" s="1"/>
  <c r="FK17" i="8"/>
  <c r="FL17" i="8"/>
  <c r="FM17" i="8"/>
  <c r="FN17" i="8"/>
  <c r="FO17" i="8"/>
  <c r="FP17" i="8"/>
  <c r="EX18" i="8"/>
  <c r="EY18" i="8"/>
  <c r="X18" i="8" s="1"/>
  <c r="EZ18" i="8"/>
  <c r="Y18" i="8" s="1"/>
  <c r="FA18" i="8"/>
  <c r="AH18" i="8" s="1"/>
  <c r="FB18" i="8"/>
  <c r="AI18" i="8" s="1"/>
  <c r="FC18" i="8"/>
  <c r="BC18" i="8" s="1"/>
  <c r="FD18" i="8"/>
  <c r="BD18" i="8" s="1"/>
  <c r="FE18" i="8"/>
  <c r="BM18" i="8" s="1"/>
  <c r="FF18" i="8"/>
  <c r="BN18" i="8" s="1"/>
  <c r="FG18" i="8"/>
  <c r="FH18" i="8"/>
  <c r="FI18" i="8"/>
  <c r="AR18" i="8" s="1"/>
  <c r="FJ18" i="8"/>
  <c r="AS18" i="8" s="1"/>
  <c r="FK18" i="8"/>
  <c r="FL18" i="8"/>
  <c r="FM18" i="8"/>
  <c r="FN18" i="8"/>
  <c r="FO18" i="8"/>
  <c r="FP18" i="8"/>
  <c r="EX19" i="8"/>
  <c r="EY19" i="8"/>
  <c r="X19" i="8" s="1"/>
  <c r="EZ19" i="8"/>
  <c r="Y19" i="8" s="1"/>
  <c r="FA19" i="8"/>
  <c r="AH19" i="8" s="1"/>
  <c r="FB19" i="8"/>
  <c r="AI19" i="8" s="1"/>
  <c r="FC19" i="8"/>
  <c r="BC19" i="8" s="1"/>
  <c r="FD19" i="8"/>
  <c r="BD19" i="8" s="1"/>
  <c r="FE19" i="8"/>
  <c r="BM19" i="8" s="1"/>
  <c r="FF19" i="8"/>
  <c r="BN19" i="8" s="1"/>
  <c r="FG19" i="8"/>
  <c r="FH19" i="8"/>
  <c r="FI19" i="8"/>
  <c r="AR19" i="8" s="1"/>
  <c r="FJ19" i="8"/>
  <c r="AS19" i="8" s="1"/>
  <c r="FK19" i="8"/>
  <c r="FL19" i="8"/>
  <c r="FM19" i="8"/>
  <c r="FN19" i="8"/>
  <c r="FO19" i="8"/>
  <c r="FP19" i="8"/>
  <c r="EX20" i="8"/>
  <c r="EY20" i="8"/>
  <c r="X20" i="8" s="1"/>
  <c r="EZ20" i="8"/>
  <c r="Y20" i="8" s="1"/>
  <c r="FA20" i="8"/>
  <c r="AH20" i="8" s="1"/>
  <c r="FB20" i="8"/>
  <c r="AI20" i="8" s="1"/>
  <c r="FC20" i="8"/>
  <c r="BC20" i="8" s="1"/>
  <c r="FD20" i="8"/>
  <c r="BD20" i="8" s="1"/>
  <c r="FE20" i="8"/>
  <c r="BM20" i="8" s="1"/>
  <c r="FF20" i="8"/>
  <c r="BN20" i="8" s="1"/>
  <c r="FG20" i="8"/>
  <c r="FH20" i="8"/>
  <c r="FI20" i="8"/>
  <c r="AR20" i="8" s="1"/>
  <c r="FJ20" i="8"/>
  <c r="AS20" i="8" s="1"/>
  <c r="FK20" i="8"/>
  <c r="CN20" i="8" s="1"/>
  <c r="FL20" i="8"/>
  <c r="FM20" i="8"/>
  <c r="FN20" i="8"/>
  <c r="FO20" i="8"/>
  <c r="FP20" i="8"/>
  <c r="EX21" i="8"/>
  <c r="EY21" i="8"/>
  <c r="X21" i="8" s="1"/>
  <c r="EZ21" i="8"/>
  <c r="Y21" i="8" s="1"/>
  <c r="FA21" i="8"/>
  <c r="AH21" i="8" s="1"/>
  <c r="FB21" i="8"/>
  <c r="AI21" i="8" s="1"/>
  <c r="FC21" i="8"/>
  <c r="BC21" i="8" s="1"/>
  <c r="FD21" i="8"/>
  <c r="BD21" i="8" s="1"/>
  <c r="FE21" i="8"/>
  <c r="BM21" i="8" s="1"/>
  <c r="FF21" i="8"/>
  <c r="BN21" i="8" s="1"/>
  <c r="FG21" i="8"/>
  <c r="FH21" i="8"/>
  <c r="FI21" i="8"/>
  <c r="AR21" i="8" s="1"/>
  <c r="FJ21" i="8"/>
  <c r="AS21" i="8" s="1"/>
  <c r="FK21" i="8"/>
  <c r="CN21" i="8" s="1"/>
  <c r="FL21" i="8"/>
  <c r="FM21" i="8"/>
  <c r="FN21" i="8"/>
  <c r="FO21" i="8"/>
  <c r="FP21" i="8"/>
  <c r="EX23" i="8"/>
  <c r="EY23" i="8"/>
  <c r="X23" i="8" s="1"/>
  <c r="EZ23" i="8"/>
  <c r="Y23" i="8" s="1"/>
  <c r="FA23" i="8"/>
  <c r="AH23" i="8" s="1"/>
  <c r="FB23" i="8"/>
  <c r="AI23" i="8" s="1"/>
  <c r="FC23" i="8"/>
  <c r="BC23" i="8" s="1"/>
  <c r="FD23" i="8"/>
  <c r="BD23" i="8" s="1"/>
  <c r="FE23" i="8"/>
  <c r="BM23" i="8" s="1"/>
  <c r="FF23" i="8"/>
  <c r="BN23" i="8" s="1"/>
  <c r="FG23" i="8"/>
  <c r="FH23" i="8"/>
  <c r="FI23" i="8"/>
  <c r="AR23" i="8" s="1"/>
  <c r="FJ23" i="8"/>
  <c r="AS23" i="8" s="1"/>
  <c r="FK23" i="8"/>
  <c r="FL23" i="8"/>
  <c r="FM23" i="8"/>
  <c r="FN23" i="8"/>
  <c r="FO23" i="8"/>
  <c r="FP23" i="8"/>
  <c r="EX24" i="8"/>
  <c r="EY24" i="8"/>
  <c r="X24" i="8" s="1"/>
  <c r="EZ24" i="8"/>
  <c r="Y24" i="8" s="1"/>
  <c r="FA24" i="8"/>
  <c r="AH24" i="8" s="1"/>
  <c r="FB24" i="8"/>
  <c r="AI24" i="8" s="1"/>
  <c r="FC24" i="8"/>
  <c r="BC24" i="8" s="1"/>
  <c r="FD24" i="8"/>
  <c r="BD24" i="8" s="1"/>
  <c r="FE24" i="8"/>
  <c r="BM24" i="8" s="1"/>
  <c r="FF24" i="8"/>
  <c r="BN24" i="8" s="1"/>
  <c r="FG24" i="8"/>
  <c r="FH24" i="8"/>
  <c r="FI24" i="8"/>
  <c r="AR24" i="8" s="1"/>
  <c r="FJ24" i="8"/>
  <c r="AS24" i="8" s="1"/>
  <c r="FK24" i="8"/>
  <c r="FL24" i="8"/>
  <c r="FM24" i="8"/>
  <c r="FN24" i="8"/>
  <c r="FO24" i="8"/>
  <c r="FP24" i="8"/>
  <c r="EX25" i="8"/>
  <c r="EY25" i="8"/>
  <c r="X25" i="8" s="1"/>
  <c r="EZ25" i="8"/>
  <c r="Y25" i="8" s="1"/>
  <c r="FA25" i="8"/>
  <c r="AH25" i="8" s="1"/>
  <c r="FB25" i="8"/>
  <c r="AI25" i="8" s="1"/>
  <c r="FC25" i="8"/>
  <c r="BC25" i="8" s="1"/>
  <c r="FD25" i="8"/>
  <c r="BD25" i="8" s="1"/>
  <c r="FE25" i="8"/>
  <c r="BM25" i="8" s="1"/>
  <c r="FF25" i="8"/>
  <c r="BN25" i="8" s="1"/>
  <c r="FG25" i="8"/>
  <c r="FH25" i="8"/>
  <c r="FI25" i="8"/>
  <c r="AR25" i="8" s="1"/>
  <c r="FJ25" i="8"/>
  <c r="AS25" i="8" s="1"/>
  <c r="FK25" i="8"/>
  <c r="FL25" i="8"/>
  <c r="FM25" i="8"/>
  <c r="FN25" i="8"/>
  <c r="FO25" i="8"/>
  <c r="FP25" i="8"/>
  <c r="EX26" i="8"/>
  <c r="EY26" i="8"/>
  <c r="X26" i="8" s="1"/>
  <c r="EZ26" i="8"/>
  <c r="Y26" i="8" s="1"/>
  <c r="FA26" i="8"/>
  <c r="AH26" i="8" s="1"/>
  <c r="FB26" i="8"/>
  <c r="AI26" i="8" s="1"/>
  <c r="FC26" i="8"/>
  <c r="BC26" i="8" s="1"/>
  <c r="FD26" i="8"/>
  <c r="BD26" i="8" s="1"/>
  <c r="FE26" i="8"/>
  <c r="BM26" i="8" s="1"/>
  <c r="FF26" i="8"/>
  <c r="BN26" i="8" s="1"/>
  <c r="FG26" i="8"/>
  <c r="FH26" i="8"/>
  <c r="FI26" i="8"/>
  <c r="AR26" i="8" s="1"/>
  <c r="FJ26" i="8"/>
  <c r="AS26" i="8" s="1"/>
  <c r="FK26" i="8"/>
  <c r="FL26" i="8"/>
  <c r="FM26" i="8"/>
  <c r="FN26" i="8"/>
  <c r="FO26" i="8"/>
  <c r="FP26" i="8"/>
  <c r="EX27" i="8"/>
  <c r="EY27" i="8"/>
  <c r="X27" i="8" s="1"/>
  <c r="EZ27" i="8"/>
  <c r="Y27" i="8" s="1"/>
  <c r="FA27" i="8"/>
  <c r="AH27" i="8" s="1"/>
  <c r="FB27" i="8"/>
  <c r="AI27" i="8" s="1"/>
  <c r="FC27" i="8"/>
  <c r="BC27" i="8" s="1"/>
  <c r="FD27" i="8"/>
  <c r="BD27" i="8" s="1"/>
  <c r="FE27" i="8"/>
  <c r="BM27" i="8" s="1"/>
  <c r="FF27" i="8"/>
  <c r="BN27" i="8" s="1"/>
  <c r="FG27" i="8"/>
  <c r="FH27" i="8"/>
  <c r="FI27" i="8"/>
  <c r="AR27" i="8" s="1"/>
  <c r="FJ27" i="8"/>
  <c r="AS27" i="8" s="1"/>
  <c r="FK27" i="8"/>
  <c r="FL27" i="8"/>
  <c r="FM27" i="8"/>
  <c r="FN27" i="8"/>
  <c r="FO27" i="8"/>
  <c r="FP27" i="8"/>
  <c r="EX28" i="8"/>
  <c r="EY28" i="8"/>
  <c r="X28" i="8" s="1"/>
  <c r="EZ28" i="8"/>
  <c r="Y28" i="8" s="1"/>
  <c r="FA28" i="8"/>
  <c r="AH28" i="8" s="1"/>
  <c r="FB28" i="8"/>
  <c r="AI28" i="8" s="1"/>
  <c r="FC28" i="8"/>
  <c r="BC28" i="8" s="1"/>
  <c r="FD28" i="8"/>
  <c r="BD28" i="8" s="1"/>
  <c r="FE28" i="8"/>
  <c r="BM28" i="8" s="1"/>
  <c r="FF28" i="8"/>
  <c r="BN28" i="8" s="1"/>
  <c r="FG28" i="8"/>
  <c r="FH28" i="8"/>
  <c r="FI28" i="8"/>
  <c r="AR28" i="8" s="1"/>
  <c r="FJ28" i="8"/>
  <c r="AS28" i="8" s="1"/>
  <c r="FK28" i="8"/>
  <c r="FL28" i="8"/>
  <c r="FM28" i="8"/>
  <c r="FN28" i="8"/>
  <c r="FO28" i="8"/>
  <c r="FP28" i="8"/>
  <c r="EX29" i="8"/>
  <c r="EY29" i="8"/>
  <c r="X29" i="8" s="1"/>
  <c r="EZ29" i="8"/>
  <c r="Y29" i="8" s="1"/>
  <c r="FA29" i="8"/>
  <c r="AH29" i="8" s="1"/>
  <c r="FB29" i="8"/>
  <c r="AI29" i="8" s="1"/>
  <c r="FC29" i="8"/>
  <c r="BC29" i="8" s="1"/>
  <c r="FD29" i="8"/>
  <c r="BD29" i="8" s="1"/>
  <c r="FE29" i="8"/>
  <c r="BM29" i="8" s="1"/>
  <c r="FF29" i="8"/>
  <c r="BN29" i="8" s="1"/>
  <c r="FG29" i="8"/>
  <c r="FH29" i="8"/>
  <c r="FI29" i="8"/>
  <c r="AR29" i="8" s="1"/>
  <c r="FJ29" i="8"/>
  <c r="AS29" i="8" s="1"/>
  <c r="FK29" i="8"/>
  <c r="FL29" i="8"/>
  <c r="FM29" i="8"/>
  <c r="FN29" i="8"/>
  <c r="FO29" i="8"/>
  <c r="FP29" i="8"/>
  <c r="EX30" i="8"/>
  <c r="EY30" i="8"/>
  <c r="X30" i="8" s="1"/>
  <c r="EZ30" i="8"/>
  <c r="Y30" i="8" s="1"/>
  <c r="FA30" i="8"/>
  <c r="AH30" i="8" s="1"/>
  <c r="FB30" i="8"/>
  <c r="AI30" i="8" s="1"/>
  <c r="FC30" i="8"/>
  <c r="BC30" i="8" s="1"/>
  <c r="FD30" i="8"/>
  <c r="BD30" i="8" s="1"/>
  <c r="FE30" i="8"/>
  <c r="BM30" i="8" s="1"/>
  <c r="FF30" i="8"/>
  <c r="BN30" i="8" s="1"/>
  <c r="FG30" i="8"/>
  <c r="FH30" i="8"/>
  <c r="FI30" i="8"/>
  <c r="AR30" i="8" s="1"/>
  <c r="FJ30" i="8"/>
  <c r="AS30" i="8" s="1"/>
  <c r="FK30" i="8"/>
  <c r="FL30" i="8"/>
  <c r="FM30" i="8"/>
  <c r="FN30" i="8"/>
  <c r="FO30" i="8"/>
  <c r="FP30" i="8"/>
  <c r="EX31" i="8"/>
  <c r="EY31" i="8"/>
  <c r="X31" i="8" s="1"/>
  <c r="EZ31" i="8"/>
  <c r="Y31" i="8" s="1"/>
  <c r="FA31" i="8"/>
  <c r="AH31" i="8" s="1"/>
  <c r="FB31" i="8"/>
  <c r="AI31" i="8" s="1"/>
  <c r="FC31" i="8"/>
  <c r="BC31" i="8" s="1"/>
  <c r="FD31" i="8"/>
  <c r="BD31" i="8" s="1"/>
  <c r="FE31" i="8"/>
  <c r="BM31" i="8" s="1"/>
  <c r="FF31" i="8"/>
  <c r="BN31" i="8" s="1"/>
  <c r="FG31" i="8"/>
  <c r="FH31" i="8"/>
  <c r="FI31" i="8"/>
  <c r="AR31" i="8" s="1"/>
  <c r="FJ31" i="8"/>
  <c r="AS31" i="8" s="1"/>
  <c r="FK31" i="8"/>
  <c r="FL31" i="8"/>
  <c r="FM31" i="8"/>
  <c r="FN31" i="8"/>
  <c r="FO31" i="8"/>
  <c r="FP31" i="8"/>
  <c r="EX32" i="8"/>
  <c r="EY32" i="8"/>
  <c r="X32" i="8" s="1"/>
  <c r="EZ32" i="8"/>
  <c r="Y32" i="8" s="1"/>
  <c r="FA32" i="8"/>
  <c r="AH32" i="8" s="1"/>
  <c r="FB32" i="8"/>
  <c r="AI32" i="8" s="1"/>
  <c r="FC32" i="8"/>
  <c r="BC32" i="8" s="1"/>
  <c r="FD32" i="8"/>
  <c r="BD32" i="8" s="1"/>
  <c r="FE32" i="8"/>
  <c r="BM32" i="8" s="1"/>
  <c r="FF32" i="8"/>
  <c r="BN32" i="8" s="1"/>
  <c r="FG32" i="8"/>
  <c r="FH32" i="8"/>
  <c r="FI32" i="8"/>
  <c r="AR32" i="8" s="1"/>
  <c r="FJ32" i="8"/>
  <c r="AS32" i="8" s="1"/>
  <c r="FK32" i="8"/>
  <c r="FL32" i="8"/>
  <c r="FM32" i="8"/>
  <c r="FN32" i="8"/>
  <c r="FO32" i="8"/>
  <c r="FP32" i="8"/>
  <c r="EX33" i="8"/>
  <c r="EY33" i="8"/>
  <c r="X33" i="8" s="1"/>
  <c r="EZ33" i="8"/>
  <c r="Y33" i="8" s="1"/>
  <c r="FA33" i="8"/>
  <c r="AH33" i="8" s="1"/>
  <c r="FB33" i="8"/>
  <c r="AI33" i="8" s="1"/>
  <c r="FC33" i="8"/>
  <c r="BC33" i="8" s="1"/>
  <c r="FD33" i="8"/>
  <c r="BD33" i="8" s="1"/>
  <c r="FE33" i="8"/>
  <c r="BM33" i="8" s="1"/>
  <c r="FF33" i="8"/>
  <c r="BN33" i="8" s="1"/>
  <c r="FG33" i="8"/>
  <c r="FH33" i="8"/>
  <c r="FI33" i="8"/>
  <c r="AR33" i="8" s="1"/>
  <c r="FJ33" i="8"/>
  <c r="AS33" i="8" s="1"/>
  <c r="FK33" i="8"/>
  <c r="FL33" i="8"/>
  <c r="FM33" i="8"/>
  <c r="FN33" i="8"/>
  <c r="FO33" i="8"/>
  <c r="FP33" i="8"/>
  <c r="EX34" i="8"/>
  <c r="EY34" i="8"/>
  <c r="X34" i="8" s="1"/>
  <c r="EZ34" i="8"/>
  <c r="Y34" i="8" s="1"/>
  <c r="FA34" i="8"/>
  <c r="AH34" i="8" s="1"/>
  <c r="FB34" i="8"/>
  <c r="AI34" i="8" s="1"/>
  <c r="FC34" i="8"/>
  <c r="BC34" i="8" s="1"/>
  <c r="FD34" i="8"/>
  <c r="BD34" i="8" s="1"/>
  <c r="FE34" i="8"/>
  <c r="BM34" i="8" s="1"/>
  <c r="FF34" i="8"/>
  <c r="BN34" i="8" s="1"/>
  <c r="FG34" i="8"/>
  <c r="FH34" i="8"/>
  <c r="FI34" i="8"/>
  <c r="AR34" i="8" s="1"/>
  <c r="FJ34" i="8"/>
  <c r="AS34" i="8" s="1"/>
  <c r="FK34" i="8"/>
  <c r="FL34" i="8"/>
  <c r="FM34" i="8"/>
  <c r="FN34" i="8"/>
  <c r="FO34" i="8"/>
  <c r="FP34" i="8"/>
  <c r="EX36" i="8"/>
  <c r="EY36" i="8"/>
  <c r="X36" i="8" s="1"/>
  <c r="EZ36" i="8"/>
  <c r="Y36" i="8" s="1"/>
  <c r="FA36" i="8"/>
  <c r="AH36" i="8" s="1"/>
  <c r="FB36" i="8"/>
  <c r="AI36" i="8" s="1"/>
  <c r="FC36" i="8"/>
  <c r="BC36" i="8" s="1"/>
  <c r="FD36" i="8"/>
  <c r="BD36" i="8" s="1"/>
  <c r="FE36" i="8"/>
  <c r="BM36" i="8" s="1"/>
  <c r="FF36" i="8"/>
  <c r="BN36" i="8" s="1"/>
  <c r="FG36" i="8"/>
  <c r="FH36" i="8"/>
  <c r="FI36" i="8"/>
  <c r="AR36" i="8" s="1"/>
  <c r="FJ36" i="8"/>
  <c r="AS36" i="8" s="1"/>
  <c r="FK36" i="8"/>
  <c r="FL36" i="8"/>
  <c r="FM36" i="8"/>
  <c r="FN36" i="8"/>
  <c r="FO36" i="8"/>
  <c r="FP36" i="8"/>
  <c r="EX37" i="8"/>
  <c r="EY37" i="8"/>
  <c r="X37" i="8" s="1"/>
  <c r="EZ37" i="8"/>
  <c r="Y37" i="8" s="1"/>
  <c r="FA37" i="8"/>
  <c r="AH37" i="8" s="1"/>
  <c r="FB37" i="8"/>
  <c r="AI37" i="8" s="1"/>
  <c r="FC37" i="8"/>
  <c r="BC37" i="8" s="1"/>
  <c r="FD37" i="8"/>
  <c r="BD37" i="8" s="1"/>
  <c r="FE37" i="8"/>
  <c r="BM37" i="8" s="1"/>
  <c r="FF37" i="8"/>
  <c r="BN37" i="8" s="1"/>
  <c r="FG37" i="8"/>
  <c r="FH37" i="8"/>
  <c r="FI37" i="8"/>
  <c r="AR37" i="8" s="1"/>
  <c r="FJ37" i="8"/>
  <c r="AS37" i="8" s="1"/>
  <c r="FK37" i="8"/>
  <c r="FL37" i="8"/>
  <c r="FM37" i="8"/>
  <c r="FN37" i="8"/>
  <c r="FO37" i="8"/>
  <c r="FP37" i="8"/>
  <c r="EX38" i="8"/>
  <c r="EY38" i="8"/>
  <c r="X38" i="8" s="1"/>
  <c r="EZ38" i="8"/>
  <c r="Y38" i="8" s="1"/>
  <c r="FA38" i="8"/>
  <c r="AH38" i="8" s="1"/>
  <c r="FB38" i="8"/>
  <c r="AI38" i="8" s="1"/>
  <c r="FC38" i="8"/>
  <c r="BC38" i="8" s="1"/>
  <c r="FD38" i="8"/>
  <c r="BD38" i="8" s="1"/>
  <c r="FE38" i="8"/>
  <c r="BM38" i="8" s="1"/>
  <c r="FF38" i="8"/>
  <c r="BN38" i="8" s="1"/>
  <c r="FG38" i="8"/>
  <c r="FH38" i="8"/>
  <c r="FI38" i="8"/>
  <c r="AR38" i="8" s="1"/>
  <c r="FJ38" i="8"/>
  <c r="AS38" i="8" s="1"/>
  <c r="FK38" i="8"/>
  <c r="FL38" i="8"/>
  <c r="FM38" i="8"/>
  <c r="FN38" i="8"/>
  <c r="FO38" i="8"/>
  <c r="FP38" i="8"/>
  <c r="EX39" i="8"/>
  <c r="EY39" i="8"/>
  <c r="X39" i="8" s="1"/>
  <c r="EZ39" i="8"/>
  <c r="Y39" i="8" s="1"/>
  <c r="FA39" i="8"/>
  <c r="AH39" i="8" s="1"/>
  <c r="FB39" i="8"/>
  <c r="AI39" i="8" s="1"/>
  <c r="FC39" i="8"/>
  <c r="BC39" i="8" s="1"/>
  <c r="FD39" i="8"/>
  <c r="BD39" i="8" s="1"/>
  <c r="FE39" i="8"/>
  <c r="BM39" i="8" s="1"/>
  <c r="FF39" i="8"/>
  <c r="BN39" i="8" s="1"/>
  <c r="FG39" i="8"/>
  <c r="FH39" i="8"/>
  <c r="FI39" i="8"/>
  <c r="AR39" i="8" s="1"/>
  <c r="FJ39" i="8"/>
  <c r="AS39" i="8" s="1"/>
  <c r="FK39" i="8"/>
  <c r="FL39" i="8"/>
  <c r="FM39" i="8"/>
  <c r="FN39" i="8"/>
  <c r="FO39" i="8"/>
  <c r="FP39" i="8"/>
  <c r="EX40" i="8"/>
  <c r="EY40" i="8"/>
  <c r="X40" i="8" s="1"/>
  <c r="EZ40" i="8"/>
  <c r="Y40" i="8" s="1"/>
  <c r="FA40" i="8"/>
  <c r="AH40" i="8" s="1"/>
  <c r="FB40" i="8"/>
  <c r="AI40" i="8" s="1"/>
  <c r="FC40" i="8"/>
  <c r="BC40" i="8" s="1"/>
  <c r="FD40" i="8"/>
  <c r="BD40" i="8" s="1"/>
  <c r="FE40" i="8"/>
  <c r="BM40" i="8" s="1"/>
  <c r="FF40" i="8"/>
  <c r="BN40" i="8" s="1"/>
  <c r="FG40" i="8"/>
  <c r="FH40" i="8"/>
  <c r="FI40" i="8"/>
  <c r="AR40" i="8" s="1"/>
  <c r="FJ40" i="8"/>
  <c r="AS40" i="8" s="1"/>
  <c r="FK40" i="8"/>
  <c r="FL40" i="8"/>
  <c r="FM40" i="8"/>
  <c r="FN40" i="8"/>
  <c r="FO40" i="8"/>
  <c r="FP40" i="8"/>
  <c r="EX41" i="8"/>
  <c r="EY41" i="8"/>
  <c r="EZ41" i="8"/>
  <c r="FA41" i="8"/>
  <c r="FB41" i="8"/>
  <c r="FC41" i="8"/>
  <c r="FD41" i="8"/>
  <c r="FE41" i="8"/>
  <c r="FF41" i="8"/>
  <c r="FG41" i="8"/>
  <c r="FH41" i="8"/>
  <c r="FI41" i="8"/>
  <c r="FJ41" i="8"/>
  <c r="FK41" i="8"/>
  <c r="FL41" i="8"/>
  <c r="FM41" i="8"/>
  <c r="FN41" i="8"/>
  <c r="FO41" i="8"/>
  <c r="AH40" i="20" s="1"/>
  <c r="FP41" i="8"/>
  <c r="CN33" i="8" l="1"/>
  <c r="AH30" i="20"/>
  <c r="CN27" i="8"/>
  <c r="AH24" i="20"/>
  <c r="AJ24" i="20" s="1"/>
  <c r="CN30" i="8"/>
  <c r="AH27" i="20"/>
  <c r="AJ27" i="20" s="1"/>
  <c r="CN17" i="8"/>
  <c r="AH14" i="20"/>
  <c r="AJ14" i="20" s="1"/>
  <c r="CN7" i="8"/>
  <c r="AH4" i="20"/>
  <c r="AJ4" i="20" s="1"/>
  <c r="CN23" i="8"/>
  <c r="AH20" i="20"/>
  <c r="AJ20" i="20" s="1"/>
  <c r="CN28" i="8"/>
  <c r="AH25" i="20"/>
  <c r="AJ25" i="20" s="1"/>
  <c r="CN26" i="8"/>
  <c r="AH23" i="20"/>
  <c r="AJ23" i="20" s="1"/>
  <c r="CN12" i="8"/>
  <c r="AH9" i="20"/>
  <c r="AJ9" i="20" s="1"/>
  <c r="CN39" i="8"/>
  <c r="AH36" i="20"/>
  <c r="AJ36" i="20" s="1"/>
  <c r="CN31" i="8"/>
  <c r="AH28" i="20"/>
  <c r="AJ28" i="20" s="1"/>
  <c r="CN9" i="8"/>
  <c r="AH6" i="20"/>
  <c r="AJ6" i="20" s="1"/>
  <c r="CN37" i="8"/>
  <c r="AH34" i="20"/>
  <c r="AJ34" i="20" s="1"/>
  <c r="CN24" i="8"/>
  <c r="AH21" i="20"/>
  <c r="AJ21" i="20" s="1"/>
  <c r="CN29" i="8"/>
  <c r="AH26" i="20"/>
  <c r="AJ26" i="20" s="1"/>
  <c r="CN16" i="8"/>
  <c r="AH13" i="20"/>
  <c r="AJ13" i="20" s="1"/>
  <c r="CN18" i="8"/>
  <c r="AH15" i="20"/>
  <c r="CN34" i="8"/>
  <c r="AH31" i="20"/>
  <c r="AJ31" i="20" s="1"/>
  <c r="CN36" i="8"/>
  <c r="AH33" i="20"/>
  <c r="AJ33" i="20" s="1"/>
  <c r="CN40" i="8"/>
  <c r="AH37" i="20"/>
  <c r="AJ37" i="20" s="1"/>
  <c r="CN13" i="8"/>
  <c r="AH10" i="20"/>
  <c r="AJ10" i="20" s="1"/>
  <c r="CN32" i="8"/>
  <c r="AH29" i="20"/>
  <c r="CN19" i="8"/>
  <c r="AH16" i="20"/>
  <c r="CN11" i="8"/>
  <c r="AH8" i="20"/>
  <c r="AJ8" i="20" s="1"/>
  <c r="CN38" i="8"/>
  <c r="AH35" i="20"/>
  <c r="AJ35" i="20" s="1"/>
  <c r="CN25" i="8"/>
  <c r="AH22" i="20"/>
  <c r="AJ22" i="20" s="1"/>
  <c r="BD4" i="20"/>
  <c r="K40" i="9"/>
  <c r="F5" i="15"/>
  <c r="AG15" i="20" l="1"/>
  <c r="AI15" i="20" s="1"/>
  <c r="AG29" i="20"/>
  <c r="AG30" i="20" s="1"/>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AT9" i="15"/>
  <c r="AU9" i="15"/>
  <c r="AV9" i="15"/>
  <c r="AW9" i="15"/>
  <c r="AX9" i="15"/>
  <c r="AY9" i="15"/>
  <c r="AZ9" i="15"/>
  <c r="F9"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AQ8" i="15"/>
  <c r="AR8" i="15"/>
  <c r="AS8" i="15"/>
  <c r="AT8" i="15"/>
  <c r="AU8" i="15"/>
  <c r="AV8" i="15"/>
  <c r="AW8" i="15"/>
  <c r="AX8" i="15"/>
  <c r="AY8" i="15"/>
  <c r="AZ8" i="15"/>
  <c r="F8"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AU7" i="15"/>
  <c r="AV7" i="15"/>
  <c r="AW7" i="15"/>
  <c r="AX7" i="15"/>
  <c r="AY7" i="15"/>
  <c r="AZ7" i="15"/>
  <c r="F7"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AQ6" i="15"/>
  <c r="AR6" i="15"/>
  <c r="AS6" i="15"/>
  <c r="AT6" i="15"/>
  <c r="AU6" i="15"/>
  <c r="AV6" i="15"/>
  <c r="AW6" i="15"/>
  <c r="AX6" i="15"/>
  <c r="AY6" i="15"/>
  <c r="AZ6" i="15"/>
  <c r="F6" i="15"/>
  <c r="F15" i="15" s="1" a="1"/>
  <c r="F49" i="15" s="1"/>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32" i="20" l="1"/>
  <c r="AI29" i="20" s="1"/>
  <c r="AJ29" i="20" s="1"/>
  <c r="BB32" i="20"/>
  <c r="BB33" i="20" s="1"/>
  <c r="AG16" i="20"/>
  <c r="AI16" i="20" s="1"/>
  <c r="AJ16" i="20" s="1"/>
  <c r="AJ15" i="20"/>
  <c r="AK15" i="20" s="1"/>
  <c r="G60" i="15"/>
  <c r="J57" i="15"/>
  <c r="H55" i="15"/>
  <c r="F53" i="15"/>
  <c r="I50" i="15"/>
  <c r="G48" i="15"/>
  <c r="J45" i="15"/>
  <c r="H43" i="15"/>
  <c r="F41" i="15"/>
  <c r="I38" i="15"/>
  <c r="G36" i="15"/>
  <c r="J33" i="15"/>
  <c r="H31" i="15"/>
  <c r="F29" i="15"/>
  <c r="I26" i="15"/>
  <c r="G24" i="15"/>
  <c r="J21" i="15"/>
  <c r="H19" i="15"/>
  <c r="F17" i="15"/>
  <c r="J53" i="15"/>
  <c r="J41" i="15"/>
  <c r="I34" i="15"/>
  <c r="H27" i="15"/>
  <c r="G20" i="15"/>
  <c r="I53" i="15"/>
  <c r="H46" i="15"/>
  <c r="G39" i="15"/>
  <c r="I29" i="15"/>
  <c r="H22" i="15"/>
  <c r="I17" i="15"/>
  <c r="J55" i="15"/>
  <c r="F51" i="15"/>
  <c r="J43" i="15"/>
  <c r="F39" i="15"/>
  <c r="G34" i="15"/>
  <c r="H29" i="15"/>
  <c r="F27" i="15"/>
  <c r="I24" i="15"/>
  <c r="G22" i="15"/>
  <c r="F15" i="15"/>
  <c r="H60" i="15"/>
  <c r="F64" i="16" s="1"/>
  <c r="BS64" i="16" s="1"/>
  <c r="CF64" i="16" s="1"/>
  <c r="CI64" i="16" s="1"/>
  <c r="F58" i="15"/>
  <c r="I55" i="15"/>
  <c r="G53" i="15"/>
  <c r="J50" i="15"/>
  <c r="H48" i="15"/>
  <c r="F46" i="15"/>
  <c r="I43" i="15"/>
  <c r="G41" i="15"/>
  <c r="J38" i="15"/>
  <c r="H36" i="15"/>
  <c r="F34" i="15"/>
  <c r="I31" i="15"/>
  <c r="G29" i="15"/>
  <c r="J26" i="15"/>
  <c r="H24" i="15"/>
  <c r="F22" i="15"/>
  <c r="I19" i="15"/>
  <c r="G17" i="15"/>
  <c r="F60" i="15"/>
  <c r="I57" i="15"/>
  <c r="G55" i="15"/>
  <c r="J52" i="15"/>
  <c r="H50" i="15"/>
  <c r="F48" i="15"/>
  <c r="I45" i="15"/>
  <c r="G43" i="15"/>
  <c r="J40" i="15"/>
  <c r="H38" i="15"/>
  <c r="F36" i="15"/>
  <c r="I33" i="15"/>
  <c r="G31" i="15"/>
  <c r="J28" i="15"/>
  <c r="H26" i="15"/>
  <c r="F24" i="15"/>
  <c r="I21" i="15"/>
  <c r="G19" i="15"/>
  <c r="J16" i="15"/>
  <c r="I58" i="15"/>
  <c r="F61" i="15"/>
  <c r="G56" i="15"/>
  <c r="G44" i="15"/>
  <c r="J29" i="15"/>
  <c r="J17" i="15"/>
  <c r="J60" i="15"/>
  <c r="H64" i="16" s="1"/>
  <c r="GA64" i="16" s="1"/>
  <c r="F56" i="15"/>
  <c r="J48" i="15"/>
  <c r="I41" i="15"/>
  <c r="H34" i="15"/>
  <c r="G27" i="15"/>
  <c r="F20" i="15"/>
  <c r="I60" i="15"/>
  <c r="H53" i="15"/>
  <c r="G46" i="15"/>
  <c r="I36" i="15"/>
  <c r="J19" i="15"/>
  <c r="H57" i="15"/>
  <c r="I52" i="15"/>
  <c r="G50" i="15"/>
  <c r="H45" i="15"/>
  <c r="I40" i="15"/>
  <c r="G38" i="15"/>
  <c r="H33" i="15"/>
  <c r="F31" i="15"/>
  <c r="G26" i="15"/>
  <c r="H21" i="15"/>
  <c r="F19" i="15"/>
  <c r="I59" i="15"/>
  <c r="G63" i="16" s="1"/>
  <c r="CO63" i="16" s="1"/>
  <c r="DB63" i="16" s="1"/>
  <c r="DE63" i="16" s="1"/>
  <c r="J54" i="15"/>
  <c r="F50" i="15"/>
  <c r="G45" i="15"/>
  <c r="J42" i="15"/>
  <c r="H40" i="15"/>
  <c r="I35" i="15"/>
  <c r="G33" i="15"/>
  <c r="J30" i="15"/>
  <c r="H28" i="15"/>
  <c r="F26" i="15"/>
  <c r="G21" i="15"/>
  <c r="J18" i="15"/>
  <c r="H16" i="15"/>
  <c r="J61" i="15"/>
  <c r="H59" i="15"/>
  <c r="F63" i="16" s="1"/>
  <c r="BS63" i="16" s="1"/>
  <c r="CF63" i="16" s="1"/>
  <c r="CI63" i="16" s="1"/>
  <c r="F57" i="15"/>
  <c r="G52" i="15"/>
  <c r="J49" i="15"/>
  <c r="H47" i="15"/>
  <c r="F45" i="15"/>
  <c r="I42" i="15"/>
  <c r="G40" i="15"/>
  <c r="J37" i="15"/>
  <c r="H35" i="15"/>
  <c r="F33" i="15"/>
  <c r="I30" i="15"/>
  <c r="G28" i="15"/>
  <c r="J25" i="15"/>
  <c r="H23" i="15"/>
  <c r="F21" i="15"/>
  <c r="I18" i="15"/>
  <c r="G16" i="15"/>
  <c r="I61" i="15"/>
  <c r="G59" i="15"/>
  <c r="E63" i="16" s="1"/>
  <c r="AW63" i="16" s="1"/>
  <c r="BJ63" i="16" s="1"/>
  <c r="BM63" i="16" s="1"/>
  <c r="J56" i="15"/>
  <c r="H54" i="15"/>
  <c r="F52" i="15"/>
  <c r="I49" i="15"/>
  <c r="G47" i="15"/>
  <c r="J44" i="15"/>
  <c r="H42" i="15"/>
  <c r="F40" i="15"/>
  <c r="I37" i="15"/>
  <c r="G35" i="15"/>
  <c r="J32" i="15"/>
  <c r="H30" i="15"/>
  <c r="F28" i="15"/>
  <c r="I25" i="15"/>
  <c r="G23" i="15"/>
  <c r="J20" i="15"/>
  <c r="H18" i="15"/>
  <c r="F16" i="15"/>
  <c r="H51" i="15"/>
  <c r="H39" i="15"/>
  <c r="G32" i="15"/>
  <c r="F25" i="15"/>
  <c r="I22" i="15"/>
  <c r="H58" i="15"/>
  <c r="F62" i="16" s="1"/>
  <c r="BS62" i="16" s="1"/>
  <c r="CF62" i="16" s="1"/>
  <c r="CI62" i="16" s="1"/>
  <c r="G51" i="15"/>
  <c r="F44" i="15"/>
  <c r="J36" i="15"/>
  <c r="F32" i="15"/>
  <c r="J24" i="15"/>
  <c r="G15" i="15"/>
  <c r="G58" i="15"/>
  <c r="I48" i="15"/>
  <c r="H41" i="15"/>
  <c r="J31" i="15"/>
  <c r="H17" i="15"/>
  <c r="J59" i="15"/>
  <c r="H63" i="16" s="1"/>
  <c r="GA63" i="16" s="1"/>
  <c r="F55" i="15"/>
  <c r="J47" i="15"/>
  <c r="F43" i="15"/>
  <c r="J35" i="15"/>
  <c r="I28" i="15"/>
  <c r="J23" i="15"/>
  <c r="I16" i="15"/>
  <c r="G57" i="15"/>
  <c r="K57" i="15" s="1"/>
  <c r="H52" i="15"/>
  <c r="I47" i="15"/>
  <c r="F38" i="15"/>
  <c r="I23" i="15"/>
  <c r="I54" i="15"/>
  <c r="H61" i="15"/>
  <c r="F59" i="15"/>
  <c r="I56" i="15"/>
  <c r="G54" i="15"/>
  <c r="J51" i="15"/>
  <c r="H49" i="15"/>
  <c r="F47" i="15"/>
  <c r="I44" i="15"/>
  <c r="G42" i="15"/>
  <c r="J39" i="15"/>
  <c r="H37" i="15"/>
  <c r="F35" i="15"/>
  <c r="I32" i="15"/>
  <c r="G30" i="15"/>
  <c r="J27" i="15"/>
  <c r="H25" i="15"/>
  <c r="F23" i="15"/>
  <c r="I20" i="15"/>
  <c r="G18" i="15"/>
  <c r="J15" i="15"/>
  <c r="G61" i="15"/>
  <c r="J58" i="15"/>
  <c r="H62" i="16" s="1"/>
  <c r="GA62" i="16" s="1"/>
  <c r="H56" i="15"/>
  <c r="F54" i="15"/>
  <c r="I51" i="15"/>
  <c r="G49" i="15"/>
  <c r="J46" i="15"/>
  <c r="H44" i="15"/>
  <c r="F42" i="15"/>
  <c r="I39" i="15"/>
  <c r="G37" i="15"/>
  <c r="J34" i="15"/>
  <c r="H32" i="15"/>
  <c r="F30" i="15"/>
  <c r="I27" i="15"/>
  <c r="G25" i="15"/>
  <c r="J22" i="15"/>
  <c r="H20" i="15"/>
  <c r="F18" i="15"/>
  <c r="I15" i="15"/>
  <c r="F37" i="15"/>
  <c r="H15" i="15"/>
  <c r="I46" i="15"/>
  <c r="G62" i="16"/>
  <c r="CO62" i="16" s="1"/>
  <c r="DB62" i="16" s="1"/>
  <c r="DE62" i="16" s="1"/>
  <c r="G64" i="16"/>
  <c r="CO64" i="16" s="1"/>
  <c r="DB64" i="16" s="1"/>
  <c r="DE64" i="16" s="1"/>
  <c r="BA33" i="20" l="1"/>
  <c r="AI30" i="20" s="1"/>
  <c r="AJ30" i="20" s="1"/>
  <c r="AI39" i="20"/>
  <c r="K18" i="15"/>
  <c r="K38" i="15"/>
  <c r="K31" i="15"/>
  <c r="K21" i="15"/>
  <c r="K26" i="15"/>
  <c r="K25" i="15"/>
  <c r="K51" i="15"/>
  <c r="K17" i="15"/>
  <c r="K34" i="15"/>
  <c r="K40" i="15"/>
  <c r="K20" i="15"/>
  <c r="K59" i="15"/>
  <c r="K46" i="15"/>
  <c r="K44" i="15"/>
  <c r="K56" i="15"/>
  <c r="K61" i="15"/>
  <c r="K42" i="15"/>
  <c r="K35" i="15"/>
  <c r="K16" i="15"/>
  <c r="K53" i="15"/>
  <c r="K32" i="15"/>
  <c r="K33" i="15"/>
  <c r="K43" i="15"/>
  <c r="K36" i="15"/>
  <c r="K27" i="15"/>
  <c r="K29" i="15"/>
  <c r="K48" i="15"/>
  <c r="K52" i="15"/>
  <c r="K19" i="15"/>
  <c r="E62" i="16"/>
  <c r="AW62" i="16" s="1"/>
  <c r="BJ62" i="16" s="1"/>
  <c r="BM62" i="16" s="1"/>
  <c r="K58" i="15"/>
  <c r="K15" i="15"/>
  <c r="K24" i="15"/>
  <c r="K37" i="15"/>
  <c r="K45" i="15"/>
  <c r="K50" i="15"/>
  <c r="K22" i="15"/>
  <c r="K39" i="15"/>
  <c r="K54" i="15"/>
  <c r="K47" i="15"/>
  <c r="K28" i="15"/>
  <c r="K55" i="15"/>
  <c r="K49" i="15"/>
  <c r="K30" i="15"/>
  <c r="K23" i="15"/>
  <c r="K41" i="15"/>
  <c r="E64" i="16"/>
  <c r="AW64" i="16" s="1"/>
  <c r="BJ64" i="16" s="1"/>
  <c r="BM64" i="16" s="1"/>
  <c r="K60" i="15"/>
  <c r="M13" i="15"/>
  <c r="N13" i="15"/>
  <c r="O13" i="15"/>
  <c r="M14" i="15"/>
  <c r="N14" i="15"/>
  <c r="O14" i="15"/>
  <c r="M15" i="15"/>
  <c r="N15" i="15"/>
  <c r="O15" i="15"/>
  <c r="Q15" i="15" s="1"/>
  <c r="M16" i="15"/>
  <c r="N16" i="15"/>
  <c r="O16" i="15"/>
  <c r="M17" i="15"/>
  <c r="N17" i="15"/>
  <c r="O17" i="15"/>
  <c r="M18" i="15"/>
  <c r="N18" i="15"/>
  <c r="O18" i="15"/>
  <c r="Q18" i="15" s="1"/>
  <c r="M19" i="15"/>
  <c r="N19" i="15"/>
  <c r="O19" i="15"/>
  <c r="Q19" i="15" s="1"/>
  <c r="M20" i="15"/>
  <c r="N20" i="15"/>
  <c r="O20" i="15"/>
  <c r="Q20" i="15" s="1"/>
  <c r="M21" i="15"/>
  <c r="N21" i="15"/>
  <c r="O21" i="15"/>
  <c r="Q21" i="15" s="1"/>
  <c r="M22" i="15"/>
  <c r="N22" i="15"/>
  <c r="O22" i="15"/>
  <c r="Q22" i="15" s="1"/>
  <c r="M23" i="15"/>
  <c r="N23" i="15"/>
  <c r="O23" i="15"/>
  <c r="Q23" i="15" s="1"/>
  <c r="M24" i="15"/>
  <c r="N24" i="15"/>
  <c r="O24" i="15"/>
  <c r="M25" i="15"/>
  <c r="N25" i="15"/>
  <c r="O25" i="15"/>
  <c r="M26" i="15"/>
  <c r="N26" i="15"/>
  <c r="O26" i="15"/>
  <c r="Q26" i="15" s="1"/>
  <c r="M27" i="15"/>
  <c r="N27" i="15"/>
  <c r="O27" i="15"/>
  <c r="Q27" i="15" s="1"/>
  <c r="M28" i="15"/>
  <c r="N28" i="15"/>
  <c r="O28" i="15"/>
  <c r="M29" i="15"/>
  <c r="N29" i="15"/>
  <c r="O29" i="15"/>
  <c r="Q29" i="15" s="1"/>
  <c r="M30" i="15"/>
  <c r="N30" i="15"/>
  <c r="O30" i="15"/>
  <c r="M31" i="15"/>
  <c r="N31" i="15"/>
  <c r="O31" i="15"/>
  <c r="Q31" i="15" s="1"/>
  <c r="M32" i="15"/>
  <c r="N32" i="15"/>
  <c r="O32" i="15"/>
  <c r="M33" i="15"/>
  <c r="N33" i="15"/>
  <c r="O33" i="15"/>
  <c r="M34" i="15"/>
  <c r="N34" i="15"/>
  <c r="O34" i="15"/>
  <c r="M35" i="15"/>
  <c r="N35" i="15"/>
  <c r="O35" i="15"/>
  <c r="Q35" i="15" s="1"/>
  <c r="M36" i="15"/>
  <c r="N36" i="15"/>
  <c r="O36" i="15"/>
  <c r="Q36" i="15" s="1"/>
  <c r="M37" i="15"/>
  <c r="N37" i="15"/>
  <c r="O37" i="15"/>
  <c r="M38" i="15"/>
  <c r="N38" i="15"/>
  <c r="O38" i="15"/>
  <c r="Q38" i="15" s="1"/>
  <c r="M39" i="15"/>
  <c r="N39" i="15"/>
  <c r="O39" i="15"/>
  <c r="Q39" i="15" s="1"/>
  <c r="M40" i="15"/>
  <c r="N40" i="15"/>
  <c r="O40" i="15"/>
  <c r="M41" i="15"/>
  <c r="N41" i="15"/>
  <c r="O41" i="15"/>
  <c r="M42" i="15"/>
  <c r="N42" i="15"/>
  <c r="O42" i="15"/>
  <c r="Q42" i="15" s="1"/>
  <c r="M43" i="15"/>
  <c r="N43" i="15"/>
  <c r="O43" i="15"/>
  <c r="Q43" i="15" s="1"/>
  <c r="M44" i="15"/>
  <c r="N44" i="15"/>
  <c r="O44" i="15"/>
  <c r="Q44" i="15" s="1"/>
  <c r="M45" i="15"/>
  <c r="N45" i="15"/>
  <c r="O45" i="15"/>
  <c r="Q45" i="15" s="1"/>
  <c r="M46" i="15"/>
  <c r="N46" i="15"/>
  <c r="O46" i="15"/>
  <c r="Q46" i="15" s="1"/>
  <c r="M47" i="15"/>
  <c r="N47" i="15"/>
  <c r="O47" i="15"/>
  <c r="Q47" i="15" s="1"/>
  <c r="M48" i="15"/>
  <c r="N48" i="15"/>
  <c r="O48" i="15"/>
  <c r="M49" i="15"/>
  <c r="N49" i="15"/>
  <c r="O49" i="15"/>
  <c r="M50" i="15"/>
  <c r="N50" i="15"/>
  <c r="O50" i="15"/>
  <c r="Q50" i="15" s="1"/>
  <c r="M51" i="15"/>
  <c r="N51" i="15"/>
  <c r="O51" i="15"/>
  <c r="Q51" i="15" s="1"/>
  <c r="M52" i="15"/>
  <c r="N52" i="15"/>
  <c r="O52" i="15"/>
  <c r="M53" i="15"/>
  <c r="N53" i="15"/>
  <c r="O53" i="15"/>
  <c r="M54" i="15"/>
  <c r="N54" i="15"/>
  <c r="O54" i="15"/>
  <c r="Q54" i="15" s="1"/>
  <c r="M55" i="15"/>
  <c r="N55" i="15"/>
  <c r="O55" i="15"/>
  <c r="Q55" i="15" s="1"/>
  <c r="M56" i="15"/>
  <c r="N56" i="15"/>
  <c r="O56" i="15"/>
  <c r="M57" i="15"/>
  <c r="N57" i="15"/>
  <c r="O57" i="15"/>
  <c r="Q57" i="15" s="1"/>
  <c r="M58" i="15"/>
  <c r="D62" i="16" s="1"/>
  <c r="N58" i="15"/>
  <c r="I62" i="16" s="1"/>
  <c r="DK62" i="16" s="1"/>
  <c r="FM62" i="16" s="1"/>
  <c r="O58" i="15"/>
  <c r="M59" i="15"/>
  <c r="D63" i="16" s="1"/>
  <c r="N59" i="15"/>
  <c r="I63" i="16" s="1"/>
  <c r="DK63" i="16" s="1"/>
  <c r="FM63" i="16" s="1"/>
  <c r="O59" i="15"/>
  <c r="M60" i="15"/>
  <c r="D64" i="16" s="1"/>
  <c r="N60" i="15"/>
  <c r="I64" i="16" s="1"/>
  <c r="DK64" i="16" s="1"/>
  <c r="FM64" i="16" s="1"/>
  <c r="O60" i="15"/>
  <c r="M61" i="15"/>
  <c r="N61" i="15"/>
  <c r="O61" i="15"/>
  <c r="Q61" i="15" s="1"/>
  <c r="Q34" i="15" l="1"/>
  <c r="Q49" i="15"/>
  <c r="Q25" i="15"/>
  <c r="Q33" i="15"/>
  <c r="Q17" i="15"/>
  <c r="Q30" i="15"/>
  <c r="Q41" i="15"/>
  <c r="Q53" i="15"/>
  <c r="Q37" i="15"/>
  <c r="Q56" i="15"/>
  <c r="Q52" i="15"/>
  <c r="Q48" i="15"/>
  <c r="Q40" i="15"/>
  <c r="Q32" i="15"/>
  <c r="Q28" i="15"/>
  <c r="Q24" i="15"/>
  <c r="Q16" i="15"/>
  <c r="J62" i="16"/>
  <c r="GB62" i="16" s="1"/>
  <c r="Q58" i="15"/>
  <c r="J63" i="16"/>
  <c r="GB63" i="16" s="1"/>
  <c r="Q59" i="15"/>
  <c r="J64" i="16"/>
  <c r="GB64" i="16" s="1"/>
  <c r="Q60" i="15"/>
  <c r="AA62" i="16"/>
  <c r="AN62" i="16" s="1"/>
  <c r="AQ62" i="16" s="1"/>
  <c r="FL62" i="16" s="1"/>
  <c r="AA63" i="16"/>
  <c r="AN63" i="16" s="1"/>
  <c r="AQ63" i="16" s="1"/>
  <c r="FL63" i="16" s="1"/>
  <c r="AA64" i="16"/>
  <c r="DW58" i="16"/>
  <c r="DW59" i="16"/>
  <c r="DW60" i="16"/>
  <c r="DW61" i="16"/>
  <c r="C59" i="16"/>
  <c r="C60" i="16"/>
  <c r="C61" i="16"/>
  <c r="AN64" i="16" l="1"/>
  <c r="AQ64" i="16" s="1"/>
  <c r="FL64" i="16" s="1"/>
  <c r="E58" i="16"/>
  <c r="AW58" i="16" s="1"/>
  <c r="BJ58" i="16" s="1"/>
  <c r="BM58" i="16" s="1"/>
  <c r="G58" i="16"/>
  <c r="CO58" i="16" s="1"/>
  <c r="DB58" i="16" s="1"/>
  <c r="DE58" i="16" s="1"/>
  <c r="F59" i="16"/>
  <c r="BS59" i="16" s="1"/>
  <c r="H59" i="16"/>
  <c r="E60" i="16"/>
  <c r="AW60" i="16" s="1"/>
  <c r="BJ60" i="16" s="1"/>
  <c r="BM60" i="16" s="1"/>
  <c r="G60" i="16"/>
  <c r="CO60" i="16" s="1"/>
  <c r="DB60" i="16" s="1"/>
  <c r="DE60" i="16" s="1"/>
  <c r="F61" i="16"/>
  <c r="BS61" i="16" s="1"/>
  <c r="CF61" i="16" s="1"/>
  <c r="CI61" i="16" s="1"/>
  <c r="H61" i="16"/>
  <c r="F58" i="16"/>
  <c r="BS58" i="16" s="1"/>
  <c r="CF58" i="16" s="1"/>
  <c r="CI58" i="16" s="1"/>
  <c r="E59" i="16"/>
  <c r="AW59" i="16" s="1"/>
  <c r="H60" i="16"/>
  <c r="G61" i="16"/>
  <c r="CO61" i="16" s="1"/>
  <c r="DB61" i="16" s="1"/>
  <c r="DE61" i="16" s="1"/>
  <c r="H58" i="16"/>
  <c r="GA58" i="16" s="1"/>
  <c r="G59" i="16"/>
  <c r="CO59" i="16" s="1"/>
  <c r="F60" i="16"/>
  <c r="BS60" i="16" s="1"/>
  <c r="CF60" i="16" s="1"/>
  <c r="CI60" i="16" s="1"/>
  <c r="E61" i="16"/>
  <c r="AW61" i="16" s="1"/>
  <c r="BJ61" i="16" s="1"/>
  <c r="BM61" i="16" s="1"/>
  <c r="EC61" i="16" l="1"/>
  <c r="GA61" i="16"/>
  <c r="EC60" i="16"/>
  <c r="GA60" i="16"/>
  <c r="EC59" i="16"/>
  <c r="GA59" i="16"/>
  <c r="EP60" i="16"/>
  <c r="ES60" i="16" s="1"/>
  <c r="FN60" i="16" s="1"/>
  <c r="BJ59" i="16"/>
  <c r="BM59" i="16" s="1"/>
  <c r="EP59" i="16"/>
  <c r="ES59" i="16" s="1"/>
  <c r="FN59" i="16" s="1"/>
  <c r="DB59" i="16"/>
  <c r="DE59" i="16" s="1"/>
  <c r="EP61" i="16"/>
  <c r="ES61" i="16" s="1"/>
  <c r="FN61" i="16" s="1"/>
  <c r="CF59" i="16"/>
  <c r="CI59" i="16" s="1"/>
  <c r="I59" i="16"/>
  <c r="DK59" i="16" s="1"/>
  <c r="FM59" i="16" s="1"/>
  <c r="J59" i="16"/>
  <c r="GB59" i="16" s="1"/>
  <c r="I60" i="16"/>
  <c r="DK60" i="16" s="1"/>
  <c r="FM60" i="16" s="1"/>
  <c r="J60" i="16"/>
  <c r="GB60" i="16" s="1"/>
  <c r="I61" i="16"/>
  <c r="DK61" i="16" s="1"/>
  <c r="FM61" i="16" s="1"/>
  <c r="J61" i="16"/>
  <c r="GB61" i="16" s="1"/>
  <c r="D59" i="16"/>
  <c r="AA59" i="16" s="1"/>
  <c r="AN59" i="16" s="1"/>
  <c r="AQ59" i="16" s="1"/>
  <c r="FL59" i="16" s="1"/>
  <c r="D60" i="16"/>
  <c r="AA60" i="16" s="1"/>
  <c r="AN60" i="16" s="1"/>
  <c r="AQ60" i="16" s="1"/>
  <c r="FL60" i="16" s="1"/>
  <c r="D61" i="16"/>
  <c r="AA61" i="16" s="1"/>
  <c r="AN61" i="16" s="1"/>
  <c r="AQ61" i="16" s="1"/>
  <c r="FL61" i="16" s="1"/>
  <c r="EC62" i="16" l="1"/>
  <c r="HK20" i="13"/>
  <c r="M32" i="13"/>
  <c r="M33" i="13"/>
  <c r="M34" i="13"/>
  <c r="N32" i="13"/>
  <c r="N33" i="13"/>
  <c r="N34" i="13"/>
  <c r="EC63" i="16" l="1"/>
  <c r="EC64" i="16"/>
  <c r="EP62" i="16"/>
  <c r="M15" i="13"/>
  <c r="N15" i="13"/>
  <c r="HC38" i="13"/>
  <c r="HC39" i="13"/>
  <c r="GQ42" i="13"/>
  <c r="L37" i="20" s="1"/>
  <c r="GQ41" i="13"/>
  <c r="L36" i="20" s="1"/>
  <c r="GQ40" i="13"/>
  <c r="L35" i="20" s="1"/>
  <c r="GQ37" i="13"/>
  <c r="L34" i="20" s="1"/>
  <c r="GQ36" i="13"/>
  <c r="L33" i="20" s="1"/>
  <c r="EI36" i="13"/>
  <c r="EI37" i="13"/>
  <c r="EI40" i="13"/>
  <c r="EI41" i="13"/>
  <c r="EI42" i="13"/>
  <c r="EK36" i="13"/>
  <c r="EK37" i="13"/>
  <c r="EK40" i="13"/>
  <c r="EK41" i="13"/>
  <c r="EK42" i="13"/>
  <c r="EL43" i="13"/>
  <c r="EL38" i="13"/>
  <c r="EM36" i="13"/>
  <c r="W33" i="20" s="1"/>
  <c r="EM37" i="13"/>
  <c r="W34" i="20" s="1"/>
  <c r="EM40" i="13"/>
  <c r="W35" i="20" s="1"/>
  <c r="EM41" i="13"/>
  <c r="W36" i="20" s="1"/>
  <c r="EM42" i="13"/>
  <c r="W37" i="20" s="1"/>
  <c r="CL36" i="13"/>
  <c r="S33" i="20" s="1"/>
  <c r="CL37" i="13"/>
  <c r="S34" i="20" s="1"/>
  <c r="CL40" i="13"/>
  <c r="S35" i="20" s="1"/>
  <c r="CL41" i="13"/>
  <c r="S36" i="20" s="1"/>
  <c r="CL42" i="13"/>
  <c r="S37" i="20" s="1"/>
  <c r="BY36" i="13"/>
  <c r="R33" i="20" s="1"/>
  <c r="BY37" i="13"/>
  <c r="R34" i="20" s="1"/>
  <c r="BY40" i="13"/>
  <c r="R35" i="20" s="1"/>
  <c r="BY41" i="13"/>
  <c r="R36" i="20" s="1"/>
  <c r="BY42" i="13"/>
  <c r="R37" i="20" s="1"/>
  <c r="BK36" i="13"/>
  <c r="Q33" i="20" s="1"/>
  <c r="BK37" i="13"/>
  <c r="Q34" i="20" s="1"/>
  <c r="BK40" i="13"/>
  <c r="Q35" i="20" s="1"/>
  <c r="BK41" i="13"/>
  <c r="Q36" i="20" s="1"/>
  <c r="BK42" i="13"/>
  <c r="Q37" i="20" s="1"/>
  <c r="AX36" i="13"/>
  <c r="P33" i="20" s="1"/>
  <c r="Z33" i="20" s="1"/>
  <c r="AX37" i="13"/>
  <c r="P34" i="20" s="1"/>
  <c r="Z34" i="20" s="1"/>
  <c r="AX40" i="13"/>
  <c r="P35" i="20" s="1"/>
  <c r="Z35" i="20" s="1"/>
  <c r="AX41" i="13"/>
  <c r="P36" i="20" s="1"/>
  <c r="Z36" i="20" s="1"/>
  <c r="AX42" i="13"/>
  <c r="P37" i="20" s="1"/>
  <c r="Z37" i="20" s="1"/>
  <c r="O33" i="20"/>
  <c r="O34" i="20"/>
  <c r="O35" i="20"/>
  <c r="O36" i="20"/>
  <c r="O37" i="20"/>
  <c r="U37" i="20" l="1"/>
  <c r="U35" i="20"/>
  <c r="U34" i="20"/>
  <c r="U36" i="20"/>
  <c r="U33" i="20"/>
  <c r="EP64" i="16"/>
  <c r="ES62" i="16"/>
  <c r="FN62" i="16" s="1"/>
  <c r="EP63" i="16"/>
  <c r="EL42" i="13"/>
  <c r="EL40" i="13"/>
  <c r="EL36" i="13"/>
  <c r="EL41" i="13"/>
  <c r="EL37" i="13"/>
  <c r="EI23" i="13"/>
  <c r="EI24" i="13"/>
  <c r="EI25" i="13"/>
  <c r="EI26" i="13"/>
  <c r="EI27" i="13"/>
  <c r="EI28" i="13"/>
  <c r="EI29" i="13"/>
  <c r="EI30" i="13"/>
  <c r="EI31" i="13"/>
  <c r="EI32" i="13"/>
  <c r="EI33" i="13"/>
  <c r="EI34" i="13"/>
  <c r="EM23" i="13"/>
  <c r="W20" i="20" s="1"/>
  <c r="EM24" i="13"/>
  <c r="W21" i="20" s="1"/>
  <c r="EM25" i="13"/>
  <c r="W22" i="20" s="1"/>
  <c r="EM26" i="13"/>
  <c r="W23" i="20" s="1"/>
  <c r="EM27" i="13"/>
  <c r="W24" i="20" s="1"/>
  <c r="EM28" i="13"/>
  <c r="W25" i="20" s="1"/>
  <c r="EM29" i="13"/>
  <c r="W26" i="20" s="1"/>
  <c r="EM30" i="13"/>
  <c r="W27" i="20" s="1"/>
  <c r="EM31" i="13"/>
  <c r="W28" i="20" s="1"/>
  <c r="EM32" i="13"/>
  <c r="W29" i="20" s="1"/>
  <c r="EM33" i="13"/>
  <c r="W30" i="20" s="1"/>
  <c r="EM34" i="13"/>
  <c r="W31" i="20" s="1"/>
  <c r="CL23" i="13"/>
  <c r="S20" i="20" s="1"/>
  <c r="CL24" i="13"/>
  <c r="S21" i="20" s="1"/>
  <c r="CL25" i="13"/>
  <c r="S22" i="20" s="1"/>
  <c r="CL26" i="13"/>
  <c r="S23" i="20" s="1"/>
  <c r="CL27" i="13"/>
  <c r="S24" i="20" s="1"/>
  <c r="CL28" i="13"/>
  <c r="S25" i="20" s="1"/>
  <c r="CL29" i="13"/>
  <c r="S26" i="20" s="1"/>
  <c r="CL30" i="13"/>
  <c r="S27" i="20" s="1"/>
  <c r="CL31" i="13"/>
  <c r="S28" i="20" s="1"/>
  <c r="CL32" i="13"/>
  <c r="S29" i="20" s="1"/>
  <c r="CL33" i="13"/>
  <c r="S30" i="20" s="1"/>
  <c r="CL34" i="13"/>
  <c r="S31" i="20" s="1"/>
  <c r="BY23" i="13"/>
  <c r="R20" i="20" s="1"/>
  <c r="BY24" i="13"/>
  <c r="R21" i="20" s="1"/>
  <c r="BY25" i="13"/>
  <c r="R22" i="20" s="1"/>
  <c r="BY26" i="13"/>
  <c r="R23" i="20" s="1"/>
  <c r="BY27" i="13"/>
  <c r="R24" i="20" s="1"/>
  <c r="BY28" i="13"/>
  <c r="R25" i="20" s="1"/>
  <c r="BY29" i="13"/>
  <c r="R26" i="20" s="1"/>
  <c r="BY30" i="13"/>
  <c r="R27" i="20" s="1"/>
  <c r="BY31" i="13"/>
  <c r="R28" i="20" s="1"/>
  <c r="BY32" i="13"/>
  <c r="R29" i="20" s="1"/>
  <c r="BY33" i="13"/>
  <c r="R30" i="20" s="1"/>
  <c r="BY34" i="13"/>
  <c r="R31" i="20" s="1"/>
  <c r="BV32" i="13"/>
  <c r="BK23" i="13"/>
  <c r="Q20" i="20" s="1"/>
  <c r="BK24" i="13"/>
  <c r="Q21" i="20" s="1"/>
  <c r="BK25" i="13"/>
  <c r="Q22" i="20" s="1"/>
  <c r="BK26" i="13"/>
  <c r="Q23" i="20" s="1"/>
  <c r="BK27" i="13"/>
  <c r="Q24" i="20" s="1"/>
  <c r="BK28" i="13"/>
  <c r="Q25" i="20" s="1"/>
  <c r="BK29" i="13"/>
  <c r="Q26" i="20" s="1"/>
  <c r="BK30" i="13"/>
  <c r="Q27" i="20" s="1"/>
  <c r="BK31" i="13"/>
  <c r="Q28" i="20" s="1"/>
  <c r="BK32" i="13"/>
  <c r="Q29" i="20" s="1"/>
  <c r="BK33" i="13"/>
  <c r="Q30" i="20" s="1"/>
  <c r="BK34" i="13"/>
  <c r="Q31" i="20" s="1"/>
  <c r="AX23" i="13"/>
  <c r="P20" i="20" s="1"/>
  <c r="Z20" i="20" s="1"/>
  <c r="AX24" i="13"/>
  <c r="P21" i="20" s="1"/>
  <c r="Z21" i="20" s="1"/>
  <c r="AX25" i="13"/>
  <c r="P22" i="20" s="1"/>
  <c r="Z22" i="20" s="1"/>
  <c r="AX26" i="13"/>
  <c r="P23" i="20" s="1"/>
  <c r="Z23" i="20" s="1"/>
  <c r="AX27" i="13"/>
  <c r="P24" i="20" s="1"/>
  <c r="Z24" i="20" s="1"/>
  <c r="AX28" i="13"/>
  <c r="P25" i="20" s="1"/>
  <c r="Z25" i="20" s="1"/>
  <c r="AX29" i="13"/>
  <c r="P26" i="20" s="1"/>
  <c r="AX30" i="13"/>
  <c r="P27" i="20" s="1"/>
  <c r="Z27" i="20" s="1"/>
  <c r="AX31" i="13"/>
  <c r="P28" i="20" s="1"/>
  <c r="Z28" i="20" s="1"/>
  <c r="AX32" i="13"/>
  <c r="P29" i="20" s="1"/>
  <c r="Z29" i="20" s="1"/>
  <c r="AX33" i="13"/>
  <c r="P30" i="20" s="1"/>
  <c r="Z30" i="20" s="1"/>
  <c r="AX34" i="13"/>
  <c r="P31" i="20" s="1"/>
  <c r="Z31" i="20" s="1"/>
  <c r="O20" i="20"/>
  <c r="U20" i="20" s="1"/>
  <c r="O21" i="20"/>
  <c r="U21" i="20" s="1"/>
  <c r="O22" i="20"/>
  <c r="U22" i="20" s="1"/>
  <c r="O23" i="20"/>
  <c r="U23" i="20" s="1"/>
  <c r="O24" i="20"/>
  <c r="U24" i="20" s="1"/>
  <c r="O25" i="20"/>
  <c r="O26" i="20"/>
  <c r="U26" i="20" s="1"/>
  <c r="O27" i="20"/>
  <c r="U27" i="20" s="1"/>
  <c r="O28" i="20"/>
  <c r="O29" i="20"/>
  <c r="U29" i="20" s="1"/>
  <c r="O30" i="20"/>
  <c r="U30" i="20" s="1"/>
  <c r="O31" i="20"/>
  <c r="CY15" i="13"/>
  <c r="CY21" i="13"/>
  <c r="EI15" i="13"/>
  <c r="EI16" i="13"/>
  <c r="EI17" i="13"/>
  <c r="EI18" i="13"/>
  <c r="EI19" i="13"/>
  <c r="EI20" i="13"/>
  <c r="EI21" i="13"/>
  <c r="EM16" i="13"/>
  <c r="W13" i="20" s="1"/>
  <c r="EM17" i="13"/>
  <c r="W14" i="20" s="1"/>
  <c r="EM18" i="13"/>
  <c r="W15" i="20" s="1"/>
  <c r="EM19" i="13"/>
  <c r="W16" i="20" s="1"/>
  <c r="CL15" i="13"/>
  <c r="S12" i="20" s="1"/>
  <c r="CL16" i="13"/>
  <c r="S13" i="20" s="1"/>
  <c r="CL17" i="13"/>
  <c r="S14" i="20" s="1"/>
  <c r="CL18" i="13"/>
  <c r="S15" i="20" s="1"/>
  <c r="CL19" i="13"/>
  <c r="S16" i="20" s="1"/>
  <c r="CL20" i="13"/>
  <c r="S17" i="20" s="1"/>
  <c r="CL21" i="13"/>
  <c r="S18" i="20" s="1"/>
  <c r="BY15" i="13"/>
  <c r="R12" i="20" s="1"/>
  <c r="BY16" i="13"/>
  <c r="R13" i="20" s="1"/>
  <c r="BY17" i="13"/>
  <c r="R14" i="20" s="1"/>
  <c r="BY18" i="13"/>
  <c r="R15" i="20" s="1"/>
  <c r="BY19" i="13"/>
  <c r="R16" i="20" s="1"/>
  <c r="BY20" i="13"/>
  <c r="R17" i="20" s="1"/>
  <c r="BY21" i="13"/>
  <c r="R18" i="20" s="1"/>
  <c r="BG2" i="13"/>
  <c r="BK15" i="13"/>
  <c r="Q12" i="20" s="1"/>
  <c r="BK16" i="13"/>
  <c r="Q13" i="20" s="1"/>
  <c r="BK17" i="13"/>
  <c r="Q14" i="20" s="1"/>
  <c r="BK18" i="13"/>
  <c r="Q15" i="20" s="1"/>
  <c r="BK19" i="13"/>
  <c r="Q16" i="20" s="1"/>
  <c r="BK20" i="13"/>
  <c r="Q17" i="20" s="1"/>
  <c r="BK21" i="13"/>
  <c r="Q18" i="20" s="1"/>
  <c r="AX15" i="13"/>
  <c r="P12" i="20" s="1"/>
  <c r="Z12" i="20" s="1"/>
  <c r="AX16" i="13"/>
  <c r="P13" i="20" s="1"/>
  <c r="Z13" i="20" s="1"/>
  <c r="AX17" i="13"/>
  <c r="P14" i="20" s="1"/>
  <c r="Z14" i="20" s="1"/>
  <c r="AX18" i="13"/>
  <c r="P15" i="20" s="1"/>
  <c r="AX19" i="13"/>
  <c r="P16" i="20" s="1"/>
  <c r="Z16" i="20" s="1"/>
  <c r="AX20" i="13"/>
  <c r="P17" i="20" s="1"/>
  <c r="Z17" i="20" s="1"/>
  <c r="AX21" i="13"/>
  <c r="P18" i="20" s="1"/>
  <c r="Z18" i="20" s="1"/>
  <c r="O12" i="20"/>
  <c r="O13" i="20"/>
  <c r="O14" i="20"/>
  <c r="O15" i="20"/>
  <c r="O16" i="20"/>
  <c r="O17" i="20"/>
  <c r="O18" i="20"/>
  <c r="EI11" i="13"/>
  <c r="EI12" i="13"/>
  <c r="EI13" i="13"/>
  <c r="EM11" i="13"/>
  <c r="W8" i="20" s="1"/>
  <c r="EM12" i="13"/>
  <c r="W9" i="20" s="1"/>
  <c r="EM13" i="13"/>
  <c r="W10" i="20" s="1"/>
  <c r="CL11" i="13"/>
  <c r="S8" i="20" s="1"/>
  <c r="CL12" i="13"/>
  <c r="S9" i="20" s="1"/>
  <c r="CL13" i="13"/>
  <c r="S10" i="20" s="1"/>
  <c r="BY11" i="13"/>
  <c r="R8" i="20" s="1"/>
  <c r="BY12" i="13"/>
  <c r="R9" i="20" s="1"/>
  <c r="BY13" i="13"/>
  <c r="R10" i="20" s="1"/>
  <c r="BK11" i="13"/>
  <c r="Q8" i="20" s="1"/>
  <c r="BK12" i="13"/>
  <c r="Q9" i="20" s="1"/>
  <c r="BK13" i="13"/>
  <c r="Q10" i="20" s="1"/>
  <c r="AX11" i="13"/>
  <c r="P8" i="20" s="1"/>
  <c r="Z8" i="20" s="1"/>
  <c r="AX12" i="13"/>
  <c r="P9" i="20" s="1"/>
  <c r="Z9" i="20" s="1"/>
  <c r="AX13" i="13"/>
  <c r="P10" i="20" s="1"/>
  <c r="Z10" i="20" s="1"/>
  <c r="GT12" i="13"/>
  <c r="O8" i="20"/>
  <c r="O9" i="20"/>
  <c r="O10" i="20"/>
  <c r="EL9" i="13"/>
  <c r="HP42" i="13"/>
  <c r="HR42" i="13"/>
  <c r="HT42" i="13"/>
  <c r="HV42" i="13"/>
  <c r="HX42" i="13"/>
  <c r="HP32" i="13"/>
  <c r="HR32" i="13"/>
  <c r="HT32" i="13"/>
  <c r="HV32" i="13"/>
  <c r="HZ8" i="13"/>
  <c r="U12" i="20" l="1"/>
  <c r="U25" i="20"/>
  <c r="U13" i="20"/>
  <c r="U31" i="20"/>
  <c r="EJ9" i="13"/>
  <c r="V6" i="20"/>
  <c r="EJ40" i="13"/>
  <c r="CY40" i="13" s="1"/>
  <c r="V35" i="20"/>
  <c r="EJ42" i="13"/>
  <c r="CY42" i="13" s="1"/>
  <c r="V37" i="20"/>
  <c r="U18" i="20"/>
  <c r="U17" i="20"/>
  <c r="U10" i="20"/>
  <c r="U16" i="20"/>
  <c r="EJ37" i="13"/>
  <c r="CY37" i="13" s="1"/>
  <c r="V34" i="20"/>
  <c r="U9" i="20"/>
  <c r="U15" i="20"/>
  <c r="EJ41" i="13"/>
  <c r="V36" i="20"/>
  <c r="O39" i="20"/>
  <c r="Y40" i="20" s="1"/>
  <c r="U8" i="20"/>
  <c r="U14" i="20"/>
  <c r="U28" i="20"/>
  <c r="EJ36" i="13"/>
  <c r="CY36" i="13" s="1"/>
  <c r="V33" i="20"/>
  <c r="ES64" i="16"/>
  <c r="FN64" i="16" s="1"/>
  <c r="ES63" i="16"/>
  <c r="FN63" i="16" s="1"/>
  <c r="CY9" i="13"/>
  <c r="EH9" i="13"/>
  <c r="EH40" i="13"/>
  <c r="EL20" i="13"/>
  <c r="V17" i="20" s="1"/>
  <c r="CY41" i="13"/>
  <c r="EH41" i="13"/>
  <c r="EL18" i="13"/>
  <c r="EL12" i="13"/>
  <c r="EL11" i="13"/>
  <c r="EL21" i="13"/>
  <c r="EL19" i="13"/>
  <c r="EL17" i="13"/>
  <c r="EL15" i="13"/>
  <c r="EL33" i="13"/>
  <c r="EL31" i="13"/>
  <c r="EL29" i="13"/>
  <c r="EL25" i="13"/>
  <c r="EL23" i="13"/>
  <c r="EL13" i="13"/>
  <c r="EL16" i="13"/>
  <c r="EL27" i="13"/>
  <c r="EL34" i="13"/>
  <c r="EL32" i="13"/>
  <c r="EL30" i="13"/>
  <c r="EL28" i="13"/>
  <c r="V25" i="20" s="1"/>
  <c r="EL26" i="13"/>
  <c r="EL24" i="13"/>
  <c r="HO16" i="13"/>
  <c r="EH42" i="13" l="1"/>
  <c r="AJ11" i="13"/>
  <c r="AJ16" i="13"/>
  <c r="AJ34" i="13"/>
  <c r="AJ13" i="13"/>
  <c r="AJ12" i="13"/>
  <c r="EJ28" i="13"/>
  <c r="CY28" i="13" s="1"/>
  <c r="EJ16" i="13"/>
  <c r="V13" i="20"/>
  <c r="EJ27" i="13"/>
  <c r="CY27" i="13" s="1"/>
  <c r="V24" i="20"/>
  <c r="EM21" i="13"/>
  <c r="V18" i="20"/>
  <c r="EJ13" i="13"/>
  <c r="CY13" i="13" s="1"/>
  <c r="V10" i="20"/>
  <c r="EJ18" i="13"/>
  <c r="CY18" i="13" s="1"/>
  <c r="V15" i="20"/>
  <c r="EH37" i="13"/>
  <c r="EJ25" i="13"/>
  <c r="CY25" i="13" s="1"/>
  <c r="V22" i="20"/>
  <c r="EJ33" i="13"/>
  <c r="CY33" i="13" s="1"/>
  <c r="V30" i="20"/>
  <c r="EJ12" i="13"/>
  <c r="EH12" i="13" s="1"/>
  <c r="V9" i="20"/>
  <c r="EJ29" i="13"/>
  <c r="CY29" i="13" s="1"/>
  <c r="V26" i="20"/>
  <c r="EJ26" i="13"/>
  <c r="CY26" i="13" s="1"/>
  <c r="V23" i="20"/>
  <c r="EJ34" i="13"/>
  <c r="CY34" i="13" s="1"/>
  <c r="V31" i="20"/>
  <c r="EJ24" i="13"/>
  <c r="CY24" i="13" s="1"/>
  <c r="V21" i="20"/>
  <c r="EJ31" i="13"/>
  <c r="CY31" i="13" s="1"/>
  <c r="V28" i="20"/>
  <c r="EM15" i="13"/>
  <c r="V12" i="20"/>
  <c r="EJ30" i="13"/>
  <c r="CY30" i="13" s="1"/>
  <c r="V27" i="20"/>
  <c r="EJ17" i="13"/>
  <c r="CY17" i="13" s="1"/>
  <c r="V14" i="20"/>
  <c r="EJ11" i="13"/>
  <c r="CY11" i="13" s="1"/>
  <c r="V8" i="20"/>
  <c r="EJ23" i="13"/>
  <c r="CY23" i="13" s="1"/>
  <c r="V20" i="20"/>
  <c r="EH36" i="13"/>
  <c r="EJ32" i="13"/>
  <c r="CY32" i="13" s="1"/>
  <c r="V29" i="20"/>
  <c r="EJ19" i="13"/>
  <c r="CY19" i="13" s="1"/>
  <c r="V16" i="20"/>
  <c r="HS16" i="13"/>
  <c r="I27" i="9"/>
  <c r="BC3" i="20" s="1"/>
  <c r="BC5" i="20" s="1"/>
  <c r="K27" i="9"/>
  <c r="BD3" i="20" s="1"/>
  <c r="BD5" i="20" s="1"/>
  <c r="HU16" i="13"/>
  <c r="HW16" i="13"/>
  <c r="BZ16" i="13" s="1"/>
  <c r="M27" i="9"/>
  <c r="BE3" i="20" s="1"/>
  <c r="BE5" i="20" s="1"/>
  <c r="E27" i="9"/>
  <c r="BB3" i="20" s="1"/>
  <c r="BB5" i="20" s="1"/>
  <c r="EH33" i="13"/>
  <c r="EH16" i="13"/>
  <c r="CY16" i="13"/>
  <c r="CL7" i="13"/>
  <c r="S4" i="20" s="1"/>
  <c r="BY7" i="13"/>
  <c r="R4" i="20" s="1"/>
  <c r="R39" i="20" s="1"/>
  <c r="AB40" i="20" s="1"/>
  <c r="BK7" i="13"/>
  <c r="Q4" i="20" s="1"/>
  <c r="Q39" i="20" s="1"/>
  <c r="AA40" i="20" s="1"/>
  <c r="AX7" i="13"/>
  <c r="P4" i="20" s="1"/>
  <c r="V36" i="13"/>
  <c r="V37" i="13"/>
  <c r="V40" i="13"/>
  <c r="V41" i="13"/>
  <c r="V42" i="13"/>
  <c r="V23" i="13"/>
  <c r="V24" i="13"/>
  <c r="V25" i="13"/>
  <c r="V26" i="13"/>
  <c r="V27" i="13"/>
  <c r="V28" i="13"/>
  <c r="V29" i="13"/>
  <c r="V30" i="13"/>
  <c r="V31" i="13"/>
  <c r="V32" i="13"/>
  <c r="V33" i="13"/>
  <c r="V34" i="13"/>
  <c r="V16" i="13"/>
  <c r="V17" i="13"/>
  <c r="V18" i="13"/>
  <c r="V19" i="13"/>
  <c r="HC20" i="13"/>
  <c r="AU17" i="20" s="1"/>
  <c r="AW17" i="20" s="1"/>
  <c r="V21" i="13"/>
  <c r="V11" i="13"/>
  <c r="V12" i="13"/>
  <c r="V13" i="13"/>
  <c r="V9" i="13"/>
  <c r="V7" i="13"/>
  <c r="EH31" i="13" l="1"/>
  <c r="EH27" i="13"/>
  <c r="EH32" i="13"/>
  <c r="EH28" i="13"/>
  <c r="CY12" i="13"/>
  <c r="EH30" i="13"/>
  <c r="EH17" i="13"/>
  <c r="EH34" i="13"/>
  <c r="EH29" i="13"/>
  <c r="EH11" i="13"/>
  <c r="EH24" i="13"/>
  <c r="EH21" i="13"/>
  <c r="AH18" i="20"/>
  <c r="AJ18" i="20" s="1"/>
  <c r="W18" i="20"/>
  <c r="EH15" i="13"/>
  <c r="W12" i="20"/>
  <c r="EH25" i="13"/>
  <c r="EH23" i="13"/>
  <c r="EH26" i="13"/>
  <c r="S39" i="20"/>
  <c r="AC40" i="20" s="1"/>
  <c r="EH13" i="13"/>
  <c r="EH18" i="13"/>
  <c r="Z4" i="20"/>
  <c r="U4" i="20"/>
  <c r="P39" i="20"/>
  <c r="Z40" i="20" s="1"/>
  <c r="EH19" i="13"/>
  <c r="AB37" i="20"/>
  <c r="AB26" i="20"/>
  <c r="AB17" i="20"/>
  <c r="AB18" i="20"/>
  <c r="AB9" i="20"/>
  <c r="AB35" i="20"/>
  <c r="AB33" i="20"/>
  <c r="AB31" i="20"/>
  <c r="AB29" i="20"/>
  <c r="AB25" i="20"/>
  <c r="AB30" i="20"/>
  <c r="AB8" i="20"/>
  <c r="AB14" i="20"/>
  <c r="AB13" i="20"/>
  <c r="AB24" i="20"/>
  <c r="AB22" i="20"/>
  <c r="AB34" i="20"/>
  <c r="AB36" i="20"/>
  <c r="AB23" i="20"/>
  <c r="AB28" i="20"/>
  <c r="AB4" i="20"/>
  <c r="AB27" i="20"/>
  <c r="AB16" i="20"/>
  <c r="AB12" i="20"/>
  <c r="AB15" i="20"/>
  <c r="AB21" i="20"/>
  <c r="AB10" i="20"/>
  <c r="AB20" i="20"/>
  <c r="AB6" i="20"/>
  <c r="AA30" i="20"/>
  <c r="AA31" i="20"/>
  <c r="AA22" i="20"/>
  <c r="AA29" i="20"/>
  <c r="AA27" i="20"/>
  <c r="AA9" i="20"/>
  <c r="AA16" i="20"/>
  <c r="AA24" i="20"/>
  <c r="AA33" i="20"/>
  <c r="AA6" i="20"/>
  <c r="AA20" i="20"/>
  <c r="AA36" i="20"/>
  <c r="AA23" i="20"/>
  <c r="AA4" i="20"/>
  <c r="AA14" i="20"/>
  <c r="AA35" i="20"/>
  <c r="AA10" i="20"/>
  <c r="AA18" i="20"/>
  <c r="AA12" i="20"/>
  <c r="AA26" i="20"/>
  <c r="AA34" i="20"/>
  <c r="AA21" i="20"/>
  <c r="AA28" i="20"/>
  <c r="AA37" i="20"/>
  <c r="AA13" i="20"/>
  <c r="AA17" i="20"/>
  <c r="AA25" i="20"/>
  <c r="AA8" i="20"/>
  <c r="AA15" i="20"/>
  <c r="Y4" i="20"/>
  <c r="Y20" i="20"/>
  <c r="Y33" i="20"/>
  <c r="Y8" i="20"/>
  <c r="Y21" i="20"/>
  <c r="Y12" i="20"/>
  <c r="Y22" i="20"/>
  <c r="Y10" i="20"/>
  <c r="Y34" i="20"/>
  <c r="Y16" i="20"/>
  <c r="Y18" i="20"/>
  <c r="Y24" i="20"/>
  <c r="Y7" i="20"/>
  <c r="Y35" i="20"/>
  <c r="Y5" i="20"/>
  <c r="Y28" i="20"/>
  <c r="Y17" i="20"/>
  <c r="Y36" i="20"/>
  <c r="Y27" i="20"/>
  <c r="Y25" i="20"/>
  <c r="Y9" i="20"/>
  <c r="Y14" i="20"/>
  <c r="Y6" i="20"/>
  <c r="Y15" i="20"/>
  <c r="Y23" i="20"/>
  <c r="Y26" i="20"/>
  <c r="Y30" i="20"/>
  <c r="Y11" i="20"/>
  <c r="Y31" i="20"/>
  <c r="Y37" i="20"/>
  <c r="Y19" i="20"/>
  <c r="Y13" i="20"/>
  <c r="Y29" i="20"/>
  <c r="HC18" i="13"/>
  <c r="AU15" i="20" s="1"/>
  <c r="HC28" i="13"/>
  <c r="AU25" i="20" s="1"/>
  <c r="AW25" i="20" s="1"/>
  <c r="HC16" i="13"/>
  <c r="AU13" i="20" s="1"/>
  <c r="AW13" i="20" s="1"/>
  <c r="HC7" i="13"/>
  <c r="AU4" i="20" s="1"/>
  <c r="HC11" i="13"/>
  <c r="AU8" i="20" s="1"/>
  <c r="AW8" i="20" s="1"/>
  <c r="HC26" i="13"/>
  <c r="AU23" i="20" s="1"/>
  <c r="AW23" i="20" s="1"/>
  <c r="HC24" i="13"/>
  <c r="AU21" i="20" s="1"/>
  <c r="AW21" i="20" s="1"/>
  <c r="HC30" i="13"/>
  <c r="AU27" i="20" s="1"/>
  <c r="AW27" i="20" s="1"/>
  <c r="HC13" i="13"/>
  <c r="AU10" i="20" s="1"/>
  <c r="AW10" i="20" s="1"/>
  <c r="HC9" i="13"/>
  <c r="AU6" i="20" s="1"/>
  <c r="AW6" i="20" s="1"/>
  <c r="HC12" i="13"/>
  <c r="AU9" i="20" s="1"/>
  <c r="AW9" i="20" s="1"/>
  <c r="HC21" i="13"/>
  <c r="AU18" i="20" s="1"/>
  <c r="AW18" i="20" s="1"/>
  <c r="HC19" i="13"/>
  <c r="AU16" i="20" s="1"/>
  <c r="HC17" i="13"/>
  <c r="AU14" i="20" s="1"/>
  <c r="AW14" i="20" s="1"/>
  <c r="HC15" i="13"/>
  <c r="AU12" i="20" s="1"/>
  <c r="AW12" i="20" s="1"/>
  <c r="HC31" i="13"/>
  <c r="AU28" i="20" s="1"/>
  <c r="AW28" i="20" s="1"/>
  <c r="HC29" i="13"/>
  <c r="AU26" i="20" s="1"/>
  <c r="AW26" i="20" s="1"/>
  <c r="HC27" i="13"/>
  <c r="AU24" i="20" s="1"/>
  <c r="AW24" i="20" s="1"/>
  <c r="HC25" i="13"/>
  <c r="AU22" i="20" s="1"/>
  <c r="AW22" i="20" s="1"/>
  <c r="HC23" i="13"/>
  <c r="AU20" i="20" s="1"/>
  <c r="AW20" i="20" s="1"/>
  <c r="HC41" i="13"/>
  <c r="HC37" i="13"/>
  <c r="HC42" i="13"/>
  <c r="HC40" i="13"/>
  <c r="HC36" i="13"/>
  <c r="E39" i="9"/>
  <c r="HO42" i="13" s="1"/>
  <c r="CZ16" i="13" s="1"/>
  <c r="GQ16" i="13" s="1"/>
  <c r="L13" i="20" s="1"/>
  <c r="HO32" i="13"/>
  <c r="M39" i="9"/>
  <c r="HW42" i="13" s="1"/>
  <c r="HW32" i="13"/>
  <c r="AX4" i="13"/>
  <c r="BL19" i="13"/>
  <c r="BK4" i="13"/>
  <c r="I39" i="9"/>
  <c r="HS42" i="13" s="1"/>
  <c r="HS32" i="13"/>
  <c r="HU32" i="13"/>
  <c r="K39" i="9"/>
  <c r="HU42" i="13" s="1"/>
  <c r="EL7" i="13"/>
  <c r="HC51" i="13" l="1"/>
  <c r="J11" i="14" s="1"/>
  <c r="AU34" i="20"/>
  <c r="AW34" i="20" s="1"/>
  <c r="HC53" i="13"/>
  <c r="J13" i="14" s="1"/>
  <c r="AU36" i="20"/>
  <c r="AW36" i="20" s="1"/>
  <c r="HC54" i="13"/>
  <c r="J14" i="14" s="1"/>
  <c r="AU37" i="20"/>
  <c r="AW37" i="20" s="1"/>
  <c r="AW4" i="20"/>
  <c r="EJ7" i="13"/>
  <c r="CY7" i="13" s="1"/>
  <c r="V4" i="20"/>
  <c r="HC50" i="13"/>
  <c r="J10" i="14" s="1"/>
  <c r="AU33" i="20"/>
  <c r="AW33" i="20" s="1"/>
  <c r="AV15" i="20"/>
  <c r="HC52" i="13"/>
  <c r="J12" i="14" s="1"/>
  <c r="AU35" i="20"/>
  <c r="AW35" i="20" s="1"/>
  <c r="AB39" i="20"/>
  <c r="AA39" i="20"/>
  <c r="Z39" i="20"/>
  <c r="Y39" i="20"/>
  <c r="HC46" i="13"/>
  <c r="J6" i="14" s="1"/>
  <c r="HC45" i="13"/>
  <c r="J5" i="14" s="1"/>
  <c r="HC47" i="13"/>
  <c r="J7" i="14" s="1"/>
  <c r="AY31" i="13"/>
  <c r="AY32" i="13"/>
  <c r="CZ11" i="13"/>
  <c r="GQ11" i="13" s="1"/>
  <c r="L8" i="20" s="1"/>
  <c r="CZ13" i="13"/>
  <c r="GQ13" i="13" s="1"/>
  <c r="L10" i="20" s="1"/>
  <c r="EY58" i="16"/>
  <c r="AV16" i="20" l="1"/>
  <c r="AT16" i="20" s="1"/>
  <c r="AT15" i="20"/>
  <c r="HD18" i="13" s="1"/>
  <c r="EH7" i="13"/>
  <c r="D34" i="16"/>
  <c r="D36" i="16"/>
  <c r="D38" i="16"/>
  <c r="D40" i="16"/>
  <c r="D42" i="16"/>
  <c r="FE17" i="16"/>
  <c r="EY57" i="16"/>
  <c r="EY56" i="16"/>
  <c r="EY55" i="16"/>
  <c r="EY53" i="16"/>
  <c r="EY52" i="16"/>
  <c r="EY51" i="16"/>
  <c r="EY50" i="16"/>
  <c r="EY48" i="16"/>
  <c r="EY47" i="16"/>
  <c r="EY46" i="16"/>
  <c r="EY45" i="16"/>
  <c r="EY43" i="16"/>
  <c r="EY42" i="16"/>
  <c r="EY41" i="16"/>
  <c r="EY40" i="16"/>
  <c r="EY38" i="16"/>
  <c r="EY37" i="16"/>
  <c r="EY36" i="16"/>
  <c r="EY35" i="16"/>
  <c r="EY34" i="16"/>
  <c r="EY33" i="16"/>
  <c r="EX18" i="16"/>
  <c r="EX19" i="16" s="1"/>
  <c r="EX20" i="16" s="1"/>
  <c r="EX21" i="16" s="1"/>
  <c r="EX22" i="16" s="1"/>
  <c r="EX23" i="16" s="1"/>
  <c r="EX24" i="16" s="1"/>
  <c r="EX25" i="16" s="1"/>
  <c r="EX26" i="16" s="1"/>
  <c r="EX27" i="16" s="1"/>
  <c r="EX28" i="16" s="1"/>
  <c r="EX29" i="16" s="1"/>
  <c r="EX30" i="16" s="1"/>
  <c r="EX31" i="16" s="1"/>
  <c r="EX32" i="16" s="1"/>
  <c r="EX33" i="16" s="1"/>
  <c r="EX34" i="16" s="1"/>
  <c r="EX35" i="16" s="1"/>
  <c r="EX36" i="16" s="1"/>
  <c r="EX37" i="16" s="1"/>
  <c r="EX38" i="16" s="1"/>
  <c r="EX39" i="16" s="1"/>
  <c r="EX40" i="16" s="1"/>
  <c r="EX41" i="16" s="1"/>
  <c r="EX42" i="16" s="1"/>
  <c r="EX43" i="16" s="1"/>
  <c r="EX44" i="16" s="1"/>
  <c r="EX45" i="16" s="1"/>
  <c r="EX46" i="16" s="1"/>
  <c r="EX47" i="16" s="1"/>
  <c r="EX48" i="16" s="1"/>
  <c r="EX49" i="16" s="1"/>
  <c r="EX50" i="16" s="1"/>
  <c r="EX51" i="16" s="1"/>
  <c r="EX52" i="16" s="1"/>
  <c r="EX53" i="16" s="1"/>
  <c r="EX54" i="16" s="1"/>
  <c r="EX55" i="16" s="1"/>
  <c r="EX56" i="16" s="1"/>
  <c r="EX57" i="16" s="1"/>
  <c r="J17" i="16"/>
  <c r="GB17" i="16" s="1"/>
  <c r="J18" i="16"/>
  <c r="GB18" i="16" s="1"/>
  <c r="J19" i="16"/>
  <c r="GB19" i="16" s="1"/>
  <c r="J20" i="16"/>
  <c r="GB20" i="16" s="1"/>
  <c r="J21" i="16"/>
  <c r="GB21" i="16" s="1"/>
  <c r="J22" i="16"/>
  <c r="GB22" i="16" s="1"/>
  <c r="J23" i="16"/>
  <c r="GB23" i="16" s="1"/>
  <c r="J24" i="16"/>
  <c r="GB24" i="16" s="1"/>
  <c r="J25" i="16"/>
  <c r="GB25" i="16" s="1"/>
  <c r="J26" i="16"/>
  <c r="GB26" i="16" s="1"/>
  <c r="J27" i="16"/>
  <c r="GB27" i="16" s="1"/>
  <c r="J28" i="16"/>
  <c r="GB28" i="16" s="1"/>
  <c r="J29" i="16"/>
  <c r="GB29" i="16" s="1"/>
  <c r="J30" i="16"/>
  <c r="GB30" i="16" s="1"/>
  <c r="J31" i="16"/>
  <c r="GB31" i="16" s="1"/>
  <c r="J32" i="16"/>
  <c r="GB32" i="16" s="1"/>
  <c r="J33" i="16"/>
  <c r="GB33" i="16" s="1"/>
  <c r="J34" i="16"/>
  <c r="GB34" i="16" s="1"/>
  <c r="J35" i="16"/>
  <c r="GB35" i="16" s="1"/>
  <c r="J36" i="16"/>
  <c r="GB36" i="16" s="1"/>
  <c r="J37" i="16"/>
  <c r="GB37" i="16" s="1"/>
  <c r="J38" i="16"/>
  <c r="GB38" i="16" s="1"/>
  <c r="J39" i="16"/>
  <c r="GB39" i="16" s="1"/>
  <c r="J40" i="16"/>
  <c r="GB40" i="16" s="1"/>
  <c r="J41" i="16"/>
  <c r="GB41" i="16" s="1"/>
  <c r="J42" i="16"/>
  <c r="GB42" i="16" s="1"/>
  <c r="J43" i="16"/>
  <c r="GB43" i="16" s="1"/>
  <c r="J44" i="16"/>
  <c r="GB44" i="16" s="1"/>
  <c r="J45" i="16"/>
  <c r="GB45" i="16" s="1"/>
  <c r="J46" i="16"/>
  <c r="GB46" i="16" s="1"/>
  <c r="DW17" i="16"/>
  <c r="DJ18" i="16"/>
  <c r="DJ19" i="16" s="1"/>
  <c r="DJ20" i="16" s="1"/>
  <c r="DJ21" i="16" s="1"/>
  <c r="DJ22" i="16" s="1"/>
  <c r="DJ23" i="16" s="1"/>
  <c r="DJ24" i="16" s="1"/>
  <c r="DJ25" i="16" s="1"/>
  <c r="DJ26" i="16" s="1"/>
  <c r="DJ27" i="16" s="1"/>
  <c r="DJ28" i="16" s="1"/>
  <c r="DJ29" i="16" s="1"/>
  <c r="DJ30" i="16" s="1"/>
  <c r="DJ31" i="16" s="1"/>
  <c r="DJ32" i="16" s="1"/>
  <c r="DJ33" i="16" s="1"/>
  <c r="DJ34" i="16" s="1"/>
  <c r="DJ35" i="16" s="1"/>
  <c r="DJ36" i="16" s="1"/>
  <c r="DJ37" i="16" s="1"/>
  <c r="DJ38" i="16" s="1"/>
  <c r="DJ39" i="16" s="1"/>
  <c r="DJ40" i="16" s="1"/>
  <c r="DJ41" i="16" s="1"/>
  <c r="DJ42" i="16" s="1"/>
  <c r="DJ43" i="16" s="1"/>
  <c r="DJ44" i="16" s="1"/>
  <c r="DJ45" i="16" s="1"/>
  <c r="DJ46" i="16" s="1"/>
  <c r="DJ47" i="16" s="1"/>
  <c r="DJ48" i="16" s="1"/>
  <c r="DJ49" i="16" s="1"/>
  <c r="DJ50" i="16" s="1"/>
  <c r="DJ51" i="16" s="1"/>
  <c r="DJ52" i="16" s="1"/>
  <c r="DJ53" i="16" s="1"/>
  <c r="DJ54" i="16" s="1"/>
  <c r="DJ55" i="16" s="1"/>
  <c r="DJ56" i="16" s="1"/>
  <c r="DJ57" i="16" s="1"/>
  <c r="DW57" i="16" s="1"/>
  <c r="E16" i="16"/>
  <c r="I17" i="16"/>
  <c r="DK17" i="16" s="1"/>
  <c r="FM17" i="16" s="1"/>
  <c r="I18" i="16"/>
  <c r="DK18" i="16" s="1"/>
  <c r="FM18" i="16" s="1"/>
  <c r="I19" i="16"/>
  <c r="DK19" i="16" s="1"/>
  <c r="FM19" i="16" s="1"/>
  <c r="I20" i="16"/>
  <c r="DK20" i="16" s="1"/>
  <c r="FM20" i="16" s="1"/>
  <c r="I21" i="16"/>
  <c r="DK21" i="16" s="1"/>
  <c r="FM21" i="16" s="1"/>
  <c r="I22" i="16"/>
  <c r="DK22" i="16" s="1"/>
  <c r="FM22" i="16" s="1"/>
  <c r="I23" i="16"/>
  <c r="DK23" i="16" s="1"/>
  <c r="FM23" i="16" s="1"/>
  <c r="I24" i="16"/>
  <c r="DK24" i="16" s="1"/>
  <c r="FM24" i="16" s="1"/>
  <c r="I25" i="16"/>
  <c r="DK25" i="16" s="1"/>
  <c r="FM25" i="16" s="1"/>
  <c r="I26" i="16"/>
  <c r="DK26" i="16" s="1"/>
  <c r="FM26" i="16" s="1"/>
  <c r="I27" i="16"/>
  <c r="DK27" i="16" s="1"/>
  <c r="FM27" i="16" s="1"/>
  <c r="I28" i="16"/>
  <c r="DK28" i="16" s="1"/>
  <c r="FM28" i="16" s="1"/>
  <c r="I29" i="16"/>
  <c r="DK29" i="16" s="1"/>
  <c r="FM29" i="16" s="1"/>
  <c r="I30" i="16"/>
  <c r="DK30" i="16" s="1"/>
  <c r="FM30" i="16" s="1"/>
  <c r="I31" i="16"/>
  <c r="DK31" i="16" s="1"/>
  <c r="FM31" i="16" s="1"/>
  <c r="I32" i="16"/>
  <c r="DK32" i="16" s="1"/>
  <c r="FM32" i="16" s="1"/>
  <c r="I33" i="16"/>
  <c r="DK33" i="16" s="1"/>
  <c r="FM33" i="16" s="1"/>
  <c r="I34" i="16"/>
  <c r="DK34" i="16" s="1"/>
  <c r="FM34" i="16" s="1"/>
  <c r="I35" i="16"/>
  <c r="DK35" i="16" s="1"/>
  <c r="FM35" i="16" s="1"/>
  <c r="I36" i="16"/>
  <c r="DK36" i="16" s="1"/>
  <c r="FM36" i="16" s="1"/>
  <c r="I37" i="16"/>
  <c r="DK37" i="16" s="1"/>
  <c r="FM37" i="16" s="1"/>
  <c r="I38" i="16"/>
  <c r="DK38" i="16" s="1"/>
  <c r="FM38" i="16" s="1"/>
  <c r="I39" i="16"/>
  <c r="DK39" i="16" s="1"/>
  <c r="FM39" i="16" s="1"/>
  <c r="I40" i="16"/>
  <c r="DK40" i="16" s="1"/>
  <c r="FM40" i="16" s="1"/>
  <c r="I41" i="16"/>
  <c r="DK41" i="16" s="1"/>
  <c r="FM41" i="16" s="1"/>
  <c r="I42" i="16"/>
  <c r="DK42" i="16" s="1"/>
  <c r="FM42" i="16" s="1"/>
  <c r="I43" i="16"/>
  <c r="DK43" i="16" s="1"/>
  <c r="FM43" i="16" s="1"/>
  <c r="I44" i="16"/>
  <c r="DK44" i="16" s="1"/>
  <c r="FM44" i="16" s="1"/>
  <c r="I45" i="16"/>
  <c r="DK45" i="16" s="1"/>
  <c r="FM45" i="16" s="1"/>
  <c r="I46" i="16"/>
  <c r="DK46" i="16" s="1"/>
  <c r="FM46" i="16" s="1"/>
  <c r="AM17" i="16"/>
  <c r="D43" i="16"/>
  <c r="D41" i="16"/>
  <c r="D39" i="16"/>
  <c r="D37" i="16"/>
  <c r="D35" i="16"/>
  <c r="EB18" i="16"/>
  <c r="EB19" i="16" s="1"/>
  <c r="EO17" i="16"/>
  <c r="CN18" i="16"/>
  <c r="CN19" i="16" s="1"/>
  <c r="DA17" i="16"/>
  <c r="CE17" i="16"/>
  <c r="DX16" i="13"/>
  <c r="DU16" i="13" s="1"/>
  <c r="BR18" i="16"/>
  <c r="BR19" i="16" s="1"/>
  <c r="BR20" i="16" s="1"/>
  <c r="BR21" i="16" s="1"/>
  <c r="BR22" i="16" s="1"/>
  <c r="BR23" i="16" s="1"/>
  <c r="BR24" i="16" s="1"/>
  <c r="BR25" i="16" s="1"/>
  <c r="BR26" i="16" s="1"/>
  <c r="BR27" i="16" s="1"/>
  <c r="BR28" i="16" s="1"/>
  <c r="BR29" i="16" s="1"/>
  <c r="BR30" i="16" s="1"/>
  <c r="BR31" i="16" s="1"/>
  <c r="BR32" i="16" s="1"/>
  <c r="BI17" i="16"/>
  <c r="AV18" i="16"/>
  <c r="BI18" i="16" s="1"/>
  <c r="Z18" i="16"/>
  <c r="Z19" i="16" s="1"/>
  <c r="Z20" i="16" s="1"/>
  <c r="Z21" i="16" s="1"/>
  <c r="Z22" i="16" s="1"/>
  <c r="Z23" i="16" s="1"/>
  <c r="Z24" i="16" s="1"/>
  <c r="Z25" i="16" s="1"/>
  <c r="Z26" i="16" s="1"/>
  <c r="Z27" i="16" s="1"/>
  <c r="Z28" i="16" s="1"/>
  <c r="Z29" i="16" s="1"/>
  <c r="Z30" i="16" s="1"/>
  <c r="Z31" i="16" s="1"/>
  <c r="Z32" i="16" s="1"/>
  <c r="Z33" i="16" s="1"/>
  <c r="Z34" i="16" s="1"/>
  <c r="Z35" i="16" s="1"/>
  <c r="Z36" i="16" s="1"/>
  <c r="Z37" i="16" s="1"/>
  <c r="Z38" i="16" s="1"/>
  <c r="Z39" i="16" s="1"/>
  <c r="Z40" i="16" s="1"/>
  <c r="Z41" i="16" s="1"/>
  <c r="Z42" i="16" s="1"/>
  <c r="Z43" i="16" s="1"/>
  <c r="Z44" i="16" s="1"/>
  <c r="Z45" i="16" s="1"/>
  <c r="Z46" i="16" s="1"/>
  <c r="Z47" i="16" s="1"/>
  <c r="Z48" i="16" s="1"/>
  <c r="Z49" i="16" s="1"/>
  <c r="Z50" i="16" s="1"/>
  <c r="Z51" i="16" s="1"/>
  <c r="Z52" i="16" s="1"/>
  <c r="Z53" i="16" s="1"/>
  <c r="Z54" i="16" s="1"/>
  <c r="Z55" i="16" s="1"/>
  <c r="Z56" i="16" s="1"/>
  <c r="Z57" i="16" s="1"/>
  <c r="M15" i="16"/>
  <c r="S15" i="16"/>
  <c r="L17" i="16"/>
  <c r="B48" i="17"/>
  <c r="L18" i="16" s="1"/>
  <c r="B47" i="17"/>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C29" i="17"/>
  <c r="D29" i="17"/>
  <c r="E29" i="17"/>
  <c r="F29" i="17"/>
  <c r="G29" i="17"/>
  <c r="H29" i="17"/>
  <c r="I29" i="17"/>
  <c r="J29" i="17"/>
  <c r="K29" i="17"/>
  <c r="L29" i="17"/>
  <c r="M29" i="17"/>
  <c r="N29" i="17"/>
  <c r="O29" i="17"/>
  <c r="P29" i="17"/>
  <c r="Q29" i="17"/>
  <c r="R29" i="17"/>
  <c r="S29" i="17"/>
  <c r="T29" i="17"/>
  <c r="U29" i="17"/>
  <c r="V29" i="17"/>
  <c r="W29" i="17"/>
  <c r="X29" i="17"/>
  <c r="Y29" i="17"/>
  <c r="Z29" i="17"/>
  <c r="AA29" i="17"/>
  <c r="AB29" i="17"/>
  <c r="AC29" i="17"/>
  <c r="AD29" i="17"/>
  <c r="C30" i="17"/>
  <c r="D30" i="17"/>
  <c r="E30" i="17"/>
  <c r="F30" i="17"/>
  <c r="G30" i="17"/>
  <c r="H30" i="17"/>
  <c r="I30" i="17"/>
  <c r="J30" i="17"/>
  <c r="K30" i="17"/>
  <c r="L30" i="17"/>
  <c r="M30" i="17"/>
  <c r="N30" i="17"/>
  <c r="O30" i="17"/>
  <c r="P30" i="17"/>
  <c r="Q30" i="17"/>
  <c r="R30" i="17"/>
  <c r="S30" i="17"/>
  <c r="T30" i="17"/>
  <c r="U30" i="17"/>
  <c r="V30" i="17"/>
  <c r="W30" i="17"/>
  <c r="X30" i="17"/>
  <c r="Y30" i="17"/>
  <c r="Z30" i="17"/>
  <c r="AA30" i="17"/>
  <c r="AB30" i="17"/>
  <c r="AC30" i="17"/>
  <c r="AD30" i="17"/>
  <c r="C31" i="17"/>
  <c r="D31" i="17"/>
  <c r="E31" i="17"/>
  <c r="F31" i="17"/>
  <c r="G31" i="17"/>
  <c r="H31" i="17"/>
  <c r="I31" i="17"/>
  <c r="J31" i="17"/>
  <c r="K31" i="17"/>
  <c r="L31" i="17"/>
  <c r="M31" i="17"/>
  <c r="N31" i="17"/>
  <c r="O31" i="17"/>
  <c r="P31" i="17"/>
  <c r="Q31" i="17"/>
  <c r="R31" i="17"/>
  <c r="S31" i="17"/>
  <c r="T31" i="17"/>
  <c r="U31" i="17"/>
  <c r="V31" i="17"/>
  <c r="W31" i="17"/>
  <c r="X31" i="17"/>
  <c r="Y31" i="17"/>
  <c r="Z31" i="17"/>
  <c r="AA31" i="17"/>
  <c r="AB31" i="17"/>
  <c r="AC31" i="17"/>
  <c r="AD31" i="17"/>
  <c r="C32" i="17"/>
  <c r="D32" i="17"/>
  <c r="E32" i="17"/>
  <c r="F32" i="17"/>
  <c r="G32" i="17"/>
  <c r="H32" i="17"/>
  <c r="I32" i="17"/>
  <c r="J32" i="17"/>
  <c r="K32" i="17"/>
  <c r="L32" i="17"/>
  <c r="M32" i="17"/>
  <c r="N32" i="17"/>
  <c r="O32" i="17"/>
  <c r="P32" i="17"/>
  <c r="Q32" i="17"/>
  <c r="R32" i="17"/>
  <c r="S32" i="17"/>
  <c r="T32" i="17"/>
  <c r="U32" i="17"/>
  <c r="V32" i="17"/>
  <c r="W32" i="17"/>
  <c r="X32" i="17"/>
  <c r="Y32" i="17"/>
  <c r="Z32" i="17"/>
  <c r="AA32" i="17"/>
  <c r="AB32" i="17"/>
  <c r="AC32" i="17"/>
  <c r="AD32" i="17"/>
  <c r="C33" i="17"/>
  <c r="D33" i="17"/>
  <c r="E33" i="17"/>
  <c r="F33" i="17"/>
  <c r="G33" i="17"/>
  <c r="H33" i="17"/>
  <c r="I33" i="17"/>
  <c r="J33" i="17"/>
  <c r="K33" i="17"/>
  <c r="L33" i="17"/>
  <c r="M33" i="17"/>
  <c r="N33" i="17"/>
  <c r="O33" i="17"/>
  <c r="P33" i="17"/>
  <c r="Q33" i="17"/>
  <c r="R33" i="17"/>
  <c r="S33" i="17"/>
  <c r="T33" i="17"/>
  <c r="U33" i="17"/>
  <c r="V33" i="17"/>
  <c r="W33" i="17"/>
  <c r="X33" i="17"/>
  <c r="Y33" i="17"/>
  <c r="Z33" i="17"/>
  <c r="AA33" i="17"/>
  <c r="AB33" i="17"/>
  <c r="AC33" i="17"/>
  <c r="AD33" i="17"/>
  <c r="C34" i="17"/>
  <c r="D34" i="17"/>
  <c r="E34" i="17"/>
  <c r="F34" i="17"/>
  <c r="G34" i="17"/>
  <c r="H34" i="17"/>
  <c r="I34" i="17"/>
  <c r="J34" i="17"/>
  <c r="K34" i="17"/>
  <c r="L34" i="17"/>
  <c r="M34" i="17"/>
  <c r="N34" i="17"/>
  <c r="O34" i="17"/>
  <c r="P34" i="17"/>
  <c r="Q34" i="17"/>
  <c r="R34" i="17"/>
  <c r="S34" i="17"/>
  <c r="T34" i="17"/>
  <c r="U34" i="17"/>
  <c r="V34" i="17"/>
  <c r="W34" i="17"/>
  <c r="X34" i="17"/>
  <c r="Y34" i="17"/>
  <c r="Z34" i="17"/>
  <c r="AA34" i="17"/>
  <c r="AB34" i="17"/>
  <c r="AC34" i="17"/>
  <c r="AD34" i="17"/>
  <c r="C35" i="17"/>
  <c r="D35" i="17"/>
  <c r="E35" i="17"/>
  <c r="F35" i="17"/>
  <c r="G35" i="17"/>
  <c r="H35" i="17"/>
  <c r="I35" i="17"/>
  <c r="J35" i="17"/>
  <c r="K35" i="17"/>
  <c r="L35" i="17"/>
  <c r="M35" i="17"/>
  <c r="N35" i="17"/>
  <c r="O35" i="17"/>
  <c r="P35" i="17"/>
  <c r="Q35" i="17"/>
  <c r="R35" i="17"/>
  <c r="S35" i="17"/>
  <c r="T35" i="17"/>
  <c r="U35" i="17"/>
  <c r="V35" i="17"/>
  <c r="W35" i="17"/>
  <c r="X35" i="17"/>
  <c r="Y35" i="17"/>
  <c r="Z35" i="17"/>
  <c r="AA35" i="17"/>
  <c r="AB35" i="17"/>
  <c r="AC35" i="17"/>
  <c r="AD35" i="17"/>
  <c r="C36" i="17"/>
  <c r="D36" i="17"/>
  <c r="E36" i="17"/>
  <c r="F36" i="17"/>
  <c r="G36" i="17"/>
  <c r="H36" i="17"/>
  <c r="I36" i="17"/>
  <c r="J36" i="17"/>
  <c r="K36" i="17"/>
  <c r="L36" i="17"/>
  <c r="M36" i="17"/>
  <c r="N36" i="17"/>
  <c r="O36" i="17"/>
  <c r="P36" i="17"/>
  <c r="Q36" i="17"/>
  <c r="R36" i="17"/>
  <c r="S36" i="17"/>
  <c r="T36" i="17"/>
  <c r="U36" i="17"/>
  <c r="V36" i="17"/>
  <c r="W36" i="17"/>
  <c r="X36" i="17"/>
  <c r="Y36" i="17"/>
  <c r="Z36" i="17"/>
  <c r="AA36" i="17"/>
  <c r="AB36" i="17"/>
  <c r="AC36" i="17"/>
  <c r="AD36" i="17"/>
  <c r="C37" i="17"/>
  <c r="D37" i="17"/>
  <c r="E37" i="17"/>
  <c r="F37" i="17"/>
  <c r="G37" i="17"/>
  <c r="H37" i="17"/>
  <c r="I37" i="17"/>
  <c r="J37" i="17"/>
  <c r="K37" i="17"/>
  <c r="L37" i="17"/>
  <c r="M37" i="17"/>
  <c r="N37" i="17"/>
  <c r="O37" i="17"/>
  <c r="P37" i="17"/>
  <c r="Q37" i="17"/>
  <c r="R37" i="17"/>
  <c r="S37" i="17"/>
  <c r="T37" i="17"/>
  <c r="U37" i="17"/>
  <c r="V37" i="17"/>
  <c r="W37" i="17"/>
  <c r="X37" i="17"/>
  <c r="Y37" i="17"/>
  <c r="Z37" i="17"/>
  <c r="AA37" i="17"/>
  <c r="AB37" i="17"/>
  <c r="AC37" i="17"/>
  <c r="AD37" i="17"/>
  <c r="C38" i="17"/>
  <c r="C44" i="17" s="1"/>
  <c r="D38" i="17"/>
  <c r="D44" i="17" s="1"/>
  <c r="E38" i="17"/>
  <c r="E44" i="17" s="1"/>
  <c r="F38" i="17"/>
  <c r="F44" i="17" s="1"/>
  <c r="G38" i="17"/>
  <c r="G44" i="17" s="1"/>
  <c r="H38" i="17"/>
  <c r="H44" i="17" s="1"/>
  <c r="I38" i="17"/>
  <c r="I44" i="17" s="1"/>
  <c r="J38" i="17"/>
  <c r="J44" i="17" s="1"/>
  <c r="K38" i="17"/>
  <c r="K44" i="17" s="1"/>
  <c r="L38" i="17"/>
  <c r="L44" i="17" s="1"/>
  <c r="M38" i="17"/>
  <c r="M44" i="17" s="1"/>
  <c r="N38" i="17"/>
  <c r="N44" i="17" s="1"/>
  <c r="O38" i="17"/>
  <c r="O44" i="17" s="1"/>
  <c r="P38" i="17"/>
  <c r="P44" i="17" s="1"/>
  <c r="Q38" i="17"/>
  <c r="Q44" i="17" s="1"/>
  <c r="R38" i="17"/>
  <c r="R44" i="17" s="1"/>
  <c r="S38" i="17"/>
  <c r="S44" i="17" s="1"/>
  <c r="T38" i="17"/>
  <c r="T44" i="17" s="1"/>
  <c r="U38" i="17"/>
  <c r="U44" i="17" s="1"/>
  <c r="V38" i="17"/>
  <c r="V44" i="17" s="1"/>
  <c r="W38" i="17"/>
  <c r="W44" i="17" s="1"/>
  <c r="X38" i="17"/>
  <c r="X44" i="17" s="1"/>
  <c r="Y38" i="17"/>
  <c r="Y44" i="17" s="1"/>
  <c r="Z38" i="17"/>
  <c r="Z44" i="17" s="1"/>
  <c r="AA38" i="17"/>
  <c r="AA44" i="17" s="1"/>
  <c r="AB38" i="17"/>
  <c r="AB44" i="17" s="1"/>
  <c r="AC38" i="17"/>
  <c r="AC44" i="17" s="1"/>
  <c r="AD38" i="17"/>
  <c r="AD44" i="17" s="1"/>
  <c r="AW16" i="20" l="1"/>
  <c r="HD19" i="13"/>
  <c r="HD47" i="13" s="1"/>
  <c r="K7" i="14" s="1"/>
  <c r="AW15" i="20"/>
  <c r="AT39" i="20"/>
  <c r="AM18" i="16"/>
  <c r="B49" i="17"/>
  <c r="FE18" i="16"/>
  <c r="FE57" i="16"/>
  <c r="EX58" i="16"/>
  <c r="AM57" i="16"/>
  <c r="Z58" i="16"/>
  <c r="Z59" i="16" s="1"/>
  <c r="Z60" i="16" s="1"/>
  <c r="Z61" i="16" s="1"/>
  <c r="Z62" i="16" s="1"/>
  <c r="Z63" i="16" s="1"/>
  <c r="Z64" i="16" s="1"/>
  <c r="DW18" i="16"/>
  <c r="AD43" i="17"/>
  <c r="AB43" i="17"/>
  <c r="Z43" i="17"/>
  <c r="X43" i="17"/>
  <c r="V43" i="17"/>
  <c r="T43" i="17"/>
  <c r="R43" i="17"/>
  <c r="P43" i="17"/>
  <c r="N43" i="17"/>
  <c r="L43" i="17"/>
  <c r="J43" i="17"/>
  <c r="H43" i="17"/>
  <c r="F43" i="17"/>
  <c r="D43" i="17"/>
  <c r="AD40" i="17"/>
  <c r="AB40" i="17"/>
  <c r="Z40" i="17"/>
  <c r="X40" i="17"/>
  <c r="V40" i="17"/>
  <c r="T40" i="17"/>
  <c r="R40" i="17"/>
  <c r="P40" i="17"/>
  <c r="N40" i="17"/>
  <c r="L40" i="17"/>
  <c r="J40" i="17"/>
  <c r="H40" i="17"/>
  <c r="F40" i="17"/>
  <c r="D40" i="17"/>
  <c r="AD41" i="17"/>
  <c r="AB41" i="17"/>
  <c r="Z41" i="17"/>
  <c r="X41" i="17"/>
  <c r="V41" i="17"/>
  <c r="T41" i="17"/>
  <c r="R41" i="17"/>
  <c r="P41" i="17"/>
  <c r="N41" i="17"/>
  <c r="L41" i="17"/>
  <c r="J41" i="17"/>
  <c r="H41" i="17"/>
  <c r="F41" i="17"/>
  <c r="D41" i="17"/>
  <c r="AD42" i="17"/>
  <c r="AB42" i="17"/>
  <c r="Z42" i="17"/>
  <c r="X42" i="17"/>
  <c r="V42" i="17"/>
  <c r="T42" i="17"/>
  <c r="R42" i="17"/>
  <c r="P42" i="17"/>
  <c r="N42" i="17"/>
  <c r="L42" i="17"/>
  <c r="J42" i="17"/>
  <c r="H42" i="17"/>
  <c r="F42" i="17"/>
  <c r="D42" i="17"/>
  <c r="AC43" i="17"/>
  <c r="AA43" i="17"/>
  <c r="Y43" i="17"/>
  <c r="W43" i="17"/>
  <c r="U43" i="17"/>
  <c r="S43" i="17"/>
  <c r="Q43" i="17"/>
  <c r="O43" i="17"/>
  <c r="M43" i="17"/>
  <c r="K43" i="17"/>
  <c r="I43" i="17"/>
  <c r="G43" i="17"/>
  <c r="E43" i="17"/>
  <c r="C43" i="17"/>
  <c r="AC40" i="17"/>
  <c r="AA40" i="17"/>
  <c r="Y40" i="17"/>
  <c r="W40" i="17"/>
  <c r="U40" i="17"/>
  <c r="S40" i="17"/>
  <c r="Q40" i="17"/>
  <c r="O40" i="17"/>
  <c r="M40" i="17"/>
  <c r="K40" i="17"/>
  <c r="I40" i="17"/>
  <c r="G40" i="17"/>
  <c r="E40" i="17"/>
  <c r="C40" i="17"/>
  <c r="AC41" i="17"/>
  <c r="AA41" i="17"/>
  <c r="Y41" i="17"/>
  <c r="W41" i="17"/>
  <c r="U41" i="17"/>
  <c r="S41" i="17"/>
  <c r="Q41" i="17"/>
  <c r="O41" i="17"/>
  <c r="M41" i="17"/>
  <c r="K41" i="17"/>
  <c r="I41" i="17"/>
  <c r="G41" i="17"/>
  <c r="E41" i="17"/>
  <c r="C41" i="17"/>
  <c r="AC42" i="17"/>
  <c r="AA42" i="17"/>
  <c r="Y42" i="17"/>
  <c r="W42" i="17"/>
  <c r="U42" i="17"/>
  <c r="S42" i="17"/>
  <c r="Q42" i="17"/>
  <c r="O42" i="17"/>
  <c r="M42" i="17"/>
  <c r="K42" i="17"/>
  <c r="I42" i="17"/>
  <c r="G42" i="17"/>
  <c r="E42" i="17"/>
  <c r="C42" i="17"/>
  <c r="AM19" i="16"/>
  <c r="AM21" i="16"/>
  <c r="AM23" i="16"/>
  <c r="AM25" i="16"/>
  <c r="AM27" i="16"/>
  <c r="AM29" i="16"/>
  <c r="AM31" i="16"/>
  <c r="AM33" i="16"/>
  <c r="AM35" i="16"/>
  <c r="AM37" i="16"/>
  <c r="AM39" i="16"/>
  <c r="AM41" i="16"/>
  <c r="AM43" i="16"/>
  <c r="AM45" i="16"/>
  <c r="AM47" i="16"/>
  <c r="AM49" i="16"/>
  <c r="AM51" i="16"/>
  <c r="AM53" i="16"/>
  <c r="AM55" i="16"/>
  <c r="DW56" i="16"/>
  <c r="DW54" i="16"/>
  <c r="DW52" i="16"/>
  <c r="DW50" i="16"/>
  <c r="DW48" i="16"/>
  <c r="DW46" i="16"/>
  <c r="DW44" i="16"/>
  <c r="DW42" i="16"/>
  <c r="DW40" i="16"/>
  <c r="DW38" i="16"/>
  <c r="DW36" i="16"/>
  <c r="DW34" i="16"/>
  <c r="DW32" i="16"/>
  <c r="DW30" i="16"/>
  <c r="DW28" i="16"/>
  <c r="DW26" i="16"/>
  <c r="DW24" i="16"/>
  <c r="DW22" i="16"/>
  <c r="DW20" i="16"/>
  <c r="FE56" i="16"/>
  <c r="FE54" i="16"/>
  <c r="FE52" i="16"/>
  <c r="FE50" i="16"/>
  <c r="FE48" i="16"/>
  <c r="FE46" i="16"/>
  <c r="FE44" i="16"/>
  <c r="FE42" i="16"/>
  <c r="FE40" i="16"/>
  <c r="FE38" i="16"/>
  <c r="FE36" i="16"/>
  <c r="FE34" i="16"/>
  <c r="FE32" i="16"/>
  <c r="FE30" i="16"/>
  <c r="FE28" i="16"/>
  <c r="FE26" i="16"/>
  <c r="FE24" i="16"/>
  <c r="FE22" i="16"/>
  <c r="FE20" i="16"/>
  <c r="AM20" i="16"/>
  <c r="AM22" i="16"/>
  <c r="AM24" i="16"/>
  <c r="AM26" i="16"/>
  <c r="AM28" i="16"/>
  <c r="AM30" i="16"/>
  <c r="AM32" i="16"/>
  <c r="AM34" i="16"/>
  <c r="AM36" i="16"/>
  <c r="AM38" i="16"/>
  <c r="AM40" i="16"/>
  <c r="AM42" i="16"/>
  <c r="AM44" i="16"/>
  <c r="AM46" i="16"/>
  <c r="AM48" i="16"/>
  <c r="AM50" i="16"/>
  <c r="AM52" i="16"/>
  <c r="AM54" i="16"/>
  <c r="AM56" i="16"/>
  <c r="DW55" i="16"/>
  <c r="DW53" i="16"/>
  <c r="DW51" i="16"/>
  <c r="DW49" i="16"/>
  <c r="DW47" i="16"/>
  <c r="DW45" i="16"/>
  <c r="DW43" i="16"/>
  <c r="DW41" i="16"/>
  <c r="DW39" i="16"/>
  <c r="DW37" i="16"/>
  <c r="DW35" i="16"/>
  <c r="DW33" i="16"/>
  <c r="DW31" i="16"/>
  <c r="DW29" i="16"/>
  <c r="DW27" i="16"/>
  <c r="DW25" i="16"/>
  <c r="DW23" i="16"/>
  <c r="DW21" i="16"/>
  <c r="DW19" i="16"/>
  <c r="FE55" i="16"/>
  <c r="FE53" i="16"/>
  <c r="FE51" i="16"/>
  <c r="FE49" i="16"/>
  <c r="FE47" i="16"/>
  <c r="FE45" i="16"/>
  <c r="FE43" i="16"/>
  <c r="FE41" i="16"/>
  <c r="FE39" i="16"/>
  <c r="FE37" i="16"/>
  <c r="FE35" i="16"/>
  <c r="FE33" i="16"/>
  <c r="FE31" i="16"/>
  <c r="FE29" i="16"/>
  <c r="FE27" i="16"/>
  <c r="FE25" i="16"/>
  <c r="FE23" i="16"/>
  <c r="FE21" i="16"/>
  <c r="FE19" i="16"/>
  <c r="D44" i="16"/>
  <c r="D45" i="16"/>
  <c r="D46" i="16"/>
  <c r="AV19" i="16"/>
  <c r="CE18" i="16"/>
  <c r="CE20" i="16"/>
  <c r="CE21" i="16"/>
  <c r="CE23" i="16"/>
  <c r="CE25" i="16"/>
  <c r="CE26" i="16"/>
  <c r="CE27" i="16"/>
  <c r="CE28" i="16"/>
  <c r="CE29" i="16"/>
  <c r="CE30" i="16"/>
  <c r="CE31" i="16"/>
  <c r="BR33" i="16"/>
  <c r="CE32" i="16"/>
  <c r="CE19" i="16"/>
  <c r="CE22" i="16"/>
  <c r="CE24" i="16"/>
  <c r="EO19" i="16"/>
  <c r="EB20" i="16"/>
  <c r="EO18" i="16"/>
  <c r="DA19" i="16"/>
  <c r="CN20" i="16"/>
  <c r="DA18" i="16"/>
  <c r="C47" i="17" l="1" a="1"/>
  <c r="E52" i="17" s="1"/>
  <c r="O22" i="16" s="1"/>
  <c r="AD46" i="17"/>
  <c r="B50" i="17"/>
  <c r="L19" i="16"/>
  <c r="AV20" i="16"/>
  <c r="BI19" i="16"/>
  <c r="BR34" i="16"/>
  <c r="CE33" i="16"/>
  <c r="EB21" i="16"/>
  <c r="EO20" i="16"/>
  <c r="CN21" i="16"/>
  <c r="DA20" i="16"/>
  <c r="E68" i="17" l="1"/>
  <c r="O38" i="16" s="1"/>
  <c r="BT26" i="16" s="1"/>
  <c r="G53" i="17"/>
  <c r="Q23" i="16" s="1"/>
  <c r="E69" i="17"/>
  <c r="O39" i="16" s="1"/>
  <c r="BT27" i="16" s="1"/>
  <c r="G58" i="17"/>
  <c r="Q28" i="16" s="1"/>
  <c r="F68" i="17"/>
  <c r="P38" i="16" s="1"/>
  <c r="CP26" i="16" s="1"/>
  <c r="D68" i="17"/>
  <c r="N38" i="16" s="1"/>
  <c r="AX26" i="16" s="1"/>
  <c r="EY26" i="16" s="1"/>
  <c r="G67" i="17"/>
  <c r="Q37" i="16" s="1"/>
  <c r="ED25" i="16" s="1"/>
  <c r="D55" i="17"/>
  <c r="N25" i="16" s="1"/>
  <c r="C57" i="17"/>
  <c r="M27" i="16" s="1"/>
  <c r="G66" i="17"/>
  <c r="Q36" i="16" s="1"/>
  <c r="ED24" i="16" s="1"/>
  <c r="F64" i="17"/>
  <c r="P34" i="16" s="1"/>
  <c r="CP22" i="16" s="1"/>
  <c r="D63" i="17"/>
  <c r="N33" i="16" s="1"/>
  <c r="AX21" i="16" s="1"/>
  <c r="EY21" i="16" s="1"/>
  <c r="E55" i="17"/>
  <c r="O25" i="16" s="1"/>
  <c r="D64" i="17"/>
  <c r="N34" i="16" s="1"/>
  <c r="AX22" i="16" s="1"/>
  <c r="EY22" i="16" s="1"/>
  <c r="G49" i="17"/>
  <c r="Q19" i="16" s="1"/>
  <c r="D69" i="17"/>
  <c r="N39" i="16" s="1"/>
  <c r="AX27" i="16" s="1"/>
  <c r="EY27" i="16" s="1"/>
  <c r="G71" i="17"/>
  <c r="Q41" i="16" s="1"/>
  <c r="ED29" i="16" s="1"/>
  <c r="D49" i="17"/>
  <c r="N19" i="16" s="1"/>
  <c r="C53" i="17"/>
  <c r="M23" i="16" s="1"/>
  <c r="E74" i="17"/>
  <c r="O44" i="16" s="1"/>
  <c r="BT32" i="16" s="1"/>
  <c r="C58" i="17"/>
  <c r="M28" i="16" s="1"/>
  <c r="C51" i="17"/>
  <c r="M21" i="16" s="1"/>
  <c r="C64" i="17"/>
  <c r="M34" i="16" s="1"/>
  <c r="AB22" i="16" s="1"/>
  <c r="D57" i="17"/>
  <c r="N27" i="16" s="1"/>
  <c r="D50" i="17"/>
  <c r="N20" i="16" s="1"/>
  <c r="F53" i="17"/>
  <c r="P23" i="16" s="1"/>
  <c r="F50" i="17"/>
  <c r="P20" i="16" s="1"/>
  <c r="D51" i="17"/>
  <c r="N21" i="16" s="1"/>
  <c r="F52" i="17"/>
  <c r="P22" i="16" s="1"/>
  <c r="E67" i="17"/>
  <c r="O37" i="16" s="1"/>
  <c r="BT25" i="16" s="1"/>
  <c r="G64" i="17"/>
  <c r="Q34" i="16" s="1"/>
  <c r="ED22" i="16" s="1"/>
  <c r="F66" i="17"/>
  <c r="P36" i="16" s="1"/>
  <c r="CP24" i="16" s="1"/>
  <c r="F73" i="17"/>
  <c r="P43" i="16" s="1"/>
  <c r="CP31" i="16" s="1"/>
  <c r="D56" i="17"/>
  <c r="N26" i="16" s="1"/>
  <c r="G72" i="17"/>
  <c r="Q42" i="16" s="1"/>
  <c r="ED30" i="16" s="1"/>
  <c r="E49" i="17"/>
  <c r="O19" i="16" s="1"/>
  <c r="F55" i="17"/>
  <c r="P25" i="16" s="1"/>
  <c r="C49" i="17"/>
  <c r="M19" i="16" s="1"/>
  <c r="F59" i="17"/>
  <c r="P29" i="16" s="1"/>
  <c r="CP17" i="16" s="1"/>
  <c r="G57" i="17"/>
  <c r="Q27" i="16" s="1"/>
  <c r="C66" i="17"/>
  <c r="M36" i="16" s="1"/>
  <c r="AB24" i="16" s="1"/>
  <c r="E65" i="17"/>
  <c r="O35" i="16" s="1"/>
  <c r="BT23" i="16" s="1"/>
  <c r="D65" i="17"/>
  <c r="N35" i="16" s="1"/>
  <c r="AX23" i="16" s="1"/>
  <c r="EY23" i="16" s="1"/>
  <c r="E61" i="17"/>
  <c r="O31" i="16" s="1"/>
  <c r="BT19" i="16" s="1"/>
  <c r="C73" i="17"/>
  <c r="M43" i="16" s="1"/>
  <c r="AB31" i="16" s="1"/>
  <c r="D48" i="17"/>
  <c r="N18" i="16" s="1"/>
  <c r="E70" i="17"/>
  <c r="O40" i="16" s="1"/>
  <c r="BT28" i="16" s="1"/>
  <c r="D73" i="17"/>
  <c r="N43" i="16" s="1"/>
  <c r="AX31" i="16" s="1"/>
  <c r="EY31" i="16" s="1"/>
  <c r="D72" i="17"/>
  <c r="N42" i="16" s="1"/>
  <c r="AX30" i="16" s="1"/>
  <c r="EY30" i="16" s="1"/>
  <c r="F49" i="17"/>
  <c r="P19" i="16" s="1"/>
  <c r="G62" i="17"/>
  <c r="Q32" i="16" s="1"/>
  <c r="ED20" i="16" s="1"/>
  <c r="C48" i="17"/>
  <c r="M18" i="16" s="1"/>
  <c r="F56" i="17"/>
  <c r="P26" i="16" s="1"/>
  <c r="E50" i="17"/>
  <c r="O20" i="16" s="1"/>
  <c r="C59" i="17"/>
  <c r="M29" i="16" s="1"/>
  <c r="AB17" i="16" s="1"/>
  <c r="E47" i="17"/>
  <c r="O17" i="16" s="1"/>
  <c r="C50" i="17"/>
  <c r="M20" i="16" s="1"/>
  <c r="F47" i="17"/>
  <c r="P17" i="16" s="1"/>
  <c r="C67" i="17"/>
  <c r="M37" i="16" s="1"/>
  <c r="AB25" i="16" s="1"/>
  <c r="F74" i="17"/>
  <c r="P44" i="16" s="1"/>
  <c r="CP32" i="16" s="1"/>
  <c r="C63" i="17"/>
  <c r="M33" i="16" s="1"/>
  <c r="AB21" i="16" s="1"/>
  <c r="E62" i="17"/>
  <c r="O32" i="16" s="1"/>
  <c r="BT20" i="16" s="1"/>
  <c r="G73" i="17"/>
  <c r="Q43" i="16" s="1"/>
  <c r="ED31" i="16" s="1"/>
  <c r="G63" i="17"/>
  <c r="Q33" i="16" s="1"/>
  <c r="ED21" i="16" s="1"/>
  <c r="D71" i="17"/>
  <c r="N41" i="16" s="1"/>
  <c r="AX29" i="16" s="1"/>
  <c r="EY29" i="16" s="1"/>
  <c r="F61" i="17"/>
  <c r="P31" i="16" s="1"/>
  <c r="CP19" i="16" s="1"/>
  <c r="E64" i="17"/>
  <c r="O34" i="16" s="1"/>
  <c r="BT22" i="16" s="1"/>
  <c r="G54" i="17"/>
  <c r="Q24" i="16" s="1"/>
  <c r="G59" i="17"/>
  <c r="Q29" i="16" s="1"/>
  <c r="ED17" i="16" s="1"/>
  <c r="D62" i="17"/>
  <c r="N32" i="16" s="1"/>
  <c r="AX20" i="16" s="1"/>
  <c r="EY20" i="16" s="1"/>
  <c r="G60" i="17"/>
  <c r="Q30" i="16" s="1"/>
  <c r="ED18" i="16" s="1"/>
  <c r="F63" i="17"/>
  <c r="P33" i="16" s="1"/>
  <c r="CP21" i="16" s="1"/>
  <c r="F62" i="17"/>
  <c r="P32" i="16" s="1"/>
  <c r="CP20" i="16" s="1"/>
  <c r="D58" i="17"/>
  <c r="N28" i="16" s="1"/>
  <c r="C60" i="17"/>
  <c r="M30" i="16" s="1"/>
  <c r="AB18" i="16" s="1"/>
  <c r="G61" i="17"/>
  <c r="Q31" i="16" s="1"/>
  <c r="ED19" i="16" s="1"/>
  <c r="G68" i="17"/>
  <c r="Q38" i="16" s="1"/>
  <c r="ED26" i="16" s="1"/>
  <c r="D59" i="17"/>
  <c r="N29" i="16" s="1"/>
  <c r="AX17" i="16" s="1"/>
  <c r="EY17" i="16" s="1"/>
  <c r="F71" i="17"/>
  <c r="P41" i="16" s="1"/>
  <c r="CP29" i="16" s="1"/>
  <c r="C62" i="17"/>
  <c r="M32" i="16" s="1"/>
  <c r="AB20" i="16" s="1"/>
  <c r="C47" i="17"/>
  <c r="M17" i="16" s="1"/>
  <c r="F70" i="17"/>
  <c r="P40" i="16" s="1"/>
  <c r="CP28" i="16" s="1"/>
  <c r="C61" i="17"/>
  <c r="M31" i="16" s="1"/>
  <c r="AB19" i="16" s="1"/>
  <c r="D74" i="17"/>
  <c r="N44" i="16" s="1"/>
  <c r="AX32" i="16" s="1"/>
  <c r="EY32" i="16" s="1"/>
  <c r="C55" i="17"/>
  <c r="M25" i="16" s="1"/>
  <c r="G48" i="17"/>
  <c r="Q18" i="16" s="1"/>
  <c r="E57" i="17"/>
  <c r="O27" i="16" s="1"/>
  <c r="E66" i="17"/>
  <c r="O36" i="16" s="1"/>
  <c r="BT24" i="16" s="1"/>
  <c r="F58" i="17"/>
  <c r="P28" i="16" s="1"/>
  <c r="C56" i="17"/>
  <c r="M26" i="16" s="1"/>
  <c r="G51" i="17"/>
  <c r="Q21" i="16" s="1"/>
  <c r="E48" i="17"/>
  <c r="O18" i="16" s="1"/>
  <c r="D52" i="17"/>
  <c r="N22" i="16" s="1"/>
  <c r="G74" i="17"/>
  <c r="Q44" i="16" s="1"/>
  <c r="ED32" i="16" s="1"/>
  <c r="F48" i="17"/>
  <c r="P18" i="16" s="1"/>
  <c r="C74" i="17"/>
  <c r="M44" i="16" s="1"/>
  <c r="AB32" i="16" s="1"/>
  <c r="E63" i="17"/>
  <c r="O33" i="16" s="1"/>
  <c r="BT21" i="16" s="1"/>
  <c r="G47" i="17"/>
  <c r="Q17" i="16" s="1"/>
  <c r="C54" i="17"/>
  <c r="M24" i="16" s="1"/>
  <c r="F60" i="17"/>
  <c r="P30" i="16" s="1"/>
  <c r="CP18" i="16" s="1"/>
  <c r="F69" i="17"/>
  <c r="P39" i="16" s="1"/>
  <c r="CP27" i="16" s="1"/>
  <c r="E71" i="17"/>
  <c r="O41" i="16" s="1"/>
  <c r="BT29" i="16" s="1"/>
  <c r="C68" i="17"/>
  <c r="M38" i="16" s="1"/>
  <c r="AB26" i="16" s="1"/>
  <c r="E58" i="17"/>
  <c r="O28" i="16" s="1"/>
  <c r="G70" i="17"/>
  <c r="Q40" i="16" s="1"/>
  <c r="ED28" i="16" s="1"/>
  <c r="D61" i="17"/>
  <c r="N31" i="16" s="1"/>
  <c r="AX19" i="16" s="1"/>
  <c r="EY19" i="16" s="1"/>
  <c r="F51" i="17"/>
  <c r="P21" i="16" s="1"/>
  <c r="G69" i="17"/>
  <c r="Q39" i="16" s="1"/>
  <c r="ED27" i="16" s="1"/>
  <c r="D60" i="17"/>
  <c r="N30" i="16" s="1"/>
  <c r="AX18" i="16" s="1"/>
  <c r="EY18" i="16" s="1"/>
  <c r="F72" i="17"/>
  <c r="P42" i="16" s="1"/>
  <c r="CP30" i="16" s="1"/>
  <c r="D54" i="17"/>
  <c r="N24" i="16" s="1"/>
  <c r="D47" i="17"/>
  <c r="N17" i="16" s="1"/>
  <c r="G55" i="17"/>
  <c r="Q25" i="16" s="1"/>
  <c r="G56" i="17"/>
  <c r="Q26" i="16" s="1"/>
  <c r="F65" i="17"/>
  <c r="P35" i="16" s="1"/>
  <c r="CP23" i="16" s="1"/>
  <c r="D70" i="17"/>
  <c r="N40" i="16" s="1"/>
  <c r="AX28" i="16" s="1"/>
  <c r="EY28" i="16" s="1"/>
  <c r="F67" i="17"/>
  <c r="P37" i="16" s="1"/>
  <c r="CP25" i="16" s="1"/>
  <c r="D66" i="17"/>
  <c r="N36" i="16" s="1"/>
  <c r="AX24" i="16" s="1"/>
  <c r="EY24" i="16" s="1"/>
  <c r="E54" i="17"/>
  <c r="O24" i="16" s="1"/>
  <c r="G65" i="17"/>
  <c r="Q35" i="16" s="1"/>
  <c r="ED23" i="16" s="1"/>
  <c r="E51" i="17"/>
  <c r="O21" i="16" s="1"/>
  <c r="E56" i="17"/>
  <c r="O26" i="16" s="1"/>
  <c r="C65" i="17"/>
  <c r="M35" i="16" s="1"/>
  <c r="AB23" i="16" s="1"/>
  <c r="C72" i="17"/>
  <c r="M42" i="16" s="1"/>
  <c r="AB30" i="16" s="1"/>
  <c r="G52" i="17"/>
  <c r="Q22" i="16" s="1"/>
  <c r="C52" i="17"/>
  <c r="M22" i="16" s="1"/>
  <c r="E72" i="17"/>
  <c r="O42" i="16" s="1"/>
  <c r="BT30" i="16" s="1"/>
  <c r="D53" i="17"/>
  <c r="N23" i="16" s="1"/>
  <c r="D67" i="17"/>
  <c r="N37" i="16" s="1"/>
  <c r="AX25" i="16" s="1"/>
  <c r="EY25" i="16" s="1"/>
  <c r="F57" i="17"/>
  <c r="P27" i="16" s="1"/>
  <c r="C70" i="17"/>
  <c r="M40" i="16" s="1"/>
  <c r="AB28" i="16" s="1"/>
  <c r="E60" i="17"/>
  <c r="O30" i="16" s="1"/>
  <c r="BT18" i="16" s="1"/>
  <c r="G50" i="17"/>
  <c r="Q20" i="16" s="1"/>
  <c r="C69" i="17"/>
  <c r="M39" i="16" s="1"/>
  <c r="AB27" i="16" s="1"/>
  <c r="E59" i="17"/>
  <c r="O29" i="16" s="1"/>
  <c r="BT17" i="16" s="1"/>
  <c r="C71" i="17"/>
  <c r="M41" i="16" s="1"/>
  <c r="AB29" i="16" s="1"/>
  <c r="E53" i="17"/>
  <c r="O23" i="16" s="1"/>
  <c r="E73" i="17"/>
  <c r="O43" i="16" s="1"/>
  <c r="BT31" i="16" s="1"/>
  <c r="F54" i="17"/>
  <c r="P24" i="16" s="1"/>
  <c r="B51" i="17"/>
  <c r="L20" i="16"/>
  <c r="BR35" i="16"/>
  <c r="CE34" i="16"/>
  <c r="AV21" i="16"/>
  <c r="BI20" i="16"/>
  <c r="EO21" i="16"/>
  <c r="EB22" i="16"/>
  <c r="DA21" i="16"/>
  <c r="CN22" i="16"/>
  <c r="B52" i="17" l="1"/>
  <c r="L21" i="16"/>
  <c r="AV22" i="16"/>
  <c r="BI21" i="16"/>
  <c r="BR36" i="16"/>
  <c r="CE35" i="16"/>
  <c r="EB23" i="16"/>
  <c r="EO22" i="16"/>
  <c r="CN23" i="16"/>
  <c r="DA22" i="16"/>
  <c r="B53" i="17" l="1"/>
  <c r="L22" i="16"/>
  <c r="D21" i="16"/>
  <c r="D30" i="16"/>
  <c r="AA30" i="16" s="1"/>
  <c r="AN30" i="16" s="1"/>
  <c r="AQ30" i="16" s="1"/>
  <c r="FL30" i="16" s="1"/>
  <c r="D33" i="16"/>
  <c r="BR37" i="16"/>
  <c r="CE36" i="16"/>
  <c r="AV23" i="16"/>
  <c r="BI22" i="16"/>
  <c r="EO23" i="16"/>
  <c r="EB24" i="16"/>
  <c r="DA23" i="16"/>
  <c r="CN24" i="16"/>
  <c r="D15" i="17"/>
  <c r="D21" i="17" s="1"/>
  <c r="E15" i="17"/>
  <c r="E21" i="17" s="1"/>
  <c r="F15" i="17"/>
  <c r="F21" i="17" s="1"/>
  <c r="G15" i="17"/>
  <c r="G21" i="17" s="1"/>
  <c r="H15" i="17"/>
  <c r="H21" i="17" s="1"/>
  <c r="I15" i="17"/>
  <c r="I21" i="17" s="1"/>
  <c r="J15" i="17"/>
  <c r="J21" i="17" s="1"/>
  <c r="K15" i="17"/>
  <c r="K21" i="17" s="1"/>
  <c r="L15" i="17"/>
  <c r="L21" i="17" s="1"/>
  <c r="M15" i="17"/>
  <c r="M21" i="17" s="1"/>
  <c r="N15" i="17"/>
  <c r="N21" i="17" s="1"/>
  <c r="O15" i="17"/>
  <c r="O21" i="17" s="1"/>
  <c r="P15" i="17"/>
  <c r="P21" i="17" s="1"/>
  <c r="Q15" i="17"/>
  <c r="Q21" i="17" s="1"/>
  <c r="R15" i="17"/>
  <c r="R21" i="17" s="1"/>
  <c r="S15" i="17"/>
  <c r="S21" i="17" s="1"/>
  <c r="T15" i="17"/>
  <c r="T21" i="17" s="1"/>
  <c r="U15" i="17"/>
  <c r="U21" i="17" s="1"/>
  <c r="V15" i="17"/>
  <c r="V21" i="17" s="1"/>
  <c r="W15" i="17"/>
  <c r="W21" i="17" s="1"/>
  <c r="X15" i="17"/>
  <c r="X21" i="17" s="1"/>
  <c r="Y15" i="17"/>
  <c r="Y21" i="17" s="1"/>
  <c r="Z15" i="17"/>
  <c r="Z21" i="17" s="1"/>
  <c r="AA15" i="17"/>
  <c r="AA21" i="17" s="1"/>
  <c r="AB15" i="17"/>
  <c r="AB21" i="17" s="1"/>
  <c r="AC15" i="17"/>
  <c r="AC21" i="17" s="1"/>
  <c r="AD15" i="17"/>
  <c r="AD21" i="17" s="1"/>
  <c r="C15" i="17"/>
  <c r="C21" i="17" s="1"/>
  <c r="D4" i="17"/>
  <c r="E4" i="17" s="1"/>
  <c r="F4" i="17" s="1"/>
  <c r="G4" i="17" s="1"/>
  <c r="H4" i="17" s="1"/>
  <c r="I4" i="17" s="1"/>
  <c r="J4" i="17" s="1"/>
  <c r="K4" i="17" s="1"/>
  <c r="L4" i="17" s="1"/>
  <c r="M4" i="17" s="1"/>
  <c r="N4" i="17" s="1"/>
  <c r="O4" i="17" s="1"/>
  <c r="P4" i="17" s="1"/>
  <c r="Q4" i="17" s="1"/>
  <c r="R4" i="17" s="1"/>
  <c r="S4" i="17" s="1"/>
  <c r="T4" i="17" s="1"/>
  <c r="U4" i="17" s="1"/>
  <c r="V4" i="17" s="1"/>
  <c r="W4" i="17" s="1"/>
  <c r="X4" i="17" s="1"/>
  <c r="Y4" i="17" s="1"/>
  <c r="Z4" i="17" s="1"/>
  <c r="AA4" i="17" s="1"/>
  <c r="AB4" i="17" s="1"/>
  <c r="AC4" i="17" s="1"/>
  <c r="AD4" i="17" s="1"/>
  <c r="C5" i="17"/>
  <c r="D5" i="17"/>
  <c r="E5" i="17"/>
  <c r="F5" i="17"/>
  <c r="G5" i="17"/>
  <c r="H5" i="17"/>
  <c r="I5" i="17"/>
  <c r="J5" i="17"/>
  <c r="K5" i="17"/>
  <c r="L5" i="17"/>
  <c r="M5" i="17"/>
  <c r="N5" i="17"/>
  <c r="O5" i="17"/>
  <c r="P5" i="17"/>
  <c r="Q5" i="17"/>
  <c r="R5" i="17"/>
  <c r="S5" i="17"/>
  <c r="T5" i="17"/>
  <c r="U5" i="17"/>
  <c r="V5" i="17"/>
  <c r="W5" i="17"/>
  <c r="X5" i="17"/>
  <c r="Y5" i="17"/>
  <c r="Z5" i="17"/>
  <c r="AA5" i="17"/>
  <c r="AB5" i="17"/>
  <c r="AC5" i="17"/>
  <c r="AD5"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C10" i="17"/>
  <c r="D10" i="17"/>
  <c r="E10" i="17"/>
  <c r="F10" i="17"/>
  <c r="G10" i="17"/>
  <c r="H10" i="17"/>
  <c r="I10" i="17"/>
  <c r="J10" i="17"/>
  <c r="K10" i="17"/>
  <c r="L10" i="17"/>
  <c r="M10" i="17"/>
  <c r="N10" i="17"/>
  <c r="O10" i="17"/>
  <c r="P10" i="17"/>
  <c r="Q10" i="17"/>
  <c r="R10" i="17"/>
  <c r="S10" i="17"/>
  <c r="T10" i="17"/>
  <c r="U10" i="17"/>
  <c r="V10" i="17"/>
  <c r="W10" i="17"/>
  <c r="X10" i="17"/>
  <c r="Y10" i="17"/>
  <c r="Z10" i="17"/>
  <c r="AA10" i="17"/>
  <c r="AB10" i="17"/>
  <c r="AC10" i="17"/>
  <c r="AD10"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C12" i="17"/>
  <c r="D12" i="17"/>
  <c r="E12" i="17"/>
  <c r="F12" i="17"/>
  <c r="G12" i="17"/>
  <c r="H12" i="17"/>
  <c r="I12" i="17"/>
  <c r="J12" i="17"/>
  <c r="K12" i="17"/>
  <c r="L12" i="17"/>
  <c r="M12" i="17"/>
  <c r="N12" i="17"/>
  <c r="O12" i="17"/>
  <c r="P12" i="17"/>
  <c r="Q12" i="17"/>
  <c r="R12" i="17"/>
  <c r="S12" i="17"/>
  <c r="T12" i="17"/>
  <c r="U12" i="17"/>
  <c r="V12" i="17"/>
  <c r="W12" i="17"/>
  <c r="X12" i="17"/>
  <c r="Y12" i="17"/>
  <c r="Z12" i="17"/>
  <c r="AA12" i="17"/>
  <c r="AB12" i="17"/>
  <c r="AC12" i="17"/>
  <c r="AD12" i="17"/>
  <c r="C13" i="17"/>
  <c r="D13" i="17"/>
  <c r="E13" i="17"/>
  <c r="F13" i="17"/>
  <c r="G13" i="17"/>
  <c r="H13" i="17"/>
  <c r="I13" i="17"/>
  <c r="J13" i="17"/>
  <c r="K13" i="17"/>
  <c r="L13" i="17"/>
  <c r="M13" i="17"/>
  <c r="N13" i="17"/>
  <c r="O13" i="17"/>
  <c r="P13" i="17"/>
  <c r="Q13" i="17"/>
  <c r="R13" i="17"/>
  <c r="S13" i="17"/>
  <c r="T13" i="17"/>
  <c r="U13" i="17"/>
  <c r="V13" i="17"/>
  <c r="W13" i="17"/>
  <c r="X13" i="17"/>
  <c r="Y13" i="17"/>
  <c r="Z13" i="17"/>
  <c r="AA13" i="17"/>
  <c r="AB13" i="17"/>
  <c r="AC13" i="17"/>
  <c r="AD13" i="17"/>
  <c r="C14" i="17"/>
  <c r="D14" i="17"/>
  <c r="E14" i="17"/>
  <c r="F14" i="17"/>
  <c r="G14" i="17"/>
  <c r="H14" i="17"/>
  <c r="I14" i="17"/>
  <c r="J14" i="17"/>
  <c r="K14" i="17"/>
  <c r="L14" i="17"/>
  <c r="M14" i="17"/>
  <c r="N14" i="17"/>
  <c r="O14" i="17"/>
  <c r="P14" i="17"/>
  <c r="Q14" i="17"/>
  <c r="R14" i="17"/>
  <c r="S14" i="17"/>
  <c r="T14" i="17"/>
  <c r="U14" i="17"/>
  <c r="V14" i="17"/>
  <c r="W14" i="17"/>
  <c r="X14" i="17"/>
  <c r="Y14" i="17"/>
  <c r="Z14" i="17"/>
  <c r="AA14" i="17"/>
  <c r="AB14" i="17"/>
  <c r="AC14" i="17"/>
  <c r="AD14" i="17"/>
  <c r="D16" i="16"/>
  <c r="F16" i="16"/>
  <c r="G16" i="16"/>
  <c r="H16" i="16"/>
  <c r="AA34" i="16"/>
  <c r="AN34" i="16" s="1"/>
  <c r="AQ34" i="16" s="1"/>
  <c r="FL34" i="16" s="1"/>
  <c r="AA35" i="16"/>
  <c r="AN35" i="16" s="1"/>
  <c r="AQ35" i="16" s="1"/>
  <c r="FL35" i="16" s="1"/>
  <c r="AA36" i="16"/>
  <c r="AN36" i="16" s="1"/>
  <c r="AQ36" i="16" s="1"/>
  <c r="FL36" i="16" s="1"/>
  <c r="AA37" i="16"/>
  <c r="AN37" i="16" s="1"/>
  <c r="AQ37" i="16" s="1"/>
  <c r="FL37" i="16" s="1"/>
  <c r="AA38" i="16"/>
  <c r="AN38" i="16" s="1"/>
  <c r="AQ38" i="16" s="1"/>
  <c r="FL38" i="16" s="1"/>
  <c r="AA39" i="16"/>
  <c r="AA40" i="16"/>
  <c r="AN40" i="16" s="1"/>
  <c r="AQ40" i="16" s="1"/>
  <c r="FL40" i="16" s="1"/>
  <c r="AA41" i="16"/>
  <c r="AN41" i="16" s="1"/>
  <c r="AQ41" i="16" s="1"/>
  <c r="FL41" i="16" s="1"/>
  <c r="AA42" i="16"/>
  <c r="AN42" i="16" s="1"/>
  <c r="AQ42" i="16" s="1"/>
  <c r="FL42" i="16" s="1"/>
  <c r="AA43" i="16"/>
  <c r="AN43" i="16" s="1"/>
  <c r="AQ43" i="16" s="1"/>
  <c r="FL43" i="16" s="1"/>
  <c r="AA44" i="16"/>
  <c r="AA45" i="16"/>
  <c r="AN45" i="16" s="1"/>
  <c r="AQ45" i="16" s="1"/>
  <c r="FL45" i="16" s="1"/>
  <c r="AA46" i="16"/>
  <c r="AN46" i="16" s="1"/>
  <c r="AQ46" i="16" s="1"/>
  <c r="FL46" i="16" s="1"/>
  <c r="D2" i="16"/>
  <c r="O2" i="16"/>
  <c r="C5" i="16"/>
  <c r="C6" i="16"/>
  <c r="C7" i="16"/>
  <c r="C8" i="16"/>
  <c r="C9" i="16"/>
  <c r="F4" i="15"/>
  <c r="E15" i="15" s="1"/>
  <c r="B5" i="15"/>
  <c r="C5" i="15"/>
  <c r="D5" i="15"/>
  <c r="E5" i="15"/>
  <c r="B6" i="15"/>
  <c r="C6" i="15"/>
  <c r="D6" i="15"/>
  <c r="E6" i="15"/>
  <c r="B7" i="15"/>
  <c r="C7" i="15"/>
  <c r="D7" i="15"/>
  <c r="E7" i="15"/>
  <c r="B8" i="15"/>
  <c r="C8" i="15"/>
  <c r="D8" i="15"/>
  <c r="E8" i="15"/>
  <c r="B9" i="15"/>
  <c r="C9" i="15"/>
  <c r="D9" i="15"/>
  <c r="E9" i="15"/>
  <c r="C5" i="14"/>
  <c r="D5" i="14"/>
  <c r="E5" i="14"/>
  <c r="C6" i="14"/>
  <c r="D6" i="14"/>
  <c r="E6" i="14"/>
  <c r="C7" i="14"/>
  <c r="D7" i="14"/>
  <c r="E7" i="14"/>
  <c r="C8" i="14"/>
  <c r="D8" i="14"/>
  <c r="E8" i="14"/>
  <c r="C9" i="14"/>
  <c r="D9" i="14"/>
  <c r="E9" i="14"/>
  <c r="C10" i="14"/>
  <c r="D10" i="14"/>
  <c r="E10" i="14"/>
  <c r="C11" i="14"/>
  <c r="D11" i="14"/>
  <c r="E11" i="14"/>
  <c r="C12" i="14"/>
  <c r="D12" i="14"/>
  <c r="E12" i="14"/>
  <c r="C13" i="14"/>
  <c r="D13" i="14"/>
  <c r="E13" i="14"/>
  <c r="C14" i="14"/>
  <c r="D14" i="14"/>
  <c r="E14" i="14"/>
  <c r="E16" i="15" l="1"/>
  <c r="E17" i="15" s="1"/>
  <c r="C19" i="16"/>
  <c r="G4" i="15"/>
  <c r="H4" i="15" s="1"/>
  <c r="I4" i="15" s="1"/>
  <c r="J4" i="15" s="1"/>
  <c r="K4" i="15" s="1"/>
  <c r="L4" i="15" s="1"/>
  <c r="M4" i="15" s="1"/>
  <c r="N4" i="15" s="1"/>
  <c r="O4" i="15" s="1"/>
  <c r="P4" i="15" s="1"/>
  <c r="Q4" i="15" s="1"/>
  <c r="R4" i="15" s="1"/>
  <c r="S4" i="15" s="1"/>
  <c r="T4" i="15" s="1"/>
  <c r="U4" i="15" s="1"/>
  <c r="V4" i="15" s="1"/>
  <c r="W4" i="15" s="1"/>
  <c r="X4" i="15" s="1"/>
  <c r="Y4" i="15" s="1"/>
  <c r="Z4" i="15" s="1"/>
  <c r="AA4" i="15" s="1"/>
  <c r="AB4" i="15" s="1"/>
  <c r="AC4" i="15" s="1"/>
  <c r="AD4" i="15" s="1"/>
  <c r="AE4" i="15" s="1"/>
  <c r="AF4" i="15" s="1"/>
  <c r="AG4" i="15" s="1"/>
  <c r="AH4" i="15" s="1"/>
  <c r="AI4" i="15" s="1"/>
  <c r="AJ4" i="15" s="1"/>
  <c r="AK4" i="15" s="1"/>
  <c r="AL4" i="15" s="1"/>
  <c r="AM4" i="15" s="1"/>
  <c r="AN4" i="15" s="1"/>
  <c r="AO4" i="15" s="1"/>
  <c r="AP4" i="15" s="1"/>
  <c r="AQ4" i="15" s="1"/>
  <c r="AR4" i="15" s="1"/>
  <c r="AS4" i="15" s="1"/>
  <c r="AT4" i="15" s="1"/>
  <c r="AU4" i="15" s="1"/>
  <c r="AV4" i="15" s="1"/>
  <c r="B54" i="17"/>
  <c r="L23" i="16"/>
  <c r="AD20" i="17"/>
  <c r="AB20" i="17"/>
  <c r="Z20" i="17"/>
  <c r="X20" i="17"/>
  <c r="V20" i="17"/>
  <c r="T20" i="17"/>
  <c r="R20" i="17"/>
  <c r="P20" i="17"/>
  <c r="N20" i="17"/>
  <c r="L20" i="17"/>
  <c r="J20" i="17"/>
  <c r="H20" i="17"/>
  <c r="F20" i="17"/>
  <c r="D20" i="17"/>
  <c r="AD17" i="17"/>
  <c r="AB17" i="17"/>
  <c r="Z17" i="17"/>
  <c r="X17" i="17"/>
  <c r="V17" i="17"/>
  <c r="T17" i="17"/>
  <c r="R17" i="17"/>
  <c r="P17" i="17"/>
  <c r="N17" i="17"/>
  <c r="L17" i="17"/>
  <c r="J17" i="17"/>
  <c r="H17" i="17"/>
  <c r="F17" i="17"/>
  <c r="D17" i="17"/>
  <c r="AD18" i="17"/>
  <c r="AB18" i="17"/>
  <c r="Z18" i="17"/>
  <c r="X18" i="17"/>
  <c r="V18" i="17"/>
  <c r="T18" i="17"/>
  <c r="R18" i="17"/>
  <c r="P18" i="17"/>
  <c r="N18" i="17"/>
  <c r="L18" i="17"/>
  <c r="J18" i="17"/>
  <c r="H18" i="17"/>
  <c r="F18" i="17"/>
  <c r="D18" i="17"/>
  <c r="AD19" i="17"/>
  <c r="AB19" i="17"/>
  <c r="Z19" i="17"/>
  <c r="X19" i="17"/>
  <c r="V19" i="17"/>
  <c r="T19" i="17"/>
  <c r="R19" i="17"/>
  <c r="P19" i="17"/>
  <c r="N19" i="17"/>
  <c r="L19" i="17"/>
  <c r="J19" i="17"/>
  <c r="H19" i="17"/>
  <c r="F19" i="17"/>
  <c r="D19" i="17"/>
  <c r="AC20" i="17"/>
  <c r="AA20" i="17"/>
  <c r="Y20" i="17"/>
  <c r="W20" i="17"/>
  <c r="U20" i="17"/>
  <c r="S20" i="17"/>
  <c r="Q20" i="17"/>
  <c r="O20" i="17"/>
  <c r="M20" i="17"/>
  <c r="K20" i="17"/>
  <c r="I20" i="17"/>
  <c r="G20" i="17"/>
  <c r="E20" i="17"/>
  <c r="C20" i="17"/>
  <c r="AC17" i="17"/>
  <c r="AA17" i="17"/>
  <c r="Y17" i="17"/>
  <c r="W17" i="17"/>
  <c r="U17" i="17"/>
  <c r="S17" i="17"/>
  <c r="Q17" i="17"/>
  <c r="O17" i="17"/>
  <c r="M17" i="17"/>
  <c r="K17" i="17"/>
  <c r="I17" i="17"/>
  <c r="G17" i="17"/>
  <c r="E17" i="17"/>
  <c r="C17" i="17"/>
  <c r="AC18" i="17"/>
  <c r="AA18" i="17"/>
  <c r="Y18" i="17"/>
  <c r="W18" i="17"/>
  <c r="U18" i="17"/>
  <c r="S18" i="17"/>
  <c r="Q18" i="17"/>
  <c r="O18" i="17"/>
  <c r="M18" i="17"/>
  <c r="K18" i="17"/>
  <c r="I18" i="17"/>
  <c r="G18" i="17"/>
  <c r="E18" i="17"/>
  <c r="C18" i="17"/>
  <c r="AC19" i="17"/>
  <c r="AA19" i="17"/>
  <c r="Y19" i="17"/>
  <c r="W19" i="17"/>
  <c r="U19" i="17"/>
  <c r="S19" i="17"/>
  <c r="Q19" i="17"/>
  <c r="O19" i="17"/>
  <c r="M19" i="17"/>
  <c r="K19" i="17"/>
  <c r="I19" i="17"/>
  <c r="G19" i="17"/>
  <c r="E19" i="17"/>
  <c r="C19" i="17"/>
  <c r="AA33" i="16"/>
  <c r="AN33" i="16" s="1"/>
  <c r="AQ33" i="16" s="1"/>
  <c r="FL33" i="16" s="1"/>
  <c r="AA21" i="16"/>
  <c r="AN21" i="16" s="1"/>
  <c r="AQ21" i="16" s="1"/>
  <c r="FL21" i="16" s="1"/>
  <c r="AN44" i="16"/>
  <c r="AQ44" i="16" s="1"/>
  <c r="FL44" i="16" s="1"/>
  <c r="AN39" i="16"/>
  <c r="AQ39" i="16" s="1"/>
  <c r="FL39" i="16" s="1"/>
  <c r="E18" i="15"/>
  <c r="C21" i="16"/>
  <c r="C20" i="16"/>
  <c r="D26" i="16"/>
  <c r="D23" i="16"/>
  <c r="D20" i="16"/>
  <c r="D29" i="16"/>
  <c r="D25" i="16"/>
  <c r="D18" i="16"/>
  <c r="D17" i="16"/>
  <c r="D19" i="16"/>
  <c r="D28" i="16"/>
  <c r="D22" i="16"/>
  <c r="D27" i="16"/>
  <c r="D31" i="16"/>
  <c r="D24" i="16"/>
  <c r="D32" i="16"/>
  <c r="AV24" i="16"/>
  <c r="BI23" i="16"/>
  <c r="BR38" i="16"/>
  <c r="CE37" i="16"/>
  <c r="EB25" i="16"/>
  <c r="EO24" i="16"/>
  <c r="CN25" i="16"/>
  <c r="DA24" i="16"/>
  <c r="AD23" i="17" l="1"/>
  <c r="I47" i="17" a="1"/>
  <c r="B55" i="17"/>
  <c r="L24" i="16"/>
  <c r="AA24" i="16"/>
  <c r="AN24" i="16" s="1"/>
  <c r="AQ24" i="16" s="1"/>
  <c r="FL24" i="16" s="1"/>
  <c r="AA27" i="16"/>
  <c r="AN27" i="16" s="1"/>
  <c r="AQ27" i="16" s="1"/>
  <c r="FL27" i="16" s="1"/>
  <c r="AA28" i="16"/>
  <c r="AN28" i="16" s="1"/>
  <c r="AQ28" i="16" s="1"/>
  <c r="FL28" i="16" s="1"/>
  <c r="AA17" i="16"/>
  <c r="AN17" i="16" s="1"/>
  <c r="AQ17" i="16" s="1"/>
  <c r="FL17" i="16" s="1"/>
  <c r="AA25" i="16"/>
  <c r="AN25" i="16" s="1"/>
  <c r="AQ25" i="16" s="1"/>
  <c r="FL25" i="16" s="1"/>
  <c r="AA20" i="16"/>
  <c r="AN20" i="16" s="1"/>
  <c r="AQ20" i="16" s="1"/>
  <c r="FL20" i="16" s="1"/>
  <c r="AA26" i="16"/>
  <c r="AN26" i="16" s="1"/>
  <c r="AQ26" i="16" s="1"/>
  <c r="FL26" i="16" s="1"/>
  <c r="AA32" i="16"/>
  <c r="AN32" i="16" s="1"/>
  <c r="AQ32" i="16" s="1"/>
  <c r="FL32" i="16" s="1"/>
  <c r="AA31" i="16"/>
  <c r="AN31" i="16" s="1"/>
  <c r="AQ31" i="16" s="1"/>
  <c r="FL31" i="16" s="1"/>
  <c r="AA22" i="16"/>
  <c r="AN22" i="16" s="1"/>
  <c r="AQ22" i="16" s="1"/>
  <c r="FL22" i="16" s="1"/>
  <c r="AA19" i="16"/>
  <c r="AN19" i="16" s="1"/>
  <c r="AQ19" i="16" s="1"/>
  <c r="FL19" i="16" s="1"/>
  <c r="AA18" i="16"/>
  <c r="AN18" i="16" s="1"/>
  <c r="AQ18" i="16" s="1"/>
  <c r="FL18" i="16" s="1"/>
  <c r="AA29" i="16"/>
  <c r="AN29" i="16" s="1"/>
  <c r="AQ29" i="16" s="1"/>
  <c r="FL29" i="16" s="1"/>
  <c r="AA23" i="16"/>
  <c r="AN23" i="16" s="1"/>
  <c r="AQ23" i="16" s="1"/>
  <c r="FL23" i="16" s="1"/>
  <c r="F19" i="16"/>
  <c r="BS19" i="16" s="1"/>
  <c r="BS17" i="16" s="1"/>
  <c r="CF17" i="16" s="1"/>
  <c r="E20" i="16"/>
  <c r="AW20" i="16" s="1"/>
  <c r="BJ20" i="16" s="1"/>
  <c r="BM20" i="16" s="1"/>
  <c r="H21" i="16"/>
  <c r="G22" i="16"/>
  <c r="CO22" i="16" s="1"/>
  <c r="DB22" i="16" s="1"/>
  <c r="DE22" i="16" s="1"/>
  <c r="F23" i="16"/>
  <c r="BS23" i="16" s="1"/>
  <c r="CF23" i="16" s="1"/>
  <c r="CI23" i="16" s="1"/>
  <c r="E24" i="16"/>
  <c r="AW24" i="16" s="1"/>
  <c r="BK24" i="16" s="1"/>
  <c r="BK20" i="16" s="1"/>
  <c r="H25" i="16"/>
  <c r="G26" i="16"/>
  <c r="CO26" i="16" s="1"/>
  <c r="DB26" i="16" s="1"/>
  <c r="DE26" i="16" s="1"/>
  <c r="F27" i="16"/>
  <c r="BS27" i="16" s="1"/>
  <c r="CF27" i="16" s="1"/>
  <c r="CI27" i="16" s="1"/>
  <c r="E28" i="16"/>
  <c r="AW28" i="16" s="1"/>
  <c r="BJ28" i="16" s="1"/>
  <c r="BM28" i="16" s="1"/>
  <c r="H29" i="16"/>
  <c r="G30" i="16"/>
  <c r="CO30" i="16" s="1"/>
  <c r="DB30" i="16" s="1"/>
  <c r="DE30" i="16" s="1"/>
  <c r="F31" i="16"/>
  <c r="BS31" i="16" s="1"/>
  <c r="CF31" i="16" s="1"/>
  <c r="CI31" i="16" s="1"/>
  <c r="E32" i="16"/>
  <c r="AW32" i="16" s="1"/>
  <c r="BJ32" i="16" s="1"/>
  <c r="BM32" i="16" s="1"/>
  <c r="H33" i="16"/>
  <c r="G34" i="16"/>
  <c r="CO34" i="16" s="1"/>
  <c r="DB34" i="16" s="1"/>
  <c r="DE34" i="16" s="1"/>
  <c r="F35" i="16"/>
  <c r="BS35" i="16" s="1"/>
  <c r="CF35" i="16" s="1"/>
  <c r="CI35" i="16" s="1"/>
  <c r="E36" i="16"/>
  <c r="AW36" i="16" s="1"/>
  <c r="BJ36" i="16" s="1"/>
  <c r="BM36" i="16" s="1"/>
  <c r="H37" i="16"/>
  <c r="G38" i="16"/>
  <c r="CO38" i="16" s="1"/>
  <c r="DB38" i="16" s="1"/>
  <c r="DE38" i="16" s="1"/>
  <c r="F39" i="16"/>
  <c r="BS39" i="16" s="1"/>
  <c r="CF39" i="16" s="1"/>
  <c r="CI39" i="16" s="1"/>
  <c r="E40" i="16"/>
  <c r="AW40" i="16" s="1"/>
  <c r="BJ40" i="16" s="1"/>
  <c r="BM40" i="16" s="1"/>
  <c r="H41" i="16"/>
  <c r="G42" i="16"/>
  <c r="CO42" i="16" s="1"/>
  <c r="DB42" i="16" s="1"/>
  <c r="DE42" i="16" s="1"/>
  <c r="F43" i="16"/>
  <c r="BS43" i="16" s="1"/>
  <c r="CF43" i="16" s="1"/>
  <c r="CI43" i="16" s="1"/>
  <c r="E44" i="16"/>
  <c r="AW44" i="16" s="1"/>
  <c r="BJ44" i="16" s="1"/>
  <c r="BM44" i="16" s="1"/>
  <c r="H45" i="16"/>
  <c r="G46" i="16"/>
  <c r="CO46" i="16" s="1"/>
  <c r="DB46" i="16" s="1"/>
  <c r="DE46" i="16" s="1"/>
  <c r="F47" i="16"/>
  <c r="BS47" i="16" s="1"/>
  <c r="CF47" i="16" s="1"/>
  <c r="CI47" i="16" s="1"/>
  <c r="E48" i="16"/>
  <c r="AW48" i="16" s="1"/>
  <c r="BJ48" i="16" s="1"/>
  <c r="BM48" i="16" s="1"/>
  <c r="H49" i="16"/>
  <c r="G50" i="16"/>
  <c r="CO50" i="16" s="1"/>
  <c r="DB50" i="16" s="1"/>
  <c r="DE50" i="16" s="1"/>
  <c r="F51" i="16"/>
  <c r="BS51" i="16" s="1"/>
  <c r="CF51" i="16" s="1"/>
  <c r="CI51" i="16" s="1"/>
  <c r="E52" i="16"/>
  <c r="AW52" i="16" s="1"/>
  <c r="BJ52" i="16" s="1"/>
  <c r="BM52" i="16" s="1"/>
  <c r="G56" i="16"/>
  <c r="CO56" i="16" s="1"/>
  <c r="DB56" i="16" s="1"/>
  <c r="DE56" i="16" s="1"/>
  <c r="F53" i="16"/>
  <c r="BS53" i="16" s="1"/>
  <c r="CF53" i="16" s="1"/>
  <c r="CI53" i="16" s="1"/>
  <c r="H50" i="16"/>
  <c r="G47" i="16"/>
  <c r="CO47" i="16" s="1"/>
  <c r="DB47" i="16" s="1"/>
  <c r="DE47" i="16" s="1"/>
  <c r="F44" i="16"/>
  <c r="BS44" i="16" s="1"/>
  <c r="E41" i="16"/>
  <c r="AW41" i="16" s="1"/>
  <c r="BJ41" i="16" s="1"/>
  <c r="BM41" i="16" s="1"/>
  <c r="H34" i="16"/>
  <c r="G31" i="16"/>
  <c r="CO31" i="16" s="1"/>
  <c r="DB31" i="16" s="1"/>
  <c r="DE31" i="16" s="1"/>
  <c r="F28" i="16"/>
  <c r="BS28" i="16" s="1"/>
  <c r="CF28" i="16" s="1"/>
  <c r="CI28" i="16" s="1"/>
  <c r="E25" i="16"/>
  <c r="AW25" i="16" s="1"/>
  <c r="BJ25" i="16" s="1"/>
  <c r="BM25" i="16" s="1"/>
  <c r="G57" i="16"/>
  <c r="CO57" i="16" s="1"/>
  <c r="DB57" i="16" s="1"/>
  <c r="DE57" i="16" s="1"/>
  <c r="F54" i="16"/>
  <c r="BS54" i="16" s="1"/>
  <c r="H52" i="16"/>
  <c r="G49" i="16"/>
  <c r="CO49" i="16" s="1"/>
  <c r="F46" i="16"/>
  <c r="BS46" i="16" s="1"/>
  <c r="CF46" i="16" s="1"/>
  <c r="CI46" i="16" s="1"/>
  <c r="E43" i="16"/>
  <c r="AW43" i="16" s="1"/>
  <c r="BJ43" i="16" s="1"/>
  <c r="BM43" i="16" s="1"/>
  <c r="H36" i="16"/>
  <c r="G33" i="16"/>
  <c r="CO33" i="16" s="1"/>
  <c r="DB33" i="16" s="1"/>
  <c r="DE33" i="16" s="1"/>
  <c r="F30" i="16"/>
  <c r="BS30" i="16" s="1"/>
  <c r="CF30" i="16" s="1"/>
  <c r="CI30" i="16" s="1"/>
  <c r="E27" i="16"/>
  <c r="AW27" i="16" s="1"/>
  <c r="BJ27" i="16" s="1"/>
  <c r="BM27" i="16" s="1"/>
  <c r="H20" i="16"/>
  <c r="H19" i="16"/>
  <c r="G20" i="16"/>
  <c r="CO20" i="16" s="1"/>
  <c r="DB20" i="16" s="1"/>
  <c r="DE20" i="16" s="1"/>
  <c r="F21" i="16"/>
  <c r="BS21" i="16" s="1"/>
  <c r="CF21" i="16" s="1"/>
  <c r="CI21" i="16" s="1"/>
  <c r="E22" i="16"/>
  <c r="AW22" i="16" s="1"/>
  <c r="BJ22" i="16" s="1"/>
  <c r="BM22" i="16" s="1"/>
  <c r="H23" i="16"/>
  <c r="G24" i="16"/>
  <c r="CO24" i="16" s="1"/>
  <c r="DC24" i="16" s="1"/>
  <c r="F25" i="16"/>
  <c r="BS25" i="16" s="1"/>
  <c r="CF25" i="16" s="1"/>
  <c r="CI25" i="16" s="1"/>
  <c r="E26" i="16"/>
  <c r="AW26" i="16" s="1"/>
  <c r="BJ26" i="16" s="1"/>
  <c r="BM26" i="16" s="1"/>
  <c r="H27" i="16"/>
  <c r="G28" i="16"/>
  <c r="CO28" i="16" s="1"/>
  <c r="DB28" i="16" s="1"/>
  <c r="DE28" i="16" s="1"/>
  <c r="F29" i="16"/>
  <c r="BS29" i="16" s="1"/>
  <c r="CF29" i="16" s="1"/>
  <c r="CI29" i="16" s="1"/>
  <c r="E30" i="16"/>
  <c r="AW30" i="16" s="1"/>
  <c r="BJ30" i="16" s="1"/>
  <c r="BM30" i="16" s="1"/>
  <c r="H31" i="16"/>
  <c r="G32" i="16"/>
  <c r="CO32" i="16" s="1"/>
  <c r="DB32" i="16" s="1"/>
  <c r="DE32" i="16" s="1"/>
  <c r="F33" i="16"/>
  <c r="BS33" i="16" s="1"/>
  <c r="CF33" i="16" s="1"/>
  <c r="CI33" i="16" s="1"/>
  <c r="E34" i="16"/>
  <c r="AW34" i="16" s="1"/>
  <c r="BJ34" i="16" s="1"/>
  <c r="BM34" i="16" s="1"/>
  <c r="H35" i="16"/>
  <c r="G36" i="16"/>
  <c r="CO36" i="16" s="1"/>
  <c r="DB36" i="16" s="1"/>
  <c r="DE36" i="16" s="1"/>
  <c r="F37" i="16"/>
  <c r="BS37" i="16" s="1"/>
  <c r="CF37" i="16" s="1"/>
  <c r="CI37" i="16" s="1"/>
  <c r="E38" i="16"/>
  <c r="AW38" i="16" s="1"/>
  <c r="BJ38" i="16" s="1"/>
  <c r="BM38" i="16" s="1"/>
  <c r="H39" i="16"/>
  <c r="G40" i="16"/>
  <c r="CO40" i="16" s="1"/>
  <c r="DB40" i="16" s="1"/>
  <c r="DE40" i="16" s="1"/>
  <c r="F41" i="16"/>
  <c r="BS41" i="16" s="1"/>
  <c r="CF41" i="16" s="1"/>
  <c r="CI41" i="16" s="1"/>
  <c r="E42" i="16"/>
  <c r="AW42" i="16" s="1"/>
  <c r="BJ42" i="16" s="1"/>
  <c r="BM42" i="16" s="1"/>
  <c r="H43" i="16"/>
  <c r="G44" i="16"/>
  <c r="CO44" i="16" s="1"/>
  <c r="DB44" i="16" s="1"/>
  <c r="DE44" i="16" s="1"/>
  <c r="F45" i="16"/>
  <c r="BS45" i="16" s="1"/>
  <c r="CF45" i="16" s="1"/>
  <c r="CI45" i="16" s="1"/>
  <c r="E46" i="16"/>
  <c r="AW46" i="16" s="1"/>
  <c r="BJ46" i="16" s="1"/>
  <c r="BM46" i="16" s="1"/>
  <c r="H47" i="16"/>
  <c r="G48" i="16"/>
  <c r="CO48" i="16" s="1"/>
  <c r="DB48" i="16" s="1"/>
  <c r="DE48" i="16" s="1"/>
  <c r="F49" i="16"/>
  <c r="BS49" i="16" s="1"/>
  <c r="CF49" i="16" s="1"/>
  <c r="CI49" i="16" s="1"/>
  <c r="E50" i="16"/>
  <c r="AW50" i="16" s="1"/>
  <c r="BJ50" i="16" s="1"/>
  <c r="BM50" i="16" s="1"/>
  <c r="H51" i="16"/>
  <c r="G52" i="16"/>
  <c r="CO52" i="16" s="1"/>
  <c r="DB52" i="16" s="1"/>
  <c r="DE52" i="16" s="1"/>
  <c r="F57" i="16"/>
  <c r="BS57" i="16" s="1"/>
  <c r="CF57" i="16" s="1"/>
  <c r="H55" i="16"/>
  <c r="E54" i="16"/>
  <c r="AW54" i="16" s="1"/>
  <c r="F52" i="16"/>
  <c r="BS52" i="16" s="1"/>
  <c r="CF52" i="16" s="1"/>
  <c r="CI52" i="16" s="1"/>
  <c r="E49" i="16"/>
  <c r="AW49" i="16" s="1"/>
  <c r="H42" i="16"/>
  <c r="G39" i="16"/>
  <c r="CO39" i="16" s="1"/>
  <c r="F36" i="16"/>
  <c r="BS36" i="16" s="1"/>
  <c r="CF36" i="16" s="1"/>
  <c r="CI36" i="16" s="1"/>
  <c r="E33" i="16"/>
  <c r="AW33" i="16" s="1"/>
  <c r="BJ33" i="16" s="1"/>
  <c r="BM33" i="16" s="1"/>
  <c r="H26" i="16"/>
  <c r="G23" i="16"/>
  <c r="CO23" i="16" s="1"/>
  <c r="DB23" i="16" s="1"/>
  <c r="DE23" i="16" s="1"/>
  <c r="F20" i="16"/>
  <c r="BS20" i="16" s="1"/>
  <c r="CF20" i="16" s="1"/>
  <c r="CI20" i="16" s="1"/>
  <c r="H56" i="16"/>
  <c r="E55" i="16"/>
  <c r="AW55" i="16" s="1"/>
  <c r="BJ55" i="16" s="1"/>
  <c r="BM55" i="16" s="1"/>
  <c r="G53" i="16"/>
  <c r="CO53" i="16" s="1"/>
  <c r="DB53" i="16" s="1"/>
  <c r="DE53" i="16" s="1"/>
  <c r="E51" i="16"/>
  <c r="AW51" i="16" s="1"/>
  <c r="BJ51" i="16" s="1"/>
  <c r="BM51" i="16" s="1"/>
  <c r="H44" i="16"/>
  <c r="G41" i="16"/>
  <c r="CO41" i="16" s="1"/>
  <c r="DB41" i="16" s="1"/>
  <c r="DE41" i="16" s="1"/>
  <c r="F38" i="16"/>
  <c r="BS38" i="16" s="1"/>
  <c r="CF38" i="16" s="1"/>
  <c r="CI38" i="16" s="1"/>
  <c r="E35" i="16"/>
  <c r="AW35" i="16" s="1"/>
  <c r="BJ35" i="16" s="1"/>
  <c r="BM35" i="16" s="1"/>
  <c r="H28" i="16"/>
  <c r="G25" i="16"/>
  <c r="CO25" i="16" s="1"/>
  <c r="DB25" i="16" s="1"/>
  <c r="DE25" i="16" s="1"/>
  <c r="F22" i="16"/>
  <c r="BS22" i="16" s="1"/>
  <c r="CF22" i="16" s="1"/>
  <c r="CI22" i="16" s="1"/>
  <c r="E19" i="16"/>
  <c r="AW19" i="16" s="1"/>
  <c r="H57" i="16"/>
  <c r="E56" i="16"/>
  <c r="AW56" i="16" s="1"/>
  <c r="BJ56" i="16" s="1"/>
  <c r="BM56" i="16" s="1"/>
  <c r="F55" i="16"/>
  <c r="BS55" i="16" s="1"/>
  <c r="CF55" i="16" s="1"/>
  <c r="CI55" i="16" s="1"/>
  <c r="G54" i="16"/>
  <c r="CO54" i="16" s="1"/>
  <c r="H53" i="16"/>
  <c r="G51" i="16"/>
  <c r="CO51" i="16" s="1"/>
  <c r="DB51" i="16" s="1"/>
  <c r="DE51" i="16" s="1"/>
  <c r="F48" i="16"/>
  <c r="BS48" i="16" s="1"/>
  <c r="CF48" i="16" s="1"/>
  <c r="CI48" i="16" s="1"/>
  <c r="H46" i="16"/>
  <c r="E45" i="16"/>
  <c r="AW45" i="16" s="1"/>
  <c r="BJ45" i="16" s="1"/>
  <c r="BM45" i="16" s="1"/>
  <c r="G43" i="16"/>
  <c r="CO43" i="16" s="1"/>
  <c r="DB43" i="16" s="1"/>
  <c r="DE43" i="16" s="1"/>
  <c r="F40" i="16"/>
  <c r="BS40" i="16" s="1"/>
  <c r="CF40" i="16" s="1"/>
  <c r="CI40" i="16" s="1"/>
  <c r="H38" i="16"/>
  <c r="E37" i="16"/>
  <c r="AW37" i="16" s="1"/>
  <c r="BJ37" i="16" s="1"/>
  <c r="BM37" i="16" s="1"/>
  <c r="G35" i="16"/>
  <c r="CO35" i="16" s="1"/>
  <c r="DB35" i="16" s="1"/>
  <c r="DE35" i="16" s="1"/>
  <c r="F32" i="16"/>
  <c r="BS32" i="16" s="1"/>
  <c r="CF32" i="16" s="1"/>
  <c r="CI32" i="16" s="1"/>
  <c r="H30" i="16"/>
  <c r="E29" i="16"/>
  <c r="AW29" i="16" s="1"/>
  <c r="BJ29" i="16" s="1"/>
  <c r="BM29" i="16" s="1"/>
  <c r="G27" i="16"/>
  <c r="CO27" i="16" s="1"/>
  <c r="DB27" i="16" s="1"/>
  <c r="DE27" i="16" s="1"/>
  <c r="F24" i="16"/>
  <c r="BS24" i="16" s="1"/>
  <c r="H22" i="16"/>
  <c r="E21" i="16"/>
  <c r="AW21" i="16" s="1"/>
  <c r="BJ21" i="16" s="1"/>
  <c r="BM21" i="16" s="1"/>
  <c r="G19" i="16"/>
  <c r="CO19" i="16" s="1"/>
  <c r="E57" i="16"/>
  <c r="AW57" i="16" s="1"/>
  <c r="BJ57" i="16" s="1"/>
  <c r="BM57" i="16" s="1"/>
  <c r="F56" i="16"/>
  <c r="BS56" i="16" s="1"/>
  <c r="CF56" i="16" s="1"/>
  <c r="CI56" i="16" s="1"/>
  <c r="G55" i="16"/>
  <c r="CO55" i="16" s="1"/>
  <c r="DB55" i="16" s="1"/>
  <c r="DE55" i="16" s="1"/>
  <c r="H54" i="16"/>
  <c r="E53" i="16"/>
  <c r="AW53" i="16" s="1"/>
  <c r="BJ53" i="16" s="1"/>
  <c r="BM53" i="16" s="1"/>
  <c r="F50" i="16"/>
  <c r="BS50" i="16" s="1"/>
  <c r="CF50" i="16" s="1"/>
  <c r="CI50" i="16" s="1"/>
  <c r="H48" i="16"/>
  <c r="E47" i="16"/>
  <c r="AW47" i="16" s="1"/>
  <c r="BJ47" i="16" s="1"/>
  <c r="BM47" i="16" s="1"/>
  <c r="G45" i="16"/>
  <c r="CO45" i="16" s="1"/>
  <c r="DB45" i="16" s="1"/>
  <c r="DE45" i="16" s="1"/>
  <c r="F42" i="16"/>
  <c r="BS42" i="16" s="1"/>
  <c r="CF42" i="16" s="1"/>
  <c r="CI42" i="16" s="1"/>
  <c r="H40" i="16"/>
  <c r="E39" i="16"/>
  <c r="AW39" i="16" s="1"/>
  <c r="G37" i="16"/>
  <c r="CO37" i="16" s="1"/>
  <c r="DB37" i="16" s="1"/>
  <c r="DE37" i="16" s="1"/>
  <c r="F34" i="16"/>
  <c r="BS34" i="16" s="1"/>
  <c r="CF34" i="16" s="1"/>
  <c r="CI34" i="16" s="1"/>
  <c r="H32" i="16"/>
  <c r="E31" i="16"/>
  <c r="AW31" i="16" s="1"/>
  <c r="BJ31" i="16" s="1"/>
  <c r="BM31" i="16" s="1"/>
  <c r="G29" i="16"/>
  <c r="CO29" i="16" s="1"/>
  <c r="DB29" i="16" s="1"/>
  <c r="DE29" i="16" s="1"/>
  <c r="F26" i="16"/>
  <c r="BS26" i="16" s="1"/>
  <c r="CF26" i="16" s="1"/>
  <c r="CI26" i="16" s="1"/>
  <c r="H24" i="16"/>
  <c r="E23" i="16"/>
  <c r="AW23" i="16" s="1"/>
  <c r="BJ23" i="16" s="1"/>
  <c r="BM23" i="16" s="1"/>
  <c r="G21" i="16"/>
  <c r="CO21" i="16" s="1"/>
  <c r="DB21" i="16" s="1"/>
  <c r="DE21" i="16" s="1"/>
  <c r="DB24" i="16"/>
  <c r="DE24" i="16" s="1"/>
  <c r="CF19" i="16"/>
  <c r="CI19" i="16" s="1"/>
  <c r="I47" i="17"/>
  <c r="S17" i="16" s="1"/>
  <c r="J47" i="17"/>
  <c r="T17" i="16" s="1"/>
  <c r="I48" i="17"/>
  <c r="S18" i="16" s="1"/>
  <c r="M48" i="17"/>
  <c r="W18" i="16" s="1"/>
  <c r="L49" i="17"/>
  <c r="V19" i="16" s="1"/>
  <c r="K50" i="17"/>
  <c r="U20" i="16" s="1"/>
  <c r="J51" i="17"/>
  <c r="T21" i="16" s="1"/>
  <c r="I52" i="17"/>
  <c r="S22" i="16" s="1"/>
  <c r="M52" i="17"/>
  <c r="W22" i="16" s="1"/>
  <c r="L53" i="17"/>
  <c r="V23" i="16" s="1"/>
  <c r="K54" i="17"/>
  <c r="U24" i="16" s="1"/>
  <c r="J55" i="17"/>
  <c r="T25" i="16" s="1"/>
  <c r="I56" i="17"/>
  <c r="S26" i="16" s="1"/>
  <c r="M56" i="17"/>
  <c r="W26" i="16" s="1"/>
  <c r="L57" i="17"/>
  <c r="V27" i="16" s="1"/>
  <c r="K58" i="17"/>
  <c r="U28" i="16" s="1"/>
  <c r="J59" i="17"/>
  <c r="T29" i="16" s="1"/>
  <c r="AY17" i="16" s="1"/>
  <c r="I60" i="17"/>
  <c r="S30" i="16" s="1"/>
  <c r="AC18" i="16" s="1"/>
  <c r="M60" i="17"/>
  <c r="W30" i="16" s="1"/>
  <c r="EE18" i="16" s="1"/>
  <c r="L61" i="17"/>
  <c r="V31" i="16" s="1"/>
  <c r="CQ19" i="16" s="1"/>
  <c r="K62" i="17"/>
  <c r="U32" i="16" s="1"/>
  <c r="BU20" i="16" s="1"/>
  <c r="J63" i="17"/>
  <c r="T33" i="16" s="1"/>
  <c r="AY21" i="16" s="1"/>
  <c r="I64" i="17"/>
  <c r="S34" i="16" s="1"/>
  <c r="AC22" i="16" s="1"/>
  <c r="M64" i="17"/>
  <c r="W34" i="16" s="1"/>
  <c r="EE22" i="16" s="1"/>
  <c r="L65" i="17"/>
  <c r="V35" i="16" s="1"/>
  <c r="CQ23" i="16" s="1"/>
  <c r="K66" i="17"/>
  <c r="U36" i="16" s="1"/>
  <c r="BU24" i="16" s="1"/>
  <c r="J67" i="17"/>
  <c r="T37" i="16" s="1"/>
  <c r="AY25" i="16" s="1"/>
  <c r="I68" i="17"/>
  <c r="S38" i="16" s="1"/>
  <c r="AC26" i="16" s="1"/>
  <c r="M68" i="17"/>
  <c r="W38" i="16" s="1"/>
  <c r="EE26" i="16" s="1"/>
  <c r="L69" i="17"/>
  <c r="V39" i="16" s="1"/>
  <c r="CQ27" i="16" s="1"/>
  <c r="K70" i="17"/>
  <c r="U40" i="16" s="1"/>
  <c r="BU28" i="16" s="1"/>
  <c r="J71" i="17"/>
  <c r="T41" i="16" s="1"/>
  <c r="AY29" i="16" s="1"/>
  <c r="I72" i="17"/>
  <c r="S42" i="16" s="1"/>
  <c r="AC30" i="16" s="1"/>
  <c r="M72" i="17"/>
  <c r="W42" i="16" s="1"/>
  <c r="EE30" i="16" s="1"/>
  <c r="L73" i="17"/>
  <c r="V43" i="16" s="1"/>
  <c r="CQ31" i="16" s="1"/>
  <c r="K74" i="17"/>
  <c r="U44" i="16" s="1"/>
  <c r="BU32" i="16" s="1"/>
  <c r="L47" i="17"/>
  <c r="V17" i="16" s="1"/>
  <c r="J49" i="17"/>
  <c r="T19" i="16" s="1"/>
  <c r="M50" i="17"/>
  <c r="W20" i="16" s="1"/>
  <c r="K52" i="17"/>
  <c r="U22" i="16" s="1"/>
  <c r="I54" i="17"/>
  <c r="S24" i="16" s="1"/>
  <c r="L55" i="17"/>
  <c r="V25" i="16" s="1"/>
  <c r="J57" i="17"/>
  <c r="T27" i="16" s="1"/>
  <c r="M58" i="17"/>
  <c r="W28" i="16" s="1"/>
  <c r="K60" i="17"/>
  <c r="U30" i="16" s="1"/>
  <c r="BU18" i="16" s="1"/>
  <c r="I62" i="17"/>
  <c r="S32" i="16" s="1"/>
  <c r="AC20" i="16" s="1"/>
  <c r="L63" i="17"/>
  <c r="V33" i="16" s="1"/>
  <c r="CQ21" i="16" s="1"/>
  <c r="J65" i="17"/>
  <c r="T35" i="16" s="1"/>
  <c r="AY23" i="16" s="1"/>
  <c r="M66" i="17"/>
  <c r="W36" i="16" s="1"/>
  <c r="EE24" i="16" s="1"/>
  <c r="K68" i="17"/>
  <c r="U38" i="16" s="1"/>
  <c r="BU26" i="16" s="1"/>
  <c r="I70" i="17"/>
  <c r="S40" i="16" s="1"/>
  <c r="AC28" i="16" s="1"/>
  <c r="L71" i="17"/>
  <c r="V41" i="16" s="1"/>
  <c r="CQ29" i="16" s="1"/>
  <c r="J73" i="17"/>
  <c r="T43" i="16" s="1"/>
  <c r="AY31" i="16" s="1"/>
  <c r="M74" i="17"/>
  <c r="W44" i="16" s="1"/>
  <c r="EE32" i="16" s="1"/>
  <c r="K48" i="17"/>
  <c r="U18" i="16" s="1"/>
  <c r="I50" i="17"/>
  <c r="S20" i="16" s="1"/>
  <c r="L51" i="17"/>
  <c r="V21" i="16" s="1"/>
  <c r="J53" i="17"/>
  <c r="T23" i="16" s="1"/>
  <c r="M54" i="17"/>
  <c r="W24" i="16" s="1"/>
  <c r="K56" i="17"/>
  <c r="U26" i="16" s="1"/>
  <c r="I58" i="17"/>
  <c r="S28" i="16" s="1"/>
  <c r="L59" i="17"/>
  <c r="V29" i="16" s="1"/>
  <c r="CQ17" i="16" s="1"/>
  <c r="J61" i="17"/>
  <c r="T31" i="16" s="1"/>
  <c r="AY19" i="16" s="1"/>
  <c r="M62" i="17"/>
  <c r="W32" i="16" s="1"/>
  <c r="EE20" i="16" s="1"/>
  <c r="K64" i="17"/>
  <c r="U34" i="16" s="1"/>
  <c r="BU22" i="16" s="1"/>
  <c r="I66" i="17"/>
  <c r="S36" i="16" s="1"/>
  <c r="AC24" i="16" s="1"/>
  <c r="L67" i="17"/>
  <c r="V37" i="16" s="1"/>
  <c r="CQ25" i="16" s="1"/>
  <c r="J69" i="17"/>
  <c r="T39" i="16" s="1"/>
  <c r="AY27" i="16" s="1"/>
  <c r="M70" i="17"/>
  <c r="W40" i="16" s="1"/>
  <c r="EE28" i="16" s="1"/>
  <c r="K72" i="17"/>
  <c r="U42" i="16" s="1"/>
  <c r="BU30" i="16" s="1"/>
  <c r="I74" i="17"/>
  <c r="S44" i="16" s="1"/>
  <c r="AC32" i="16" s="1"/>
  <c r="J74" i="17"/>
  <c r="T44" i="16" s="1"/>
  <c r="AY32" i="16" s="1"/>
  <c r="I71" i="17"/>
  <c r="S41" i="16" s="1"/>
  <c r="AC29" i="16" s="1"/>
  <c r="L68" i="17"/>
  <c r="V38" i="16" s="1"/>
  <c r="CQ26" i="16" s="1"/>
  <c r="J66" i="17"/>
  <c r="T36" i="16" s="1"/>
  <c r="AY24" i="16" s="1"/>
  <c r="L64" i="17"/>
  <c r="V34" i="16" s="1"/>
  <c r="CQ22" i="16" s="1"/>
  <c r="J62" i="17"/>
  <c r="T32" i="16" s="1"/>
  <c r="AY20" i="16" s="1"/>
  <c r="L60" i="17"/>
  <c r="V30" i="16" s="1"/>
  <c r="CQ18" i="16" s="1"/>
  <c r="I59" i="17"/>
  <c r="S29" i="16" s="1"/>
  <c r="AC17" i="16" s="1"/>
  <c r="L56" i="17"/>
  <c r="V26" i="16" s="1"/>
  <c r="J54" i="17"/>
  <c r="T24" i="16" s="1"/>
  <c r="M51" i="17"/>
  <c r="W21" i="16" s="1"/>
  <c r="K49" i="17"/>
  <c r="U19" i="16" s="1"/>
  <c r="L74" i="17"/>
  <c r="V44" i="16" s="1"/>
  <c r="CQ32" i="16" s="1"/>
  <c r="M73" i="17"/>
  <c r="W43" i="16" s="1"/>
  <c r="EE31" i="16" s="1"/>
  <c r="I73" i="17"/>
  <c r="S43" i="16" s="1"/>
  <c r="AC31" i="16" s="1"/>
  <c r="J72" i="17"/>
  <c r="T42" i="16" s="1"/>
  <c r="AY30" i="16" s="1"/>
  <c r="K71" i="17"/>
  <c r="U41" i="16" s="1"/>
  <c r="BU29" i="16" s="1"/>
  <c r="L70" i="17"/>
  <c r="V40" i="16" s="1"/>
  <c r="CQ28" i="16" s="1"/>
  <c r="M69" i="17"/>
  <c r="W39" i="16" s="1"/>
  <c r="EE27" i="16" s="1"/>
  <c r="I69" i="17"/>
  <c r="S39" i="16" s="1"/>
  <c r="AC27" i="16" s="1"/>
  <c r="J68" i="17"/>
  <c r="T38" i="16" s="1"/>
  <c r="AY26" i="16" s="1"/>
  <c r="K67" i="17"/>
  <c r="U37" i="16" s="1"/>
  <c r="BU25" i="16" s="1"/>
  <c r="L66" i="17"/>
  <c r="V36" i="16" s="1"/>
  <c r="CQ24" i="16" s="1"/>
  <c r="M65" i="17"/>
  <c r="W35" i="16" s="1"/>
  <c r="EE23" i="16" s="1"/>
  <c r="I65" i="17"/>
  <c r="S35" i="16" s="1"/>
  <c r="AC23" i="16" s="1"/>
  <c r="J64" i="17"/>
  <c r="T34" i="16" s="1"/>
  <c r="AY22" i="16" s="1"/>
  <c r="K63" i="17"/>
  <c r="U33" i="16" s="1"/>
  <c r="BU21" i="16" s="1"/>
  <c r="L62" i="17"/>
  <c r="V32" i="16" s="1"/>
  <c r="CQ20" i="16" s="1"/>
  <c r="M61" i="17"/>
  <c r="W31" i="16" s="1"/>
  <c r="EE19" i="16" s="1"/>
  <c r="I61" i="17"/>
  <c r="S31" i="16" s="1"/>
  <c r="AC19" i="16" s="1"/>
  <c r="J60" i="17"/>
  <c r="T30" i="16" s="1"/>
  <c r="AY18" i="16" s="1"/>
  <c r="K59" i="17"/>
  <c r="U29" i="16" s="1"/>
  <c r="BU17" i="16" s="1"/>
  <c r="L58" i="17"/>
  <c r="V28" i="16" s="1"/>
  <c r="M57" i="17"/>
  <c r="W27" i="16" s="1"/>
  <c r="I57" i="17"/>
  <c r="S27" i="16" s="1"/>
  <c r="J56" i="17"/>
  <c r="T26" i="16" s="1"/>
  <c r="K55" i="17"/>
  <c r="U25" i="16" s="1"/>
  <c r="L54" i="17"/>
  <c r="V24" i="16" s="1"/>
  <c r="M53" i="17"/>
  <c r="W23" i="16" s="1"/>
  <c r="I53" i="17"/>
  <c r="S23" i="16" s="1"/>
  <c r="J52" i="17"/>
  <c r="T22" i="16" s="1"/>
  <c r="K51" i="17"/>
  <c r="U21" i="16" s="1"/>
  <c r="L50" i="17"/>
  <c r="V20" i="16" s="1"/>
  <c r="M49" i="17"/>
  <c r="W19" i="16" s="1"/>
  <c r="I49" i="17"/>
  <c r="S19" i="16" s="1"/>
  <c r="J48" i="17"/>
  <c r="T18" i="16" s="1"/>
  <c r="K47" i="17"/>
  <c r="U17" i="16" s="1"/>
  <c r="K73" i="17"/>
  <c r="U43" i="16" s="1"/>
  <c r="BU31" i="16" s="1"/>
  <c r="L72" i="17"/>
  <c r="V42" i="16" s="1"/>
  <c r="CQ30" i="16" s="1"/>
  <c r="M71" i="17"/>
  <c r="W41" i="16" s="1"/>
  <c r="EE29" i="16" s="1"/>
  <c r="J70" i="17"/>
  <c r="T40" i="16" s="1"/>
  <c r="AY28" i="16" s="1"/>
  <c r="K69" i="17"/>
  <c r="U39" i="16" s="1"/>
  <c r="BU27" i="16" s="1"/>
  <c r="M67" i="17"/>
  <c r="W37" i="16" s="1"/>
  <c r="EE25" i="16" s="1"/>
  <c r="I67" i="17"/>
  <c r="S37" i="16" s="1"/>
  <c r="AC25" i="16" s="1"/>
  <c r="K65" i="17"/>
  <c r="U35" i="16" s="1"/>
  <c r="BU23" i="16" s="1"/>
  <c r="M63" i="17"/>
  <c r="W33" i="16" s="1"/>
  <c r="EE21" i="16" s="1"/>
  <c r="I63" i="17"/>
  <c r="S33" i="16" s="1"/>
  <c r="AC21" i="16" s="1"/>
  <c r="K61" i="17"/>
  <c r="U31" i="16" s="1"/>
  <c r="BU19" i="16" s="1"/>
  <c r="M59" i="17"/>
  <c r="W29" i="16" s="1"/>
  <c r="EE17" i="16" s="1"/>
  <c r="J58" i="17"/>
  <c r="T28" i="16" s="1"/>
  <c r="K57" i="17"/>
  <c r="U27" i="16" s="1"/>
  <c r="M55" i="17"/>
  <c r="W25" i="16" s="1"/>
  <c r="I55" i="17"/>
  <c r="S25" i="16" s="1"/>
  <c r="K53" i="17"/>
  <c r="U23" i="16" s="1"/>
  <c r="L52" i="17"/>
  <c r="V22" i="16" s="1"/>
  <c r="I51" i="17"/>
  <c r="S21" i="16" s="1"/>
  <c r="J50" i="17"/>
  <c r="T20" i="16" s="1"/>
  <c r="L48" i="17"/>
  <c r="V18" i="16" s="1"/>
  <c r="M47" i="17"/>
  <c r="W17" i="16" s="1"/>
  <c r="AS21" i="16"/>
  <c r="FI21" i="16" s="1"/>
  <c r="AR21" i="16"/>
  <c r="FF21" i="16" s="1"/>
  <c r="AR18" i="16"/>
  <c r="FF18" i="16" s="1"/>
  <c r="AR17" i="16"/>
  <c r="FF17" i="16" s="1"/>
  <c r="DC17" i="16"/>
  <c r="EQ19" i="16"/>
  <c r="EQ21" i="16"/>
  <c r="EQ23" i="16"/>
  <c r="EQ18" i="16"/>
  <c r="EQ20" i="16"/>
  <c r="EQ22" i="16"/>
  <c r="EQ17" i="16"/>
  <c r="E19" i="15"/>
  <c r="C22" i="16"/>
  <c r="CI17" i="16"/>
  <c r="BR39" i="16"/>
  <c r="CE38" i="16"/>
  <c r="AV25" i="16"/>
  <c r="BI24" i="16"/>
  <c r="EO25" i="16"/>
  <c r="EB26" i="16"/>
  <c r="DA25" i="16"/>
  <c r="CN26" i="16"/>
  <c r="EC32" i="16" l="1"/>
  <c r="EP32" i="16" s="1"/>
  <c r="ES32" i="16" s="1"/>
  <c r="FN32" i="16" s="1"/>
  <c r="GA32" i="16"/>
  <c r="EC57" i="16"/>
  <c r="GA57" i="16"/>
  <c r="EC56" i="16"/>
  <c r="GA56" i="16"/>
  <c r="EC51" i="16"/>
  <c r="EP51" i="16" s="1"/>
  <c r="ES51" i="16" s="1"/>
  <c r="FN51" i="16" s="1"/>
  <c r="GA51" i="16"/>
  <c r="EC39" i="16"/>
  <c r="EP39" i="16" s="1"/>
  <c r="ES39" i="16" s="1"/>
  <c r="FN39" i="16" s="1"/>
  <c r="GA39" i="16"/>
  <c r="EC27" i="16"/>
  <c r="EP27" i="16" s="1"/>
  <c r="ES27" i="16" s="1"/>
  <c r="FN27" i="16" s="1"/>
  <c r="GA27" i="16"/>
  <c r="EC26" i="16"/>
  <c r="EP26" i="16" s="1"/>
  <c r="ES26" i="16" s="1"/>
  <c r="FN26" i="16" s="1"/>
  <c r="GA26" i="16"/>
  <c r="EC36" i="16"/>
  <c r="GA36" i="16"/>
  <c r="EC45" i="16"/>
  <c r="GA45" i="16"/>
  <c r="EC33" i="16"/>
  <c r="EP33" i="16" s="1"/>
  <c r="ES33" i="16" s="1"/>
  <c r="FN33" i="16" s="1"/>
  <c r="GA33" i="16"/>
  <c r="EC21" i="16"/>
  <c r="GA21" i="16"/>
  <c r="EC28" i="16"/>
  <c r="EP28" i="16" s="1"/>
  <c r="ES28" i="16" s="1"/>
  <c r="FN28" i="16" s="1"/>
  <c r="GA28" i="16"/>
  <c r="EC50" i="16"/>
  <c r="EP50" i="16" s="1"/>
  <c r="ES50" i="16" s="1"/>
  <c r="FN50" i="16" s="1"/>
  <c r="GA50" i="16"/>
  <c r="EC40" i="16"/>
  <c r="GA40" i="16"/>
  <c r="EC46" i="16"/>
  <c r="GA46" i="16"/>
  <c r="DD24" i="16"/>
  <c r="DD19" i="16" s="1"/>
  <c r="EC47" i="16"/>
  <c r="GA47" i="16"/>
  <c r="EC35" i="16"/>
  <c r="GA35" i="16"/>
  <c r="EC23" i="16"/>
  <c r="EP23" i="16" s="1"/>
  <c r="ES23" i="16" s="1"/>
  <c r="FN23" i="16" s="1"/>
  <c r="GA23" i="16"/>
  <c r="EC22" i="16"/>
  <c r="EP22" i="16" s="1"/>
  <c r="ES22" i="16" s="1"/>
  <c r="FN22" i="16" s="1"/>
  <c r="GA22" i="16"/>
  <c r="EC42" i="16"/>
  <c r="GA42" i="16"/>
  <c r="EC52" i="16"/>
  <c r="GA52" i="16"/>
  <c r="EC41" i="16"/>
  <c r="GA41" i="16"/>
  <c r="EC29" i="16"/>
  <c r="EP29" i="16" s="1"/>
  <c r="ES29" i="16" s="1"/>
  <c r="FN29" i="16" s="1"/>
  <c r="GA29" i="16"/>
  <c r="EC24" i="16"/>
  <c r="EP24" i="16" s="1"/>
  <c r="GA24" i="16"/>
  <c r="EC48" i="16"/>
  <c r="GA48" i="16"/>
  <c r="EC53" i="16"/>
  <c r="GA53" i="16"/>
  <c r="EC44" i="16"/>
  <c r="GA44" i="16"/>
  <c r="EC30" i="16"/>
  <c r="GA30" i="16"/>
  <c r="EC34" i="16"/>
  <c r="GA34" i="16"/>
  <c r="EC43" i="16"/>
  <c r="EP43" i="16" s="1"/>
  <c r="ES43" i="16" s="1"/>
  <c r="FN43" i="16" s="1"/>
  <c r="GA43" i="16"/>
  <c r="EC31" i="16"/>
  <c r="EP31" i="16" s="1"/>
  <c r="ES31" i="16" s="1"/>
  <c r="FN31" i="16" s="1"/>
  <c r="GA31" i="16"/>
  <c r="EC19" i="16"/>
  <c r="EP19" i="16" s="1"/>
  <c r="ES19" i="16" s="1"/>
  <c r="FN19" i="16" s="1"/>
  <c r="GA19" i="16"/>
  <c r="EC38" i="16"/>
  <c r="GA38" i="16"/>
  <c r="EC54" i="16"/>
  <c r="GA54" i="16"/>
  <c r="EC55" i="16"/>
  <c r="GA55" i="16"/>
  <c r="EC20" i="16"/>
  <c r="EP20" i="16" s="1"/>
  <c r="ES20" i="16" s="1"/>
  <c r="FN20" i="16" s="1"/>
  <c r="GA20" i="16"/>
  <c r="EC49" i="16"/>
  <c r="EP49" i="16" s="1"/>
  <c r="ES49" i="16" s="1"/>
  <c r="FN49" i="16" s="1"/>
  <c r="GA49" i="16"/>
  <c r="EC37" i="16"/>
  <c r="GA37" i="16"/>
  <c r="EC25" i="16"/>
  <c r="EP25" i="16" s="1"/>
  <c r="ES25" i="16" s="1"/>
  <c r="FN25" i="16" s="1"/>
  <c r="GA25" i="16"/>
  <c r="AR24" i="16"/>
  <c r="FF24" i="16" s="1"/>
  <c r="AS24" i="16"/>
  <c r="FI24" i="16" s="1"/>
  <c r="AS18" i="16"/>
  <c r="FI18" i="16" s="1"/>
  <c r="AS20" i="16"/>
  <c r="FI20" i="16" s="1"/>
  <c r="AR20" i="16"/>
  <c r="FF20" i="16" s="1"/>
  <c r="BN20" i="16"/>
  <c r="BS18" i="16"/>
  <c r="CF18" i="16" s="1"/>
  <c r="CI18" i="16" s="1"/>
  <c r="AR19" i="16"/>
  <c r="FF19" i="16" s="1"/>
  <c r="AS23" i="16"/>
  <c r="FI23" i="16" s="1"/>
  <c r="AR23" i="16"/>
  <c r="FF23" i="16" s="1"/>
  <c r="AS19" i="16"/>
  <c r="FI19" i="16" s="1"/>
  <c r="DD22" i="16"/>
  <c r="DG22" i="16" s="1"/>
  <c r="AS17" i="16"/>
  <c r="FI17" i="16" s="1"/>
  <c r="AS22" i="16"/>
  <c r="FI22" i="16" s="1"/>
  <c r="AR22" i="16"/>
  <c r="FF22" i="16" s="1"/>
  <c r="BK21" i="16"/>
  <c r="BN21" i="16" s="1"/>
  <c r="BK22" i="16"/>
  <c r="BN22" i="16" s="1"/>
  <c r="B56" i="17"/>
  <c r="L25" i="16"/>
  <c r="EC17" i="16"/>
  <c r="EP17" i="16" s="1"/>
  <c r="DF24" i="16"/>
  <c r="BK18" i="16"/>
  <c r="CH24" i="16"/>
  <c r="CH21" i="16" s="1"/>
  <c r="EC18" i="16"/>
  <c r="EP18" i="16" s="1"/>
  <c r="ES18" i="16" s="1"/>
  <c r="FN18" i="16" s="1"/>
  <c r="BJ24" i="16"/>
  <c r="BM24" i="16" s="1"/>
  <c r="DG24" i="16"/>
  <c r="BK23" i="16"/>
  <c r="BN23" i="16" s="1"/>
  <c r="BK19" i="16"/>
  <c r="BK17" i="16"/>
  <c r="BL24" i="16"/>
  <c r="CI57" i="16"/>
  <c r="EP48" i="16"/>
  <c r="ES48" i="16" s="1"/>
  <c r="FN48" i="16" s="1"/>
  <c r="EP30" i="16"/>
  <c r="ES30" i="16" s="1"/>
  <c r="FN30" i="16" s="1"/>
  <c r="EP46" i="16"/>
  <c r="ES46" i="16" s="1"/>
  <c r="FN46" i="16" s="1"/>
  <c r="EP57" i="16"/>
  <c r="EP56" i="16"/>
  <c r="ES56" i="16" s="1"/>
  <c r="FN56" i="16" s="1"/>
  <c r="EP42" i="16"/>
  <c r="ES42" i="16" s="1"/>
  <c r="FN42" i="16" s="1"/>
  <c r="EP35" i="16"/>
  <c r="ES35" i="16" s="1"/>
  <c r="FN35" i="16" s="1"/>
  <c r="EP36" i="16"/>
  <c r="ES36" i="16" s="1"/>
  <c r="FN36" i="16" s="1"/>
  <c r="EP45" i="16"/>
  <c r="ES45" i="16" s="1"/>
  <c r="FN45" i="16" s="1"/>
  <c r="EP37" i="16"/>
  <c r="ES37" i="16" s="1"/>
  <c r="FN37" i="16" s="1"/>
  <c r="EP21" i="16"/>
  <c r="ES21" i="16" s="1"/>
  <c r="FN21" i="16" s="1"/>
  <c r="EP40" i="16"/>
  <c r="ES40" i="16" s="1"/>
  <c r="FN40" i="16" s="1"/>
  <c r="EP38" i="16"/>
  <c r="ES38" i="16" s="1"/>
  <c r="FN38" i="16" s="1"/>
  <c r="EP53" i="16"/>
  <c r="ES53" i="16" s="1"/>
  <c r="FN53" i="16" s="1"/>
  <c r="EP55" i="16"/>
  <c r="ES55" i="16" s="1"/>
  <c r="FN55" i="16" s="1"/>
  <c r="EP47" i="16"/>
  <c r="ES47" i="16" s="1"/>
  <c r="FN47" i="16" s="1"/>
  <c r="EP52" i="16"/>
  <c r="ES52" i="16" s="1"/>
  <c r="FN52" i="16" s="1"/>
  <c r="EP34" i="16"/>
  <c r="ES34" i="16" s="1"/>
  <c r="FN34" i="16" s="1"/>
  <c r="EP41" i="16"/>
  <c r="ES41" i="16" s="1"/>
  <c r="FN41" i="16" s="1"/>
  <c r="BJ49" i="16"/>
  <c r="BM49" i="16" s="1"/>
  <c r="BJ54" i="16"/>
  <c r="BM54" i="16" s="1"/>
  <c r="DB49" i="16"/>
  <c r="DE49" i="16" s="1"/>
  <c r="CF54" i="16"/>
  <c r="CI54" i="16" s="1"/>
  <c r="CF44" i="16"/>
  <c r="CI44" i="16" s="1"/>
  <c r="BJ19" i="16"/>
  <c r="BM19" i="16" s="1"/>
  <c r="AW18" i="16"/>
  <c r="BJ18" i="16" s="1"/>
  <c r="BM18" i="16" s="1"/>
  <c r="AW17" i="16"/>
  <c r="BJ17" i="16" s="1"/>
  <c r="BM17" i="16" s="1"/>
  <c r="EP44" i="16"/>
  <c r="ES44" i="16" s="1"/>
  <c r="FN44" i="16" s="1"/>
  <c r="DB39" i="16"/>
  <c r="DE39" i="16" s="1"/>
  <c r="EP54" i="16"/>
  <c r="ES54" i="16" s="1"/>
  <c r="FN54" i="16" s="1"/>
  <c r="CO17" i="16"/>
  <c r="DB17" i="16" s="1"/>
  <c r="DE17" i="16" s="1"/>
  <c r="CO18" i="16"/>
  <c r="DB18" i="16" s="1"/>
  <c r="DE18" i="16" s="1"/>
  <c r="DB19" i="16"/>
  <c r="DE19" i="16" s="1"/>
  <c r="BJ39" i="16"/>
  <c r="BM39" i="16" s="1"/>
  <c r="CG24" i="16"/>
  <c r="CF24" i="16"/>
  <c r="CI24" i="16" s="1"/>
  <c r="DB54" i="16"/>
  <c r="DE54" i="16" s="1"/>
  <c r="E20" i="15"/>
  <c r="C23" i="16"/>
  <c r="ET19" i="16"/>
  <c r="ET22" i="16"/>
  <c r="AV26" i="16"/>
  <c r="BI25" i="16"/>
  <c r="BR40" i="16"/>
  <c r="CE39" i="16"/>
  <c r="EB27" i="16"/>
  <c r="EO26" i="16"/>
  <c r="CN27" i="16"/>
  <c r="DA26" i="16"/>
  <c r="DD18" i="16" l="1"/>
  <c r="DD21" i="16"/>
  <c r="DG21" i="16" s="1"/>
  <c r="DD23" i="16"/>
  <c r="DG23" i="16" s="1"/>
  <c r="DD20" i="16"/>
  <c r="DG20" i="16" s="1"/>
  <c r="DD17" i="16"/>
  <c r="ES24" i="16"/>
  <c r="FN24" i="16" s="1"/>
  <c r="EU24" i="16"/>
  <c r="FK24" i="16" s="1"/>
  <c r="ET20" i="16"/>
  <c r="ET24" i="16"/>
  <c r="FH24" i="16" s="1"/>
  <c r="ET23" i="16"/>
  <c r="CH19" i="16"/>
  <c r="CH18" i="16"/>
  <c r="DG18" i="16"/>
  <c r="ET18" i="16"/>
  <c r="FH18" i="16" s="1"/>
  <c r="B57" i="17"/>
  <c r="L26" i="16"/>
  <c r="ES17" i="16"/>
  <c r="FN17" i="16" s="1"/>
  <c r="ET17" i="16"/>
  <c r="FH17" i="16" s="1"/>
  <c r="ET21" i="16"/>
  <c r="FH21" i="16" s="1"/>
  <c r="CH17" i="16"/>
  <c r="CH20" i="16"/>
  <c r="CH23" i="16"/>
  <c r="CK23" i="16" s="1"/>
  <c r="CH22" i="16"/>
  <c r="BN24" i="16"/>
  <c r="BL22" i="16"/>
  <c r="BO22" i="16" s="1"/>
  <c r="BL20" i="16"/>
  <c r="BO20" i="16" s="1"/>
  <c r="BL19" i="16"/>
  <c r="BO19" i="16" s="1"/>
  <c r="BL18" i="16"/>
  <c r="BO18" i="16" s="1"/>
  <c r="BO24" i="16"/>
  <c r="BL17" i="16"/>
  <c r="BO17" i="16" s="1"/>
  <c r="BL23" i="16"/>
  <c r="BO23" i="16" s="1"/>
  <c r="BL21" i="16"/>
  <c r="BO21" i="16" s="1"/>
  <c r="ES57" i="16"/>
  <c r="FN57" i="16" s="1"/>
  <c r="DG19" i="16"/>
  <c r="DF17" i="16"/>
  <c r="DG17" i="16"/>
  <c r="BN18" i="16"/>
  <c r="BN19" i="16"/>
  <c r="BN17" i="16"/>
  <c r="CG19" i="16"/>
  <c r="CJ19" i="16" s="1"/>
  <c r="CG23" i="16"/>
  <c r="CJ23" i="16" s="1"/>
  <c r="CG20" i="16"/>
  <c r="CJ20" i="16" s="1"/>
  <c r="CJ24" i="16"/>
  <c r="CG17" i="16"/>
  <c r="CJ17" i="16" s="1"/>
  <c r="CG21" i="16"/>
  <c r="CJ21" i="16" s="1"/>
  <c r="CG22" i="16"/>
  <c r="CJ22" i="16" s="1"/>
  <c r="CG18" i="16"/>
  <c r="CJ18" i="16" s="1"/>
  <c r="FH20" i="16"/>
  <c r="FH19" i="16"/>
  <c r="FH22" i="16"/>
  <c r="FH23" i="16"/>
  <c r="E21" i="15"/>
  <c r="C24" i="16"/>
  <c r="BR41" i="16"/>
  <c r="CE40" i="16"/>
  <c r="AV27" i="16"/>
  <c r="BI26" i="16"/>
  <c r="EO27" i="16"/>
  <c r="EB28" i="16"/>
  <c r="DA27" i="16"/>
  <c r="CN28" i="16"/>
  <c r="DM23" i="16" l="1"/>
  <c r="DY23" i="16" s="1"/>
  <c r="B58" i="17"/>
  <c r="L27" i="16"/>
  <c r="DL24" i="16"/>
  <c r="DX24" i="16" s="1"/>
  <c r="DL17" i="16"/>
  <c r="FG17" i="16" s="1"/>
  <c r="E22" i="15"/>
  <c r="C25" i="16"/>
  <c r="AV28" i="16"/>
  <c r="BI27" i="16"/>
  <c r="BR42" i="16"/>
  <c r="CE41" i="16"/>
  <c r="EB29" i="16"/>
  <c r="EO28" i="16"/>
  <c r="CN29" i="16"/>
  <c r="DA28" i="16"/>
  <c r="FJ23" i="16" l="1"/>
  <c r="FG24" i="16"/>
  <c r="B59" i="17"/>
  <c r="L28" i="16"/>
  <c r="DX17" i="16"/>
  <c r="EZ17" i="16" s="1"/>
  <c r="FP17" i="16"/>
  <c r="FX17" i="16"/>
  <c r="E23" i="15"/>
  <c r="C26" i="16"/>
  <c r="BR43" i="16"/>
  <c r="CE42" i="16"/>
  <c r="AV29" i="16"/>
  <c r="BI28" i="16"/>
  <c r="EO29" i="16"/>
  <c r="EB30" i="16"/>
  <c r="DA29" i="16"/>
  <c r="CN30" i="16"/>
  <c r="FX24" i="16" l="1"/>
  <c r="FP24" i="16"/>
  <c r="B60" i="17"/>
  <c r="L29" i="16"/>
  <c r="E24" i="15"/>
  <c r="C27" i="16"/>
  <c r="AV30" i="16"/>
  <c r="BI29" i="16"/>
  <c r="BR44" i="16"/>
  <c r="CE43" i="16"/>
  <c r="EB31" i="16"/>
  <c r="EO30" i="16"/>
  <c r="CN31" i="16"/>
  <c r="DA30" i="16"/>
  <c r="B61" i="17" l="1"/>
  <c r="L30" i="16"/>
  <c r="E25" i="15"/>
  <c r="C28" i="16"/>
  <c r="BR45" i="16"/>
  <c r="CE44" i="16"/>
  <c r="AV31" i="16"/>
  <c r="BI30" i="16"/>
  <c r="EO31" i="16"/>
  <c r="EB32" i="16"/>
  <c r="DA31" i="16"/>
  <c r="CN32" i="16"/>
  <c r="B62" i="17" l="1"/>
  <c r="L31" i="16"/>
  <c r="E26" i="15"/>
  <c r="C29" i="16"/>
  <c r="AV32" i="16"/>
  <c r="BI31" i="16"/>
  <c r="BR46" i="16"/>
  <c r="CE45" i="16"/>
  <c r="EB33" i="16"/>
  <c r="EO32" i="16"/>
  <c r="CN33" i="16"/>
  <c r="DA32" i="16"/>
  <c r="B63" i="17" l="1"/>
  <c r="L32" i="16"/>
  <c r="E27" i="15"/>
  <c r="C30" i="16"/>
  <c r="BR47" i="16"/>
  <c r="CE46" i="16"/>
  <c r="AV33" i="16"/>
  <c r="BI32" i="16"/>
  <c r="EO33" i="16"/>
  <c r="EB34" i="16"/>
  <c r="DA33" i="16"/>
  <c r="CN34" i="16"/>
  <c r="B64" i="17" l="1"/>
  <c r="L33" i="16"/>
  <c r="E28" i="15"/>
  <c r="C31" i="16"/>
  <c r="AV34" i="16"/>
  <c r="BI33" i="16"/>
  <c r="BR48" i="16"/>
  <c r="CE47" i="16"/>
  <c r="EO34" i="16"/>
  <c r="EB35" i="16"/>
  <c r="DA34" i="16"/>
  <c r="CN35" i="16"/>
  <c r="B65" i="17" l="1"/>
  <c r="L34" i="16"/>
  <c r="E29" i="15"/>
  <c r="C32" i="16"/>
  <c r="BR49" i="16"/>
  <c r="CE48" i="16"/>
  <c r="AV35" i="16"/>
  <c r="BI34" i="16"/>
  <c r="EB36" i="16"/>
  <c r="EO35" i="16"/>
  <c r="CN36" i="16"/>
  <c r="DA35" i="16"/>
  <c r="B66" i="17" l="1"/>
  <c r="L35" i="16"/>
  <c r="E30" i="15"/>
  <c r="C33" i="16"/>
  <c r="AV36" i="16"/>
  <c r="BI35" i="16"/>
  <c r="BR50" i="16"/>
  <c r="CE49" i="16"/>
  <c r="EO36" i="16"/>
  <c r="EB37" i="16"/>
  <c r="DA36" i="16"/>
  <c r="CN37" i="16"/>
  <c r="B67" i="17" l="1"/>
  <c r="L36" i="16"/>
  <c r="E31" i="15"/>
  <c r="C34" i="16"/>
  <c r="BR51" i="16"/>
  <c r="CE50" i="16"/>
  <c r="AV37" i="16"/>
  <c r="BI36" i="16"/>
  <c r="EO37" i="16"/>
  <c r="EB38" i="16"/>
  <c r="DA37" i="16"/>
  <c r="CN38" i="16"/>
  <c r="B68" i="17" l="1"/>
  <c r="L37" i="16"/>
  <c r="E32" i="15"/>
  <c r="C35" i="16"/>
  <c r="AV38" i="16"/>
  <c r="BI37" i="16"/>
  <c r="BR52" i="16"/>
  <c r="CE51" i="16"/>
  <c r="EB39" i="16"/>
  <c r="EO38" i="16"/>
  <c r="CN39" i="16"/>
  <c r="DA38" i="16"/>
  <c r="B69" i="17" l="1"/>
  <c r="L38" i="16"/>
  <c r="E33" i="15"/>
  <c r="C36" i="16"/>
  <c r="BR53" i="16"/>
  <c r="CE52" i="16"/>
  <c r="AV39" i="16"/>
  <c r="BI38" i="16"/>
  <c r="EO39" i="16"/>
  <c r="EB40" i="16"/>
  <c r="DA39" i="16"/>
  <c r="CN40" i="16"/>
  <c r="B70" i="17" l="1"/>
  <c r="L39" i="16"/>
  <c r="E34" i="15"/>
  <c r="C37" i="16"/>
  <c r="AV40" i="16"/>
  <c r="BI39" i="16"/>
  <c r="BR54" i="16"/>
  <c r="CE53" i="16"/>
  <c r="EB41" i="16"/>
  <c r="EO40" i="16"/>
  <c r="CN41" i="16"/>
  <c r="DA40" i="16"/>
  <c r="B71" i="17" l="1"/>
  <c r="L40" i="16"/>
  <c r="E35" i="15"/>
  <c r="C38" i="16"/>
  <c r="BR55" i="16"/>
  <c r="CE54" i="16"/>
  <c r="AV41" i="16"/>
  <c r="BI40" i="16"/>
  <c r="EO41" i="16"/>
  <c r="EB42" i="16"/>
  <c r="DA41" i="16"/>
  <c r="CN42" i="16"/>
  <c r="B72" i="17" l="1"/>
  <c r="L41" i="16"/>
  <c r="E36" i="15"/>
  <c r="C39" i="16"/>
  <c r="AV42" i="16"/>
  <c r="BI41" i="16"/>
  <c r="BR56" i="16"/>
  <c r="CE55" i="16"/>
  <c r="EB43" i="16"/>
  <c r="EO42" i="16"/>
  <c r="CN43" i="16"/>
  <c r="DA42" i="16"/>
  <c r="B73" i="17" l="1"/>
  <c r="L42" i="16"/>
  <c r="E37" i="15"/>
  <c r="C40" i="16"/>
  <c r="BR57" i="16"/>
  <c r="CE56" i="16"/>
  <c r="AV43" i="16"/>
  <c r="BI42" i="16"/>
  <c r="EO43" i="16"/>
  <c r="EB44" i="16"/>
  <c r="DA43" i="16"/>
  <c r="CN44" i="16"/>
  <c r="CE57" i="16" l="1"/>
  <c r="BR58" i="16"/>
  <c r="BR59" i="16" s="1"/>
  <c r="BR60" i="16" s="1"/>
  <c r="BR61" i="16" s="1"/>
  <c r="BR62" i="16" s="1"/>
  <c r="BR63" i="16" s="1"/>
  <c r="BR64" i="16" s="1"/>
  <c r="B74" i="17"/>
  <c r="L44" i="16" s="1"/>
  <c r="L43" i="16"/>
  <c r="E38" i="15"/>
  <c r="C41" i="16"/>
  <c r="AV44" i="16"/>
  <c r="BI43" i="16"/>
  <c r="EB45" i="16"/>
  <c r="EO44" i="16"/>
  <c r="CN45" i="16"/>
  <c r="DA44" i="16"/>
  <c r="E39" i="15" l="1"/>
  <c r="C42" i="16"/>
  <c r="AV45" i="16"/>
  <c r="BI44" i="16"/>
  <c r="EO45" i="16"/>
  <c r="EB46" i="16"/>
  <c r="DA45" i="16"/>
  <c r="CN46" i="16"/>
  <c r="E40" i="15" l="1"/>
  <c r="C43" i="16"/>
  <c r="AV46" i="16"/>
  <c r="BI45" i="16"/>
  <c r="EB47" i="16"/>
  <c r="EO46" i="16"/>
  <c r="CN47" i="16"/>
  <c r="DA46" i="16"/>
  <c r="E41" i="15" l="1"/>
  <c r="C44" i="16"/>
  <c r="AV47" i="16"/>
  <c r="BI46" i="16"/>
  <c r="EO47" i="16"/>
  <c r="EB48" i="16"/>
  <c r="DA47" i="16"/>
  <c r="CN48" i="16"/>
  <c r="E42" i="15" l="1"/>
  <c r="C45" i="16"/>
  <c r="AV48" i="16"/>
  <c r="BI47" i="16"/>
  <c r="EB49" i="16"/>
  <c r="EO48" i="16"/>
  <c r="CN49" i="16"/>
  <c r="DA48" i="16"/>
  <c r="E43" i="15" l="1"/>
  <c r="C46" i="16"/>
  <c r="AV49" i="16"/>
  <c r="BI48" i="16"/>
  <c r="EO49" i="16"/>
  <c r="EB50" i="16"/>
  <c r="DA49" i="16"/>
  <c r="CN50" i="16"/>
  <c r="E44" i="15" l="1"/>
  <c r="C47" i="16"/>
  <c r="AV50" i="16"/>
  <c r="BI49" i="16"/>
  <c r="EB51" i="16"/>
  <c r="EO50" i="16"/>
  <c r="CN51" i="16"/>
  <c r="DA50" i="16"/>
  <c r="E45" i="15" l="1"/>
  <c r="C48" i="16"/>
  <c r="AV51" i="16"/>
  <c r="BI50" i="16"/>
  <c r="EO51" i="16"/>
  <c r="EB52" i="16"/>
  <c r="DA51" i="16"/>
  <c r="CN52" i="16"/>
  <c r="E46" i="15" l="1"/>
  <c r="C49" i="16"/>
  <c r="AV52" i="16"/>
  <c r="BI51" i="16"/>
  <c r="EB53" i="16"/>
  <c r="EO52" i="16"/>
  <c r="CN53" i="16"/>
  <c r="DA52" i="16"/>
  <c r="E47" i="15" l="1"/>
  <c r="C50" i="16"/>
  <c r="AV53" i="16"/>
  <c r="BI52" i="16"/>
  <c r="EO53" i="16"/>
  <c r="EB54" i="16"/>
  <c r="DA53" i="16"/>
  <c r="CN54" i="16"/>
  <c r="E48" i="15" l="1"/>
  <c r="C51" i="16"/>
  <c r="AV54" i="16"/>
  <c r="BI53" i="16"/>
  <c r="EB55" i="16"/>
  <c r="EO54" i="16"/>
  <c r="CN55" i="16"/>
  <c r="DA54" i="16"/>
  <c r="E49" i="15" l="1"/>
  <c r="C52" i="16"/>
  <c r="AV55" i="16"/>
  <c r="BI54" i="16"/>
  <c r="EO55" i="16"/>
  <c r="EB56" i="16"/>
  <c r="DA55" i="16"/>
  <c r="CN56" i="16"/>
  <c r="E50" i="15" l="1"/>
  <c r="C53" i="16"/>
  <c r="AV56" i="16"/>
  <c r="BI55" i="16"/>
  <c r="EB57" i="16"/>
  <c r="EO56" i="16"/>
  <c r="CN57" i="16"/>
  <c r="DA56" i="16"/>
  <c r="DA57" i="16" l="1"/>
  <c r="CN58" i="16"/>
  <c r="CN59" i="16" s="1"/>
  <c r="CN60" i="16" s="1"/>
  <c r="CN61" i="16" s="1"/>
  <c r="CN62" i="16" s="1"/>
  <c r="CN63" i="16" s="1"/>
  <c r="CN64" i="16" s="1"/>
  <c r="EO57" i="16"/>
  <c r="EB58" i="16"/>
  <c r="EB59" i="16" s="1"/>
  <c r="EB60" i="16" s="1"/>
  <c r="EB61" i="16" s="1"/>
  <c r="EB62" i="16" s="1"/>
  <c r="EB63" i="16" s="1"/>
  <c r="EB64" i="16" s="1"/>
  <c r="E51" i="15"/>
  <c r="C54" i="16"/>
  <c r="AV57" i="16"/>
  <c r="BI56" i="16"/>
  <c r="BI57" i="16" l="1"/>
  <c r="AV58" i="16"/>
  <c r="AV59" i="16" s="1"/>
  <c r="AV60" i="16" s="1"/>
  <c r="AV61" i="16" s="1"/>
  <c r="AV62" i="16" s="1"/>
  <c r="AV63" i="16" s="1"/>
  <c r="AV64" i="16" s="1"/>
  <c r="C55" i="16"/>
  <c r="E52" i="15"/>
  <c r="E53" i="15" l="1"/>
  <c r="C56" i="16"/>
  <c r="C57" i="16" l="1"/>
  <c r="E54" i="15"/>
  <c r="C58" i="16" s="1"/>
  <c r="HH38" i="13"/>
  <c r="HI38" i="13"/>
  <c r="HJ38" i="13"/>
  <c r="HH39" i="13"/>
  <c r="HI39" i="13"/>
  <c r="HJ39" i="13"/>
  <c r="GY9" i="13"/>
  <c r="GZ9" i="13"/>
  <c r="HA9" i="13"/>
  <c r="HB9" i="13"/>
  <c r="GY11" i="13"/>
  <c r="GZ11" i="13"/>
  <c r="HA11" i="13"/>
  <c r="HB11" i="13"/>
  <c r="GY12" i="13"/>
  <c r="GZ12" i="13"/>
  <c r="HA12" i="13"/>
  <c r="HB12" i="13"/>
  <c r="GY13" i="13"/>
  <c r="GZ13" i="13"/>
  <c r="HA13" i="13"/>
  <c r="HB13" i="13"/>
  <c r="GY15" i="13"/>
  <c r="GZ15" i="13"/>
  <c r="HA15" i="13"/>
  <c r="HB15" i="13"/>
  <c r="GY16" i="13"/>
  <c r="GZ16" i="13"/>
  <c r="HA16" i="13"/>
  <c r="HB16" i="13"/>
  <c r="GY17" i="13"/>
  <c r="GZ17" i="13"/>
  <c r="HA17" i="13"/>
  <c r="HB17" i="13"/>
  <c r="GY18" i="13"/>
  <c r="GZ18" i="13"/>
  <c r="HA18" i="13"/>
  <c r="HB18" i="13"/>
  <c r="GY19" i="13"/>
  <c r="GZ19" i="13"/>
  <c r="HA19" i="13"/>
  <c r="HB19" i="13"/>
  <c r="GY20" i="13"/>
  <c r="GZ20" i="13"/>
  <c r="HA20" i="13"/>
  <c r="HB20" i="13"/>
  <c r="GY21" i="13"/>
  <c r="GZ21" i="13"/>
  <c r="HA21" i="13"/>
  <c r="HB21" i="13"/>
  <c r="GY23" i="13"/>
  <c r="GZ23" i="13"/>
  <c r="HA23" i="13"/>
  <c r="HB23" i="13"/>
  <c r="GY24" i="13"/>
  <c r="GZ24" i="13"/>
  <c r="HA24" i="13"/>
  <c r="HB24" i="13"/>
  <c r="GY25" i="13"/>
  <c r="GZ25" i="13"/>
  <c r="HA25" i="13"/>
  <c r="HB25" i="13"/>
  <c r="GY26" i="13"/>
  <c r="GZ26" i="13"/>
  <c r="HA26" i="13"/>
  <c r="HB26" i="13"/>
  <c r="GY27" i="13"/>
  <c r="GZ27" i="13"/>
  <c r="HA27" i="13"/>
  <c r="HB27" i="13"/>
  <c r="GY28" i="13"/>
  <c r="GZ28" i="13"/>
  <c r="HA28" i="13"/>
  <c r="HB28" i="13"/>
  <c r="GY29" i="13"/>
  <c r="GZ29" i="13"/>
  <c r="HA29" i="13"/>
  <c r="HB29" i="13"/>
  <c r="GY30" i="13"/>
  <c r="GZ30" i="13"/>
  <c r="HA30" i="13"/>
  <c r="HB30" i="13"/>
  <c r="GY31" i="13"/>
  <c r="GZ31" i="13"/>
  <c r="HB31" i="13"/>
  <c r="GY32" i="13"/>
  <c r="GZ32" i="13"/>
  <c r="HA32" i="13"/>
  <c r="HB32" i="13"/>
  <c r="HC32" i="13" s="1"/>
  <c r="AU29" i="20" s="1"/>
  <c r="GY33" i="13"/>
  <c r="GZ33" i="13"/>
  <c r="HB33" i="13"/>
  <c r="HC33" i="13" s="1"/>
  <c r="AU30" i="20" s="1"/>
  <c r="AW30" i="20" s="1"/>
  <c r="GY34" i="13"/>
  <c r="GZ34" i="13"/>
  <c r="HB34" i="13"/>
  <c r="HC34" i="13" s="1"/>
  <c r="AU31" i="20" s="1"/>
  <c r="AW31" i="20" s="1"/>
  <c r="GY36" i="13"/>
  <c r="GY50" i="13" s="1"/>
  <c r="F10" i="14" s="1"/>
  <c r="GZ36" i="13"/>
  <c r="GZ50" i="13" s="1"/>
  <c r="G10" i="14" s="1"/>
  <c r="HA36" i="13"/>
  <c r="HA50" i="13" s="1"/>
  <c r="H10" i="14" s="1"/>
  <c r="HB36" i="13"/>
  <c r="HB50" i="13" s="1"/>
  <c r="I10" i="14" s="1"/>
  <c r="GZ37" i="13"/>
  <c r="GZ51" i="13" s="1"/>
  <c r="G11" i="14" s="1"/>
  <c r="HA37" i="13"/>
  <c r="HA51" i="13" s="1"/>
  <c r="H11" i="14" s="1"/>
  <c r="HB37" i="13"/>
  <c r="HB51" i="13" s="1"/>
  <c r="I11" i="14" s="1"/>
  <c r="GY38" i="13"/>
  <c r="GZ38" i="13"/>
  <c r="HA38" i="13"/>
  <c r="HB38" i="13"/>
  <c r="GY39" i="13"/>
  <c r="GZ39" i="13"/>
  <c r="HA39" i="13"/>
  <c r="HB39" i="13"/>
  <c r="GY40" i="13"/>
  <c r="GY52" i="13" s="1"/>
  <c r="F12" i="14" s="1"/>
  <c r="GZ40" i="13"/>
  <c r="GZ52" i="13" s="1"/>
  <c r="G12" i="14" s="1"/>
  <c r="HA40" i="13"/>
  <c r="HA52" i="13" s="1"/>
  <c r="H12" i="14" s="1"/>
  <c r="HB40" i="13"/>
  <c r="HB52" i="13" s="1"/>
  <c r="I12" i="14" s="1"/>
  <c r="GY41" i="13"/>
  <c r="GY53" i="13" s="1"/>
  <c r="F13" i="14" s="1"/>
  <c r="GZ41" i="13"/>
  <c r="GZ53" i="13" s="1"/>
  <c r="G13" i="14" s="1"/>
  <c r="HA41" i="13"/>
  <c r="HA53" i="13" s="1"/>
  <c r="H13" i="14" s="1"/>
  <c r="HB41" i="13"/>
  <c r="HB53" i="13" s="1"/>
  <c r="I13" i="14" s="1"/>
  <c r="GY42" i="13"/>
  <c r="GY54" i="13" s="1"/>
  <c r="F14" i="14" s="1"/>
  <c r="GZ42" i="13"/>
  <c r="GZ54" i="13" s="1"/>
  <c r="G14" i="14" s="1"/>
  <c r="HA42" i="13"/>
  <c r="HA54" i="13" s="1"/>
  <c r="H14" i="14" s="1"/>
  <c r="HB42" i="13"/>
  <c r="HB54" i="13" s="1"/>
  <c r="I14" i="14" s="1"/>
  <c r="HB7" i="13"/>
  <c r="HA7" i="13"/>
  <c r="GZ7" i="13"/>
  <c r="GY7" i="13"/>
  <c r="GZ45" i="13" l="1"/>
  <c r="G5" i="14" s="1"/>
  <c r="AW29" i="20"/>
  <c r="AU39" i="20"/>
  <c r="HC49" i="13"/>
  <c r="J9" i="14" s="1"/>
  <c r="HC48" i="13"/>
  <c r="J8" i="14" s="1"/>
  <c r="J16" i="14" s="1"/>
  <c r="HB45" i="13"/>
  <c r="I5" i="14" s="1"/>
  <c r="GY45" i="13"/>
  <c r="F5" i="14" s="1"/>
  <c r="HA45" i="13"/>
  <c r="H5" i="14" s="1"/>
  <c r="GY37" i="13"/>
  <c r="GY51" i="13" s="1"/>
  <c r="F11" i="14" s="1"/>
  <c r="GZ49" i="13"/>
  <c r="G9" i="14" s="1"/>
  <c r="GZ48" i="13"/>
  <c r="G8" i="14" s="1"/>
  <c r="HA47" i="13"/>
  <c r="H7" i="14" s="1"/>
  <c r="GY47" i="13"/>
  <c r="F7" i="14" s="1"/>
  <c r="HA46" i="13"/>
  <c r="H6" i="14" s="1"/>
  <c r="GY46" i="13"/>
  <c r="F6" i="14" s="1"/>
  <c r="HB49" i="13"/>
  <c r="I9" i="14" s="1"/>
  <c r="HB48" i="13"/>
  <c r="I8" i="14" s="1"/>
  <c r="GY49" i="13"/>
  <c r="F9" i="14" s="1"/>
  <c r="GY48" i="13"/>
  <c r="F8" i="14" s="1"/>
  <c r="HB47" i="13"/>
  <c r="I7" i="14" s="1"/>
  <c r="GZ47" i="13"/>
  <c r="G7" i="14" s="1"/>
  <c r="HB46" i="13"/>
  <c r="I6" i="14" s="1"/>
  <c r="GZ46" i="13"/>
  <c r="G6" i="14" s="1"/>
  <c r="FE40" i="13"/>
  <c r="EV40" i="13"/>
  <c r="DL40" i="13"/>
  <c r="DK40" i="13" s="1"/>
  <c r="DH40" i="13" s="1"/>
  <c r="DE40" i="13"/>
  <c r="DD40" i="13" s="1"/>
  <c r="DA40" i="13" s="1"/>
  <c r="DL39" i="13"/>
  <c r="DK39" i="13" s="1"/>
  <c r="DH39" i="13" s="1"/>
  <c r="DE39" i="13"/>
  <c r="DD39" i="13" s="1"/>
  <c r="DA39" i="13" s="1"/>
  <c r="FE38" i="13"/>
  <c r="EV38" i="13"/>
  <c r="DL38" i="13"/>
  <c r="DK38" i="13" s="1"/>
  <c r="DH38" i="13" s="1"/>
  <c r="DE38" i="13"/>
  <c r="DD38" i="13" s="1"/>
  <c r="DA38" i="13" s="1"/>
  <c r="DL42" i="13"/>
  <c r="DK42" i="13" s="1"/>
  <c r="DH42" i="13" s="1"/>
  <c r="DE42" i="13"/>
  <c r="DD42" i="13" s="1"/>
  <c r="DA42" i="13" s="1"/>
  <c r="BH13" i="13"/>
  <c r="AU13" i="13"/>
  <c r="FE13" i="13"/>
  <c r="EV13" i="13"/>
  <c r="DL13" i="13"/>
  <c r="DK13" i="13" s="1"/>
  <c r="DH13" i="13" s="1"/>
  <c r="DE13" i="13"/>
  <c r="DD13" i="13" s="1"/>
  <c r="DA13" i="13" s="1"/>
  <c r="FE34" i="13"/>
  <c r="EV34" i="13"/>
  <c r="DA34" i="13"/>
  <c r="DE34" i="13"/>
  <c r="DC34" i="13" s="1"/>
  <c r="DL34" i="13"/>
  <c r="DJ34" i="13" s="1"/>
  <c r="DH34" i="13"/>
  <c r="FE33" i="13"/>
  <c r="EV33" i="13"/>
  <c r="DH33" i="13"/>
  <c r="DA33" i="13"/>
  <c r="DE33" i="13"/>
  <c r="DC33" i="13" s="1"/>
  <c r="DL33" i="13"/>
  <c r="DK33" i="13" s="1"/>
  <c r="FE32" i="13"/>
  <c r="EV32" i="13"/>
  <c r="DA32" i="13"/>
  <c r="DE32" i="13"/>
  <c r="DD32" i="13" s="1"/>
  <c r="DL32" i="13"/>
  <c r="DK32" i="13" s="1"/>
  <c r="DH32" i="13"/>
  <c r="DA31" i="13"/>
  <c r="DE31" i="13"/>
  <c r="DC31" i="13" s="1"/>
  <c r="DH31" i="13"/>
  <c r="DL31" i="13"/>
  <c r="DJ31" i="13" s="1"/>
  <c r="DA30" i="13"/>
  <c r="DH30" i="13"/>
  <c r="DL30" i="13"/>
  <c r="DK30" i="13" s="1"/>
  <c r="DE30" i="13"/>
  <c r="DD30" i="13" s="1"/>
  <c r="DA29" i="13"/>
  <c r="DH29" i="13"/>
  <c r="DL29" i="13"/>
  <c r="DJ29" i="13" s="1"/>
  <c r="DE29" i="13"/>
  <c r="DC29" i="13" s="1"/>
  <c r="DH28" i="13"/>
  <c r="DL28" i="13"/>
  <c r="DJ28" i="13" s="1"/>
  <c r="DA28" i="13"/>
  <c r="DE28" i="13"/>
  <c r="DC28" i="13" s="1"/>
  <c r="DH27" i="13"/>
  <c r="DA27" i="13"/>
  <c r="DE27" i="13"/>
  <c r="DC27" i="13" s="1"/>
  <c r="DL27" i="13"/>
  <c r="DJ27" i="13" s="1"/>
  <c r="DA26" i="13"/>
  <c r="DE26" i="13"/>
  <c r="DD26" i="13" s="1"/>
  <c r="DH26" i="13"/>
  <c r="DL26" i="13"/>
  <c r="DK26" i="13" s="1"/>
  <c r="FE25" i="13"/>
  <c r="EV25" i="13"/>
  <c r="DH25" i="13"/>
  <c r="DL25" i="13"/>
  <c r="DJ25" i="13" s="1"/>
  <c r="DA25" i="13"/>
  <c r="DE25" i="13"/>
  <c r="DC25" i="13" s="1"/>
  <c r="DA24" i="13"/>
  <c r="DH24" i="13"/>
  <c r="DH23" i="13"/>
  <c r="DL23" i="13"/>
  <c r="DK23" i="13" s="1"/>
  <c r="DE23" i="13"/>
  <c r="DD23" i="13" s="1"/>
  <c r="DL15" i="13"/>
  <c r="DL24" i="13"/>
  <c r="DK24" i="13" s="1"/>
  <c r="DE24" i="13"/>
  <c r="DD24" i="13" s="1"/>
  <c r="FE23" i="13"/>
  <c r="EV23" i="13"/>
  <c r="DA23" i="13"/>
  <c r="DR25" i="13"/>
  <c r="DR24" i="13"/>
  <c r="DR23" i="13"/>
  <c r="DR22" i="13"/>
  <c r="DR21" i="13"/>
  <c r="FW12" i="13"/>
  <c r="DS12" i="13"/>
  <c r="DR12" i="13" s="1"/>
  <c r="DW18" i="13"/>
  <c r="DW17" i="13"/>
  <c r="DW16" i="13"/>
  <c r="DW15" i="13"/>
  <c r="DW14" i="13"/>
  <c r="DX11" i="13"/>
  <c r="DX12" i="13"/>
  <c r="DW12" i="13" s="1"/>
  <c r="DO12" i="13"/>
  <c r="DL12" i="13"/>
  <c r="DK12" i="13" s="1"/>
  <c r="DH12" i="13"/>
  <c r="DA12" i="13"/>
  <c r="DE12" i="13"/>
  <c r="DD12" i="13" s="1"/>
  <c r="DL11" i="13"/>
  <c r="DK11" i="13" s="1"/>
  <c r="DH11" i="13" s="1"/>
  <c r="DE11" i="13"/>
  <c r="DD11" i="13" s="1"/>
  <c r="DA11" i="13" s="1"/>
  <c r="DL41" i="13"/>
  <c r="DK41" i="13" s="1"/>
  <c r="DE41" i="13"/>
  <c r="DD41" i="13" s="1"/>
  <c r="DA41" i="13" s="1"/>
  <c r="DL20" i="13"/>
  <c r="DK20" i="13" s="1"/>
  <c r="DH20" i="13" s="1"/>
  <c r="DE20" i="13"/>
  <c r="DD20" i="13" s="1"/>
  <c r="DA20" i="13" s="1"/>
  <c r="FE19" i="13"/>
  <c r="EV19" i="13"/>
  <c r="DE19" i="13"/>
  <c r="DD19" i="13" s="1"/>
  <c r="DA19" i="13" s="1"/>
  <c r="DL19" i="13"/>
  <c r="DK19" i="13" s="1"/>
  <c r="DH19" i="13" s="1"/>
  <c r="FF17" i="13"/>
  <c r="HG17" i="13" s="1"/>
  <c r="DE17" i="13"/>
  <c r="DD17" i="13" s="1"/>
  <c r="DA17" i="13" s="1"/>
  <c r="DE16" i="13"/>
  <c r="DD16" i="13" s="1"/>
  <c r="DA16" i="13" s="1"/>
  <c r="DL16" i="13"/>
  <c r="DK16" i="13" s="1"/>
  <c r="DH16" i="13" s="1"/>
  <c r="I16" i="14" l="1"/>
  <c r="I17" i="14" s="1"/>
  <c r="G16" i="14"/>
  <c r="G17" i="14" s="1"/>
  <c r="F16" i="14"/>
  <c r="F17" i="14" s="1"/>
  <c r="DR27" i="13"/>
  <c r="DC11" i="13"/>
  <c r="DJ33" i="13"/>
  <c r="DJ39" i="13"/>
  <c r="DJ40" i="13"/>
  <c r="DC40" i="13"/>
  <c r="DC39" i="13"/>
  <c r="DC42" i="13"/>
  <c r="DD34" i="13"/>
  <c r="DK34" i="13"/>
  <c r="DD33" i="13"/>
  <c r="DJ32" i="13"/>
  <c r="DC32" i="13"/>
  <c r="DD31" i="13"/>
  <c r="DK31" i="13"/>
  <c r="DC30" i="13"/>
  <c r="DJ30" i="13"/>
  <c r="DK29" i="13"/>
  <c r="DD29" i="13"/>
  <c r="DK28" i="13"/>
  <c r="DD28" i="13"/>
  <c r="DD27" i="13"/>
  <c r="DK27" i="13"/>
  <c r="DC26" i="13"/>
  <c r="DJ26" i="13"/>
  <c r="DK25" i="13"/>
  <c r="DD25" i="13"/>
  <c r="DC24" i="13"/>
  <c r="DJ24" i="13"/>
  <c r="DQ12" i="13"/>
  <c r="DC12" i="13"/>
  <c r="DJ12" i="13"/>
  <c r="DK15" i="13"/>
  <c r="DH15" i="13" s="1"/>
  <c r="DE15" i="13"/>
  <c r="DD15" i="13" s="1"/>
  <c r="DA15" i="13" s="1"/>
  <c r="DE36" i="13"/>
  <c r="DL36" i="13"/>
  <c r="DK36" i="13" s="1"/>
  <c r="DH36" i="13" s="1"/>
  <c r="DL9" i="13"/>
  <c r="DK9" i="13" s="1"/>
  <c r="DH9" i="13" s="1"/>
  <c r="DE9" i="13"/>
  <c r="DD9" i="13" s="1"/>
  <c r="DA9" i="13" s="1"/>
  <c r="DD36" i="13" l="1"/>
  <c r="DA36" i="13" s="1"/>
  <c r="DC36" i="13"/>
  <c r="DL7" i="13"/>
  <c r="DK7" i="13" s="1"/>
  <c r="DH7" i="13" s="1"/>
  <c r="DE7" i="13"/>
  <c r="DD7" i="13" s="1"/>
  <c r="DA7" i="13" s="1"/>
  <c r="AC53" i="13"/>
  <c r="U47" i="13"/>
  <c r="U48" i="13" s="1"/>
  <c r="T45" i="13"/>
  <c r="U44" i="13"/>
  <c r="U45" i="13" s="1"/>
  <c r="R44" i="13"/>
  <c r="R45" i="13" s="1"/>
  <c r="FN42" i="13"/>
  <c r="EC42" i="13"/>
  <c r="DZ42" i="13" s="1"/>
  <c r="DX42" i="13"/>
  <c r="DU42" i="13" s="1"/>
  <c r="DT42" i="13"/>
  <c r="DS42" i="13"/>
  <c r="DO42" i="13"/>
  <c r="HX41" i="13"/>
  <c r="HV41" i="13"/>
  <c r="HT41" i="13"/>
  <c r="HR41" i="13"/>
  <c r="HP41" i="13"/>
  <c r="FN41" i="13"/>
  <c r="EC41" i="13"/>
  <c r="DZ41" i="13" s="1"/>
  <c r="DS41" i="13"/>
  <c r="DP41" i="13" s="1"/>
  <c r="DO41" i="13" s="1"/>
  <c r="HX40" i="13"/>
  <c r="HV40" i="13"/>
  <c r="HT40" i="13"/>
  <c r="HR40" i="13"/>
  <c r="HP40" i="13"/>
  <c r="GG40" i="13"/>
  <c r="EC40" i="13"/>
  <c r="DZ40" i="13" s="1"/>
  <c r="DX40" i="13"/>
  <c r="DU40" i="13" s="1"/>
  <c r="DS40" i="13"/>
  <c r="DO40" i="13"/>
  <c r="HX39" i="13"/>
  <c r="HV39" i="13"/>
  <c r="HT39" i="13"/>
  <c r="HR39" i="13"/>
  <c r="HP39" i="13"/>
  <c r="EC37" i="13"/>
  <c r="DZ37" i="13" s="1"/>
  <c r="DX37" i="13"/>
  <c r="DU37" i="13" s="1"/>
  <c r="DT37" i="13"/>
  <c r="DS37" i="13"/>
  <c r="DO37" i="13"/>
  <c r="HX38" i="13"/>
  <c r="HV38" i="13"/>
  <c r="HT38" i="13"/>
  <c r="HR38" i="13"/>
  <c r="HP38" i="13"/>
  <c r="EC36" i="13"/>
  <c r="DZ36" i="13" s="1"/>
  <c r="DX36" i="13"/>
  <c r="DU36" i="13" s="1"/>
  <c r="DT36" i="13"/>
  <c r="DO36" i="13" s="1"/>
  <c r="DS36" i="13"/>
  <c r="HX37" i="13"/>
  <c r="HV37" i="13"/>
  <c r="HT37" i="13"/>
  <c r="HR37" i="13"/>
  <c r="HP37" i="13"/>
  <c r="HX36" i="13"/>
  <c r="HV36" i="13"/>
  <c r="HT36" i="13"/>
  <c r="HR36" i="13"/>
  <c r="HP36" i="13"/>
  <c r="GG34" i="13"/>
  <c r="FW34" i="13"/>
  <c r="FN34" i="13"/>
  <c r="EC34" i="13"/>
  <c r="DZ34" i="13" s="1"/>
  <c r="DX34" i="13"/>
  <c r="DS34" i="13"/>
  <c r="DO34" i="13"/>
  <c r="CI34" i="13"/>
  <c r="CN34" i="13" s="1"/>
  <c r="CA34" i="13"/>
  <c r="BH34" i="13"/>
  <c r="AU34" i="13"/>
  <c r="S34" i="13"/>
  <c r="HA34" i="13" s="1"/>
  <c r="GG33" i="13"/>
  <c r="FW33" i="13"/>
  <c r="EC33" i="13"/>
  <c r="CA33" i="13"/>
  <c r="AZ33" i="13"/>
  <c r="S33" i="13"/>
  <c r="HY34" i="13"/>
  <c r="HX34" i="13"/>
  <c r="HN34" i="13"/>
  <c r="FW32" i="13"/>
  <c r="FN32" i="13"/>
  <c r="DS32" i="13"/>
  <c r="HX48" i="13"/>
  <c r="BU32" i="13"/>
  <c r="BH32" i="13"/>
  <c r="BM32" i="13" s="1"/>
  <c r="AZ32" i="13"/>
  <c r="AV32" i="13"/>
  <c r="HT48" i="13" s="1"/>
  <c r="X32" i="13"/>
  <c r="HY33" i="13"/>
  <c r="HX33" i="13"/>
  <c r="GG31" i="13"/>
  <c r="FW31" i="13"/>
  <c r="FN31" i="13"/>
  <c r="EC31" i="13"/>
  <c r="DS31" i="13"/>
  <c r="DO31" i="13"/>
  <c r="CI31" i="13"/>
  <c r="CN30" i="13" s="1"/>
  <c r="S31" i="13"/>
  <c r="HX32" i="13"/>
  <c r="EC30" i="13"/>
  <c r="DZ30" i="13" s="1"/>
  <c r="DX30" i="13"/>
  <c r="DU30" i="13" s="1"/>
  <c r="DS30" i="13"/>
  <c r="DO30" i="13"/>
  <c r="X30" i="13"/>
  <c r="HX31" i="13"/>
  <c r="HV31" i="13"/>
  <c r="HT31" i="13"/>
  <c r="HR31" i="13"/>
  <c r="HP31" i="13"/>
  <c r="EC29" i="13"/>
  <c r="DZ29" i="13" s="1"/>
  <c r="DO29" i="13"/>
  <c r="CN29" i="13"/>
  <c r="BU29" i="13"/>
  <c r="CA29" i="13" s="1"/>
  <c r="BE29" i="13"/>
  <c r="AZ29" i="13"/>
  <c r="X29" i="13"/>
  <c r="HX30" i="13"/>
  <c r="HV30" i="13"/>
  <c r="HT30" i="13"/>
  <c r="HR30" i="13"/>
  <c r="HP30" i="13"/>
  <c r="GG28" i="13"/>
  <c r="FW28" i="13"/>
  <c r="EC28" i="13"/>
  <c r="DZ28" i="13" s="1"/>
  <c r="DS28" i="13"/>
  <c r="DO28" i="13"/>
  <c r="CN28" i="13"/>
  <c r="CA28" i="13"/>
  <c r="AZ28" i="13"/>
  <c r="X28" i="13"/>
  <c r="HX29" i="13"/>
  <c r="HV29" i="13"/>
  <c r="HT29" i="13"/>
  <c r="HR29" i="13"/>
  <c r="HP29" i="13"/>
  <c r="FW27" i="13"/>
  <c r="EC27" i="13"/>
  <c r="DZ27" i="13" s="1"/>
  <c r="DX27" i="13"/>
  <c r="DU27" i="13" s="1"/>
  <c r="DS27" i="13"/>
  <c r="DQ27" i="13" s="1"/>
  <c r="DO27" i="13"/>
  <c r="CW27" i="13"/>
  <c r="CN27" i="13"/>
  <c r="AZ27" i="13"/>
  <c r="X27" i="13"/>
  <c r="HX28" i="13"/>
  <c r="HV28" i="13"/>
  <c r="HT28" i="13"/>
  <c r="HR28" i="13"/>
  <c r="HP28" i="13"/>
  <c r="FW26" i="13"/>
  <c r="EC26" i="13"/>
  <c r="EB26" i="13" s="1"/>
  <c r="DX26" i="13"/>
  <c r="DU26" i="13" s="1"/>
  <c r="DS26" i="13"/>
  <c r="DO26" i="13"/>
  <c r="CN26" i="13"/>
  <c r="AZ26" i="13"/>
  <c r="X26" i="13"/>
  <c r="HX27" i="13"/>
  <c r="HV27" i="13"/>
  <c r="HT27" i="13"/>
  <c r="HR27" i="13"/>
  <c r="HP27" i="13"/>
  <c r="EC25" i="13"/>
  <c r="DZ25" i="13" s="1"/>
  <c r="DX25" i="13"/>
  <c r="DU25" i="13" s="1"/>
  <c r="DS25" i="13"/>
  <c r="DQ25" i="13"/>
  <c r="DO25" i="13"/>
  <c r="CW25" i="13"/>
  <c r="CI25" i="13"/>
  <c r="CN25" i="13" s="1"/>
  <c r="BM25" i="13"/>
  <c r="AU25" i="13"/>
  <c r="X25" i="13"/>
  <c r="HX26" i="13"/>
  <c r="HV26" i="13"/>
  <c r="HT26" i="13"/>
  <c r="HR26" i="13"/>
  <c r="HP26" i="13"/>
  <c r="GT24" i="13"/>
  <c r="FW24" i="13"/>
  <c r="EC24" i="13"/>
  <c r="DZ24" i="13" s="1"/>
  <c r="DX24" i="13"/>
  <c r="DU24" i="13" s="1"/>
  <c r="DS24" i="13"/>
  <c r="DO24" i="13"/>
  <c r="CW24" i="13"/>
  <c r="CI24" i="13"/>
  <c r="BU24" i="13"/>
  <c r="CA24" i="13" s="1"/>
  <c r="BM24" i="13"/>
  <c r="AU24" i="13"/>
  <c r="X24" i="13"/>
  <c r="HX25" i="13"/>
  <c r="HV25" i="13"/>
  <c r="HT25" i="13"/>
  <c r="HR25" i="13"/>
  <c r="HP25" i="13"/>
  <c r="GT23" i="13"/>
  <c r="GG23" i="13"/>
  <c r="EC23" i="13"/>
  <c r="DZ23" i="13" s="1"/>
  <c r="DX23" i="13"/>
  <c r="DU23" i="13" s="1"/>
  <c r="DS23" i="13"/>
  <c r="DO23" i="13"/>
  <c r="CN23" i="13"/>
  <c r="BH23" i="13"/>
  <c r="BM23" i="13" s="1"/>
  <c r="AU23" i="13"/>
  <c r="X23" i="13"/>
  <c r="HY24" i="13"/>
  <c r="HX24" i="13"/>
  <c r="HW24" i="13"/>
  <c r="HV24" i="13"/>
  <c r="HU24" i="13"/>
  <c r="HT24" i="13"/>
  <c r="HS24" i="13"/>
  <c r="HR24" i="13"/>
  <c r="HQ24" i="13"/>
  <c r="HP24" i="13"/>
  <c r="HO24" i="13"/>
  <c r="HY23" i="13"/>
  <c r="HX23" i="13"/>
  <c r="FW21" i="13"/>
  <c r="EC21" i="13"/>
  <c r="EB21" i="13" s="1"/>
  <c r="CW21" i="13" s="1"/>
  <c r="DS21" i="13"/>
  <c r="DO21" i="13"/>
  <c r="CI21" i="13"/>
  <c r="CN21" i="13" s="1"/>
  <c r="CA21" i="13"/>
  <c r="BV21" i="13"/>
  <c r="BM21" i="13"/>
  <c r="AU21" i="13"/>
  <c r="X21" i="13"/>
  <c r="HY22" i="13"/>
  <c r="HX22" i="13"/>
  <c r="EC20" i="13"/>
  <c r="EA20" i="13" s="1"/>
  <c r="CW20" i="13" s="1"/>
  <c r="DX20" i="13"/>
  <c r="DU20" i="13" s="1"/>
  <c r="DS20" i="13"/>
  <c r="DO20" i="13"/>
  <c r="CI20" i="13"/>
  <c r="CN20" i="13" s="1"/>
  <c r="BU20" i="13"/>
  <c r="BM20" i="13"/>
  <c r="X20" i="13"/>
  <c r="HY21" i="13"/>
  <c r="HX21" i="13"/>
  <c r="HW21" i="13"/>
  <c r="HV21" i="13"/>
  <c r="HU21" i="13"/>
  <c r="HT21" i="13"/>
  <c r="HS21" i="13"/>
  <c r="HR21" i="13"/>
  <c r="HQ21" i="13"/>
  <c r="HP21" i="13"/>
  <c r="HO21" i="13"/>
  <c r="EE19" i="13"/>
  <c r="BW19" i="13" s="1"/>
  <c r="DS19" i="13"/>
  <c r="DR19" i="13" s="1"/>
  <c r="CW19" i="13"/>
  <c r="CN19" i="13"/>
  <c r="BU19" i="13"/>
  <c r="CA19" i="13" s="1"/>
  <c r="BM19" i="13"/>
  <c r="AU19" i="13"/>
  <c r="AZ19" i="13" s="1"/>
  <c r="X19" i="13"/>
  <c r="HY20" i="13"/>
  <c r="HX20" i="13"/>
  <c r="HO20" i="13"/>
  <c r="EC18" i="13"/>
  <c r="EB18" i="13" s="1"/>
  <c r="CW18" i="13" s="1"/>
  <c r="BM18" i="13"/>
  <c r="AZ18" i="13"/>
  <c r="X18" i="13"/>
  <c r="GT17" i="13"/>
  <c r="EC17" i="13"/>
  <c r="EB17" i="13" s="1"/>
  <c r="DZ17" i="13" s="1"/>
  <c r="X17" i="13"/>
  <c r="GT16" i="13"/>
  <c r="EC16" i="13"/>
  <c r="DZ16" i="13" s="1"/>
  <c r="DS16" i="13"/>
  <c r="DR16" i="13" s="1"/>
  <c r="DO16" i="13" s="1"/>
  <c r="CW16" i="13"/>
  <c r="CI16" i="13"/>
  <c r="AZ16" i="13"/>
  <c r="X16" i="13"/>
  <c r="HN15" i="13"/>
  <c r="GT15" i="13"/>
  <c r="EC15" i="13"/>
  <c r="EE15" i="13" s="1"/>
  <c r="DS15" i="13"/>
  <c r="DR15" i="13" s="1"/>
  <c r="DO15" i="13" s="1"/>
  <c r="CW15" i="13"/>
  <c r="CI15" i="13"/>
  <c r="CH15" i="13"/>
  <c r="CA15" i="13"/>
  <c r="BV15" i="13"/>
  <c r="BM15" i="13"/>
  <c r="AZ15" i="13"/>
  <c r="X15" i="13"/>
  <c r="HN14" i="13"/>
  <c r="HN13" i="13"/>
  <c r="FN13" i="13"/>
  <c r="EC13" i="13"/>
  <c r="DZ13" i="13" s="1"/>
  <c r="DS13" i="13"/>
  <c r="DR13" i="13" s="1"/>
  <c r="DO13" i="13" s="1"/>
  <c r="CW13" i="13"/>
  <c r="CN13" i="13"/>
  <c r="X13" i="13"/>
  <c r="HZ12" i="13"/>
  <c r="HO12" i="13"/>
  <c r="EC12" i="13"/>
  <c r="DZ12" i="13" s="1"/>
  <c r="DU12" i="13"/>
  <c r="CW12" i="13"/>
  <c r="CN12" i="13"/>
  <c r="BU12" i="13"/>
  <c r="BV12" i="13" s="1"/>
  <c r="BM12" i="13"/>
  <c r="AU12" i="13"/>
  <c r="X12" i="13"/>
  <c r="HY11" i="13"/>
  <c r="HN11" i="13"/>
  <c r="GT11" i="13"/>
  <c r="EC11" i="13"/>
  <c r="DZ11" i="13" s="1"/>
  <c r="DS11" i="13"/>
  <c r="CW11" i="13"/>
  <c r="CN11" i="13"/>
  <c r="BU11" i="13"/>
  <c r="BM11" i="13"/>
  <c r="AZ11" i="13"/>
  <c r="X11" i="13"/>
  <c r="HY10" i="13"/>
  <c r="HN10" i="13"/>
  <c r="HY9" i="13"/>
  <c r="HX9" i="13"/>
  <c r="HV9" i="13"/>
  <c r="HT9" i="13"/>
  <c r="HR9" i="13"/>
  <c r="HP9" i="13"/>
  <c r="HN9" i="13"/>
  <c r="GT9" i="13"/>
  <c r="FW9" i="13"/>
  <c r="EC9" i="13"/>
  <c r="DZ9" i="13" s="1"/>
  <c r="DX9" i="13"/>
  <c r="DU9" i="13" s="1"/>
  <c r="DS9" i="13"/>
  <c r="DR9" i="13" s="1"/>
  <c r="DO9" i="13" s="1"/>
  <c r="CW9" i="13"/>
  <c r="BV9" i="13"/>
  <c r="HY8" i="13"/>
  <c r="HX8" i="13"/>
  <c r="HW8" i="13"/>
  <c r="HV8" i="13"/>
  <c r="HU8" i="13"/>
  <c r="HT8" i="13"/>
  <c r="HS8" i="13"/>
  <c r="HR8" i="13"/>
  <c r="HQ8" i="13"/>
  <c r="HP8" i="13"/>
  <c r="HO8" i="13"/>
  <c r="HN8" i="13"/>
  <c r="GT8" i="13"/>
  <c r="CN8" i="13"/>
  <c r="CA8" i="13"/>
  <c r="BQ8" i="13"/>
  <c r="BM8" i="13"/>
  <c r="AZ8" i="13"/>
  <c r="HY7" i="13"/>
  <c r="HX7" i="13"/>
  <c r="HW7" i="13"/>
  <c r="HV7" i="13"/>
  <c r="HU7" i="13"/>
  <c r="HT7" i="13"/>
  <c r="HS7" i="13"/>
  <c r="HR7" i="13"/>
  <c r="HQ7" i="13"/>
  <c r="HO7" i="13"/>
  <c r="GT7" i="13"/>
  <c r="EC7" i="13"/>
  <c r="EB7" i="13" s="1"/>
  <c r="DX7" i="13"/>
  <c r="DU7" i="13" s="1"/>
  <c r="DS7" i="13"/>
  <c r="DR7" i="13" s="1"/>
  <c r="DO7" i="13" s="1"/>
  <c r="CN7" i="13"/>
  <c r="BV7" i="13"/>
  <c r="BS7" i="13"/>
  <c r="CA7" i="13" s="1"/>
  <c r="AZ7" i="13"/>
  <c r="X7" i="13"/>
  <c r="AV19" i="13" l="1"/>
  <c r="EE31" i="13"/>
  <c r="DZ31" i="13"/>
  <c r="X33" i="13"/>
  <c r="HA33" i="13"/>
  <c r="S44" i="13"/>
  <c r="S45" i="13" s="1"/>
  <c r="HA31" i="13"/>
  <c r="FE21" i="13"/>
  <c r="DP13" i="13"/>
  <c r="CS11" i="13"/>
  <c r="DP19" i="13"/>
  <c r="DO19" i="13" s="1"/>
  <c r="DP9" i="13"/>
  <c r="DZ7" i="13"/>
  <c r="CW7" i="13"/>
  <c r="CA12" i="13"/>
  <c r="EC19" i="13"/>
  <c r="GT27" i="13"/>
  <c r="DR11" i="13"/>
  <c r="DO11" i="13" s="1"/>
  <c r="DP15" i="13"/>
  <c r="DZ20" i="13"/>
  <c r="AZ12" i="13"/>
  <c r="AZ13" i="13"/>
  <c r="BM13" i="13"/>
  <c r="CN15" i="13"/>
  <c r="DX15" i="13"/>
  <c r="DU15" i="13" s="1"/>
  <c r="CN16" i="13"/>
  <c r="CW17" i="13"/>
  <c r="BV11" i="13"/>
  <c r="CA11" i="13"/>
  <c r="DZ15" i="13"/>
  <c r="DZ26" i="13"/>
  <c r="CW26" i="13"/>
  <c r="CA20" i="13"/>
  <c r="AZ23" i="13"/>
  <c r="AZ24" i="13"/>
  <c r="CN24" i="13"/>
  <c r="AZ21" i="13"/>
  <c r="AZ25" i="13"/>
  <c r="CA32" i="13"/>
  <c r="X34" i="13"/>
  <c r="BM34" i="13"/>
  <c r="X31" i="13"/>
  <c r="AZ34" i="13"/>
  <c r="HA49" i="13" l="1"/>
  <c r="H9" i="14" s="1"/>
  <c r="HA48" i="13"/>
  <c r="H8" i="14" s="1"/>
  <c r="E25" i="14" s="1" a="1"/>
  <c r="X44" i="13"/>
  <c r="X45" i="13" s="1"/>
  <c r="G25" i="14" l="1"/>
  <c r="E26" i="14"/>
  <c r="G28" i="14"/>
  <c r="N26" i="14"/>
  <c r="M27" i="14"/>
  <c r="H29" i="14"/>
  <c r="G31" i="14"/>
  <c r="G42" i="14" s="1"/>
  <c r="F11" i="16" s="1"/>
  <c r="BT64" i="16" s="1"/>
  <c r="CG64" i="16" s="1"/>
  <c r="F31" i="14"/>
  <c r="F42" i="14" s="1"/>
  <c r="E11" i="16" s="1"/>
  <c r="AX64" i="16" s="1"/>
  <c r="E27" i="14"/>
  <c r="K31" i="14"/>
  <c r="K42" i="14" s="1"/>
  <c r="J11" i="16" s="1"/>
  <c r="K26" i="14"/>
  <c r="L25" i="14"/>
  <c r="E30" i="14"/>
  <c r="L28" i="14"/>
  <c r="N29" i="14"/>
  <c r="K27" i="14"/>
  <c r="F25" i="14"/>
  <c r="H26" i="14"/>
  <c r="I26" i="14"/>
  <c r="K28" i="14"/>
  <c r="F29" i="14"/>
  <c r="J31" i="14"/>
  <c r="J42" i="14" s="1"/>
  <c r="I11" i="16" s="1"/>
  <c r="N27" i="14"/>
  <c r="H31" i="14"/>
  <c r="H42" i="14" s="1"/>
  <c r="G11" i="16" s="1"/>
  <c r="CP64" i="16" s="1"/>
  <c r="DC64" i="16" s="1"/>
  <c r="N31" i="14"/>
  <c r="N42" i="14" s="1"/>
  <c r="M11" i="16" s="1"/>
  <c r="F26" i="14"/>
  <c r="L26" i="14"/>
  <c r="L29" i="14"/>
  <c r="F30" i="14"/>
  <c r="M30" i="14"/>
  <c r="M41" i="14" s="1"/>
  <c r="L10" i="16" s="1"/>
  <c r="F27" i="14"/>
  <c r="L30" i="14"/>
  <c r="L41" i="14" s="1"/>
  <c r="K10" i="16" s="1"/>
  <c r="J25" i="14"/>
  <c r="J28" i="14"/>
  <c r="N28" i="14"/>
  <c r="K29" i="14"/>
  <c r="M31" i="14"/>
  <c r="M42" i="14" s="1"/>
  <c r="L11" i="16" s="1"/>
  <c r="H28" i="14"/>
  <c r="I31" i="14"/>
  <c r="I42" i="14" s="1"/>
  <c r="H11" i="16" s="1"/>
  <c r="J29" i="14"/>
  <c r="L27" i="14"/>
  <c r="I28" i="14"/>
  <c r="K30" i="14"/>
  <c r="K41" i="14" s="1"/>
  <c r="J10" i="16" s="1"/>
  <c r="J30" i="14"/>
  <c r="J41" i="14" s="1"/>
  <c r="I10" i="16" s="1"/>
  <c r="G30" i="14"/>
  <c r="G41" i="14" s="1"/>
  <c r="F10" i="16" s="1"/>
  <c r="N25" i="14"/>
  <c r="G27" i="14"/>
  <c r="F28" i="14"/>
  <c r="E29" i="14"/>
  <c r="H25" i="14"/>
  <c r="J27" i="14"/>
  <c r="M25" i="14"/>
  <c r="E28" i="14"/>
  <c r="I25" i="14"/>
  <c r="I30" i="14"/>
  <c r="I41" i="14" s="1"/>
  <c r="H10" i="16" s="1"/>
  <c r="M28" i="14"/>
  <c r="E31" i="14"/>
  <c r="E42" i="14" s="1"/>
  <c r="D11" i="16" s="1"/>
  <c r="AB64" i="16" s="1"/>
  <c r="AO64" i="16" s="1"/>
  <c r="K25" i="14"/>
  <c r="G29" i="14"/>
  <c r="G26" i="14"/>
  <c r="H30" i="14"/>
  <c r="M26" i="14"/>
  <c r="N30" i="14"/>
  <c r="N41" i="14" s="1"/>
  <c r="M10" i="16" s="1"/>
  <c r="M29" i="14"/>
  <c r="E25" i="14"/>
  <c r="I27" i="14"/>
  <c r="H27" i="14"/>
  <c r="J26" i="14"/>
  <c r="I29" i="14"/>
  <c r="L31" i="14"/>
  <c r="L42" i="14" s="1"/>
  <c r="K11" i="16" s="1"/>
  <c r="F41" i="14"/>
  <c r="E10" i="16" s="1"/>
  <c r="AX59" i="16" s="1"/>
  <c r="H41" i="14"/>
  <c r="G10" i="16" s="1"/>
  <c r="CP59" i="16" s="1"/>
  <c r="DC59" i="16" s="1"/>
  <c r="E41" i="14"/>
  <c r="D10" i="16" s="1"/>
  <c r="AB59" i="16" s="1"/>
  <c r="AO59" i="16" s="1"/>
  <c r="H16" i="14"/>
  <c r="H17" i="14" s="1"/>
  <c r="ED64" i="16" l="1"/>
  <c r="EQ64" i="16" s="1"/>
  <c r="BK64" i="16"/>
  <c r="EY64" i="16"/>
  <c r="DC63" i="16"/>
  <c r="DC62" i="16"/>
  <c r="DC61" i="16"/>
  <c r="DC60" i="16"/>
  <c r="BK59" i="16"/>
  <c r="EY59" i="16"/>
  <c r="AO62" i="16"/>
  <c r="AO61" i="16"/>
  <c r="AO63" i="16"/>
  <c r="AO60" i="16"/>
  <c r="AR59" i="16"/>
  <c r="FF59" i="16" s="1"/>
  <c r="DF59" i="16"/>
  <c r="BT59" i="16"/>
  <c r="CG59" i="16" s="1"/>
  <c r="ED59" i="16"/>
  <c r="EQ59" i="16" s="1"/>
  <c r="E36" i="14"/>
  <c r="D5" i="16" s="1"/>
  <c r="J39" i="14"/>
  <c r="I8" i="16" s="1"/>
  <c r="H36" i="14"/>
  <c r="G5" i="16" s="1"/>
  <c r="E38" i="14"/>
  <c r="D7" i="16" s="1"/>
  <c r="AB44" i="16" s="1"/>
  <c r="AO44" i="16" s="1"/>
  <c r="AR44" i="16" s="1"/>
  <c r="FF44" i="16" s="1"/>
  <c r="N37" i="14"/>
  <c r="M6" i="16" s="1"/>
  <c r="K39" i="14"/>
  <c r="J8" i="16" s="1"/>
  <c r="I36" i="14"/>
  <c r="H5" i="16" s="1"/>
  <c r="G37" i="14"/>
  <c r="F6" i="16" s="1"/>
  <c r="BT39" i="16" s="1"/>
  <c r="CG39" i="16" s="1"/>
  <c r="I40" i="14"/>
  <c r="H9" i="16" s="1"/>
  <c r="L38" i="14"/>
  <c r="K7" i="16" s="1"/>
  <c r="M36" i="14"/>
  <c r="L5" i="16" s="1"/>
  <c r="I38" i="14"/>
  <c r="H7" i="16" s="1"/>
  <c r="E40" i="14"/>
  <c r="D9" i="16" s="1"/>
  <c r="AB54" i="16" s="1"/>
  <c r="L36" i="14"/>
  <c r="K5" i="16" s="1"/>
  <c r="H38" i="14"/>
  <c r="G7" i="16" s="1"/>
  <c r="CP44" i="16" s="1"/>
  <c r="DC44" i="16" s="1"/>
  <c r="N39" i="14"/>
  <c r="M8" i="16" s="1"/>
  <c r="G36" i="14"/>
  <c r="F5" i="16" s="1"/>
  <c r="E37" i="14"/>
  <c r="D6" i="16" s="1"/>
  <c r="AB39" i="16" s="1"/>
  <c r="AO39" i="16" s="1"/>
  <c r="M37" i="14"/>
  <c r="L6" i="16" s="1"/>
  <c r="K38" i="14"/>
  <c r="J7" i="16" s="1"/>
  <c r="I39" i="14"/>
  <c r="H8" i="16" s="1"/>
  <c r="G40" i="14"/>
  <c r="F9" i="16" s="1"/>
  <c r="BT54" i="16" s="1"/>
  <c r="CG54" i="16" s="1"/>
  <c r="F36" i="14"/>
  <c r="E5" i="16" s="1"/>
  <c r="N36" i="14"/>
  <c r="M5" i="16" s="1"/>
  <c r="L37" i="14"/>
  <c r="K6" i="16" s="1"/>
  <c r="J38" i="14"/>
  <c r="I7" i="16" s="1"/>
  <c r="H39" i="14"/>
  <c r="G8" i="16" s="1"/>
  <c r="CP49" i="16" s="1"/>
  <c r="DC49" i="16" s="1"/>
  <c r="F40" i="14"/>
  <c r="E9" i="16" s="1"/>
  <c r="AX54" i="16" s="1"/>
  <c r="N40" i="14"/>
  <c r="M9" i="16" s="1"/>
  <c r="M38" i="14"/>
  <c r="L7" i="16" s="1"/>
  <c r="F37" i="14"/>
  <c r="E6" i="16" s="1"/>
  <c r="AX39" i="16" s="1"/>
  <c r="H40" i="14"/>
  <c r="G9" i="16" s="1"/>
  <c r="CP54" i="16" s="1"/>
  <c r="DC54" i="16" s="1"/>
  <c r="K37" i="14"/>
  <c r="J6" i="16" s="1"/>
  <c r="G39" i="14"/>
  <c r="F8" i="16" s="1"/>
  <c r="BT49" i="16" s="1"/>
  <c r="CG49" i="16" s="1"/>
  <c r="M40" i="14"/>
  <c r="L9" i="16" s="1"/>
  <c r="J37" i="14"/>
  <c r="I6" i="16" s="1"/>
  <c r="F39" i="14"/>
  <c r="E8" i="16" s="1"/>
  <c r="AX49" i="16" s="1"/>
  <c r="L40" i="14"/>
  <c r="K9" i="16" s="1"/>
  <c r="K36" i="14"/>
  <c r="J5" i="16" s="1"/>
  <c r="I37" i="14"/>
  <c r="H6" i="16" s="1"/>
  <c r="G38" i="14"/>
  <c r="F7" i="16" s="1"/>
  <c r="BT44" i="16" s="1"/>
  <c r="CG44" i="16" s="1"/>
  <c r="E39" i="14"/>
  <c r="D8" i="16" s="1"/>
  <c r="AB49" i="16" s="1"/>
  <c r="M39" i="14"/>
  <c r="L8" i="16" s="1"/>
  <c r="K40" i="14"/>
  <c r="J9" i="16" s="1"/>
  <c r="J36" i="14"/>
  <c r="I5" i="16" s="1"/>
  <c r="H37" i="14"/>
  <c r="G6" i="16" s="1"/>
  <c r="CP39" i="16" s="1"/>
  <c r="DC39" i="16" s="1"/>
  <c r="F38" i="14"/>
  <c r="E7" i="16" s="1"/>
  <c r="AX44" i="16" s="1"/>
  <c r="N38" i="14"/>
  <c r="M7" i="16" s="1"/>
  <c r="L39" i="14"/>
  <c r="K8" i="16" s="1"/>
  <c r="J40" i="14"/>
  <c r="I9" i="16" s="1"/>
  <c r="CK40" i="8"/>
  <c r="CG40" i="8" s="1"/>
  <c r="CE40" i="8"/>
  <c r="CC40" i="8" s="1"/>
  <c r="CY40" i="8"/>
  <c r="CB40" i="8"/>
  <c r="BW40" i="8" s="1"/>
  <c r="CA40" i="8"/>
  <c r="CK39" i="8"/>
  <c r="CG39" i="8" s="1"/>
  <c r="CY39" i="8"/>
  <c r="CA39" i="8"/>
  <c r="BX39" i="8" s="1"/>
  <c r="BW39" i="8" s="1"/>
  <c r="DR38" i="8"/>
  <c r="CK38" i="8"/>
  <c r="CG38" i="8" s="1"/>
  <c r="CE38" i="8"/>
  <c r="CC38" i="8" s="1"/>
  <c r="BW38" i="8"/>
  <c r="CA38" i="8"/>
  <c r="CK37" i="8"/>
  <c r="CG37" i="8" s="1"/>
  <c r="CE37" i="8"/>
  <c r="CC37" i="8" s="1"/>
  <c r="CB37" i="8"/>
  <c r="BW37" i="8" s="1"/>
  <c r="CA37" i="8"/>
  <c r="CK36" i="8"/>
  <c r="CG36" i="8" s="1"/>
  <c r="CE36" i="8"/>
  <c r="CC36" i="8" s="1"/>
  <c r="CB36" i="8"/>
  <c r="BW36" i="8" s="1"/>
  <c r="CA36" i="8"/>
  <c r="CY34" i="8"/>
  <c r="BW34" i="8"/>
  <c r="CY32" i="8"/>
  <c r="AO32" i="8"/>
  <c r="CA32" i="8"/>
  <c r="BW31" i="8"/>
  <c r="CY31" i="8"/>
  <c r="U31" i="8"/>
  <c r="CA31" i="8"/>
  <c r="CK30" i="8"/>
  <c r="CG30" i="8" s="1"/>
  <c r="P30" i="8"/>
  <c r="CE30" i="8"/>
  <c r="CC30" i="8" s="1"/>
  <c r="BW30" i="8"/>
  <c r="CA30" i="8"/>
  <c r="AL29" i="8"/>
  <c r="CE23" i="8"/>
  <c r="CC23" i="8" s="1"/>
  <c r="CE25" i="8"/>
  <c r="BW29" i="8"/>
  <c r="CA28" i="8"/>
  <c r="BW28" i="8"/>
  <c r="CA27" i="8"/>
  <c r="BY27" i="8" s="1"/>
  <c r="BW27" i="8"/>
  <c r="BW26" i="8"/>
  <c r="CA26" i="8"/>
  <c r="BY25" i="8"/>
  <c r="BW25" i="8"/>
  <c r="CA25" i="8"/>
  <c r="BW24" i="8"/>
  <c r="CA24" i="8"/>
  <c r="BW23" i="8"/>
  <c r="CA23" i="8"/>
  <c r="BW21" i="8"/>
  <c r="CA21" i="8"/>
  <c r="BW20" i="8"/>
  <c r="CA20" i="8"/>
  <c r="CA19" i="8"/>
  <c r="BX19" i="8" s="1"/>
  <c r="BW19" i="8" s="1"/>
  <c r="CY16" i="8"/>
  <c r="CA16" i="8"/>
  <c r="BZ16" i="8" s="1"/>
  <c r="BW16" i="8" s="1"/>
  <c r="CA15" i="8"/>
  <c r="BZ15" i="8" s="1"/>
  <c r="BW15" i="8" s="1"/>
  <c r="CY13" i="8"/>
  <c r="CA13" i="8"/>
  <c r="BZ13" i="8" s="1"/>
  <c r="BW13" i="8" s="1"/>
  <c r="CY12" i="8"/>
  <c r="CA12" i="8"/>
  <c r="BY12" i="8" s="1"/>
  <c r="DH9" i="8"/>
  <c r="CA11" i="8"/>
  <c r="CA9" i="8"/>
  <c r="BX9" i="8" s="1"/>
  <c r="CE9" i="8"/>
  <c r="CC9" i="8" s="1"/>
  <c r="CA7" i="8"/>
  <c r="BZ7" i="8" s="1"/>
  <c r="ED44" i="16" l="1"/>
  <c r="BK61" i="16"/>
  <c r="BK60" i="16"/>
  <c r="BN60" i="16" s="1"/>
  <c r="BK62" i="16"/>
  <c r="BK63" i="16"/>
  <c r="EQ63" i="16"/>
  <c r="EQ62" i="16"/>
  <c r="EQ61" i="16"/>
  <c r="EQ60" i="16"/>
  <c r="CG63" i="16"/>
  <c r="CG62" i="16"/>
  <c r="CG61" i="16"/>
  <c r="CG60" i="16"/>
  <c r="BN59" i="16"/>
  <c r="ED54" i="16"/>
  <c r="ED49" i="16"/>
  <c r="ED39" i="16"/>
  <c r="EQ39" i="16" s="1"/>
  <c r="ET39" i="16" s="1"/>
  <c r="FH39" i="16" s="1"/>
  <c r="ET59" i="16"/>
  <c r="FH59" i="16" s="1"/>
  <c r="CJ59" i="16"/>
  <c r="DF60" i="16"/>
  <c r="AR60" i="16"/>
  <c r="FF60" i="16" s="1"/>
  <c r="DC58" i="16"/>
  <c r="DF58" i="16" s="1"/>
  <c r="DC56" i="16"/>
  <c r="DC55" i="16"/>
  <c r="DC57" i="16"/>
  <c r="CG58" i="16"/>
  <c r="CJ58" i="16" s="1"/>
  <c r="CG56" i="16"/>
  <c r="CG57" i="16"/>
  <c r="CG55" i="16"/>
  <c r="EQ54" i="16"/>
  <c r="DC42" i="16"/>
  <c r="DF42" i="16" s="1"/>
  <c r="DC40" i="16"/>
  <c r="DF40" i="16" s="1"/>
  <c r="DF39" i="16"/>
  <c r="DC43" i="16"/>
  <c r="DF43" i="16" s="1"/>
  <c r="DC41" i="16"/>
  <c r="DF41" i="16" s="1"/>
  <c r="DC67" i="16"/>
  <c r="DC25" i="16" s="1"/>
  <c r="CJ49" i="16"/>
  <c r="CG50" i="16"/>
  <c r="CJ50" i="16" s="1"/>
  <c r="CG53" i="16"/>
  <c r="CJ53" i="16" s="1"/>
  <c r="CG51" i="16"/>
  <c r="CJ51" i="16" s="1"/>
  <c r="CG52" i="16"/>
  <c r="CJ52" i="16" s="1"/>
  <c r="DF54" i="16"/>
  <c r="EY54" i="16"/>
  <c r="BK54" i="16"/>
  <c r="EQ44" i="16"/>
  <c r="CJ54" i="16"/>
  <c r="AO43" i="16"/>
  <c r="AR43" i="16" s="1"/>
  <c r="FF43" i="16" s="1"/>
  <c r="AO42" i="16"/>
  <c r="AR42" i="16" s="1"/>
  <c r="FF42" i="16" s="1"/>
  <c r="AO41" i="16"/>
  <c r="AR41" i="16" s="1"/>
  <c r="FF41" i="16" s="1"/>
  <c r="AO40" i="16"/>
  <c r="AR40" i="16" s="1"/>
  <c r="FF40" i="16" s="1"/>
  <c r="AR39" i="16"/>
  <c r="FF39" i="16" s="1"/>
  <c r="AO68" i="16"/>
  <c r="AO25" i="16" s="1"/>
  <c r="CJ39" i="16"/>
  <c r="CG40" i="16"/>
  <c r="CJ40" i="16" s="1"/>
  <c r="CG43" i="16"/>
  <c r="CJ43" i="16" s="1"/>
  <c r="CG42" i="16"/>
  <c r="CJ42" i="16" s="1"/>
  <c r="CG41" i="16"/>
  <c r="CJ41" i="16" s="1"/>
  <c r="CG68" i="16"/>
  <c r="CG25" i="16" s="1"/>
  <c r="EQ49" i="16"/>
  <c r="EY44" i="16"/>
  <c r="BK44" i="16"/>
  <c r="CG46" i="16"/>
  <c r="CJ46" i="16" s="1"/>
  <c r="CG48" i="16"/>
  <c r="CJ48" i="16" s="1"/>
  <c r="CG47" i="16"/>
  <c r="CJ47" i="16" s="1"/>
  <c r="CG45" i="16"/>
  <c r="CJ45" i="16" s="1"/>
  <c r="CJ44" i="16"/>
  <c r="EY49" i="16"/>
  <c r="BK49" i="16"/>
  <c r="EY39" i="16"/>
  <c r="BK39" i="16"/>
  <c r="DF49" i="16"/>
  <c r="DC51" i="16"/>
  <c r="DF51" i="16" s="1"/>
  <c r="DC53" i="16"/>
  <c r="DF53" i="16" s="1"/>
  <c r="DC52" i="16"/>
  <c r="DF52" i="16" s="1"/>
  <c r="DC50" i="16"/>
  <c r="DF50" i="16" s="1"/>
  <c r="DF44" i="16"/>
  <c r="DC47" i="16"/>
  <c r="DF47" i="16" s="1"/>
  <c r="DC45" i="16"/>
  <c r="DF45" i="16" s="1"/>
  <c r="DC46" i="16"/>
  <c r="DF46" i="16" s="1"/>
  <c r="DC48" i="16"/>
  <c r="DF48" i="16" s="1"/>
  <c r="BY11" i="8"/>
  <c r="BP11" i="8" s="1"/>
  <c r="BX13" i="8"/>
  <c r="BZ19" i="8"/>
  <c r="BX15" i="8"/>
  <c r="BZ12" i="8"/>
  <c r="BW12" i="8" s="1"/>
  <c r="BZ9" i="8"/>
  <c r="BW9" i="8" s="1"/>
  <c r="BW7" i="8"/>
  <c r="DH21" i="8"/>
  <c r="CE20" i="8"/>
  <c r="CC20" i="8" s="1"/>
  <c r="CK20" i="8"/>
  <c r="CG20" i="8" s="1"/>
  <c r="BT19" i="8"/>
  <c r="CO19" i="8"/>
  <c r="BA19" i="8" s="1"/>
  <c r="BT9" i="8"/>
  <c r="CK9" i="8"/>
  <c r="CG9" i="8" s="1"/>
  <c r="AZ9" i="8"/>
  <c r="DL59" i="16" l="1"/>
  <c r="BN61" i="16"/>
  <c r="DF61" i="16"/>
  <c r="AR61" i="16"/>
  <c r="FF61" i="16" s="1"/>
  <c r="DX59" i="16"/>
  <c r="FG59" i="16"/>
  <c r="CJ60" i="16"/>
  <c r="DL60" i="16" s="1"/>
  <c r="ET60" i="16"/>
  <c r="FH60" i="16" s="1"/>
  <c r="BK57" i="16"/>
  <c r="BN57" i="16" s="1"/>
  <c r="BK55" i="16"/>
  <c r="BK58" i="16"/>
  <c r="BN58" i="16" s="1"/>
  <c r="DL58" i="16" s="1"/>
  <c r="BK56" i="16"/>
  <c r="EQ67" i="16"/>
  <c r="EQ25" i="16" s="1"/>
  <c r="EQ26" i="16" s="1"/>
  <c r="ET54" i="16"/>
  <c r="FH54" i="16" s="1"/>
  <c r="EQ57" i="16"/>
  <c r="EQ55" i="16"/>
  <c r="ET55" i="16" s="1"/>
  <c r="FH55" i="16" s="1"/>
  <c r="EQ58" i="16"/>
  <c r="EQ56" i="16"/>
  <c r="BN44" i="16"/>
  <c r="DL44" i="16" s="1"/>
  <c r="BK47" i="16"/>
  <c r="BN47" i="16" s="1"/>
  <c r="DL47" i="16" s="1"/>
  <c r="FG47" i="16" s="1"/>
  <c r="BK45" i="16"/>
  <c r="BN45" i="16" s="1"/>
  <c r="DL45" i="16" s="1"/>
  <c r="BK48" i="16"/>
  <c r="BN48" i="16" s="1"/>
  <c r="DL48" i="16" s="1"/>
  <c r="FG48" i="16" s="1"/>
  <c r="BK46" i="16"/>
  <c r="BN46" i="16" s="1"/>
  <c r="DL46" i="16" s="1"/>
  <c r="ET49" i="16"/>
  <c r="FH49" i="16" s="1"/>
  <c r="EQ50" i="16"/>
  <c r="ET50" i="16" s="1"/>
  <c r="FH50" i="16" s="1"/>
  <c r="EQ52" i="16"/>
  <c r="ET52" i="16" s="1"/>
  <c r="FH52" i="16" s="1"/>
  <c r="EQ51" i="16"/>
  <c r="ET51" i="16" s="1"/>
  <c r="FH51" i="16" s="1"/>
  <c r="EQ53" i="16"/>
  <c r="ET53" i="16" s="1"/>
  <c r="FH53" i="16" s="1"/>
  <c r="CG26" i="16"/>
  <c r="CJ25" i="16"/>
  <c r="AO26" i="16"/>
  <c r="AR25" i="16"/>
  <c r="FF25" i="16" s="1"/>
  <c r="ET44" i="16"/>
  <c r="FH44" i="16" s="1"/>
  <c r="EQ46" i="16"/>
  <c r="ET46" i="16" s="1"/>
  <c r="FH46" i="16" s="1"/>
  <c r="EQ45" i="16"/>
  <c r="ET45" i="16" s="1"/>
  <c r="FH45" i="16" s="1"/>
  <c r="EQ47" i="16"/>
  <c r="ET47" i="16" s="1"/>
  <c r="FH47" i="16" s="1"/>
  <c r="EQ48" i="16"/>
  <c r="ET48" i="16" s="1"/>
  <c r="FH48" i="16" s="1"/>
  <c r="DF55" i="16"/>
  <c r="EQ42" i="16"/>
  <c r="ET42" i="16" s="1"/>
  <c r="FH42" i="16" s="1"/>
  <c r="EQ40" i="16"/>
  <c r="ET40" i="16" s="1"/>
  <c r="FH40" i="16" s="1"/>
  <c r="DC20" i="16"/>
  <c r="DF20" i="16" s="1"/>
  <c r="DL20" i="16" s="1"/>
  <c r="DC18" i="16"/>
  <c r="DF18" i="16" s="1"/>
  <c r="DL18" i="16" s="1"/>
  <c r="DC22" i="16"/>
  <c r="DF22" i="16" s="1"/>
  <c r="DL22" i="16" s="1"/>
  <c r="DC23" i="16"/>
  <c r="DC26" i="16"/>
  <c r="DC19" i="16"/>
  <c r="DF19" i="16" s="1"/>
  <c r="DL19" i="16" s="1"/>
  <c r="DF25" i="16"/>
  <c r="DC21" i="16"/>
  <c r="DF21" i="16" s="1"/>
  <c r="DL21" i="16" s="1"/>
  <c r="BK42" i="16"/>
  <c r="BN42" i="16" s="1"/>
  <c r="DL42" i="16" s="1"/>
  <c r="BK43" i="16"/>
  <c r="BN43" i="16" s="1"/>
  <c r="DL43" i="16" s="1"/>
  <c r="BN39" i="16"/>
  <c r="DL39" i="16" s="1"/>
  <c r="BK68" i="16"/>
  <c r="BK25" i="16" s="1"/>
  <c r="BK40" i="16"/>
  <c r="BN40" i="16" s="1"/>
  <c r="DL40" i="16" s="1"/>
  <c r="BK41" i="16"/>
  <c r="BN41" i="16" s="1"/>
  <c r="DL41" i="16" s="1"/>
  <c r="BK50" i="16"/>
  <c r="BN50" i="16" s="1"/>
  <c r="DL50" i="16" s="1"/>
  <c r="FG50" i="16" s="1"/>
  <c r="BK52" i="16"/>
  <c r="BN52" i="16" s="1"/>
  <c r="DL52" i="16" s="1"/>
  <c r="FG52" i="16" s="1"/>
  <c r="BK51" i="16"/>
  <c r="BN51" i="16" s="1"/>
  <c r="DL51" i="16" s="1"/>
  <c r="FG51" i="16" s="1"/>
  <c r="BK53" i="16"/>
  <c r="BN53" i="16" s="1"/>
  <c r="DL53" i="16" s="1"/>
  <c r="FG53" i="16" s="1"/>
  <c r="BN49" i="16"/>
  <c r="DL49" i="16" s="1"/>
  <c r="FG49" i="16" s="1"/>
  <c r="CJ55" i="16"/>
  <c r="BN54" i="16"/>
  <c r="DL54" i="16" s="1"/>
  <c r="FG54" i="16" s="1"/>
  <c r="EQ43" i="16"/>
  <c r="ET43" i="16" s="1"/>
  <c r="FH43" i="16" s="1"/>
  <c r="EQ41" i="16"/>
  <c r="ET41" i="16" s="1"/>
  <c r="FH41" i="16" s="1"/>
  <c r="BZ11" i="8"/>
  <c r="BW11" i="8" s="1"/>
  <c r="AF19" i="8"/>
  <c r="CK19" i="8" s="1"/>
  <c r="CH20" i="8"/>
  <c r="BT20" i="8" s="1"/>
  <c r="DU23" i="8"/>
  <c r="DU24" i="8"/>
  <c r="DU7" i="8"/>
  <c r="DU8" i="8"/>
  <c r="DU9" i="8"/>
  <c r="DU11" i="8"/>
  <c r="DU12" i="8"/>
  <c r="DU15" i="8"/>
  <c r="DU16" i="8"/>
  <c r="DU17" i="8"/>
  <c r="DH34" i="8"/>
  <c r="DH33" i="8"/>
  <c r="DH32" i="8"/>
  <c r="DR34" i="8"/>
  <c r="CE34" i="8"/>
  <c r="CK34" i="8"/>
  <c r="CG34" i="8" s="1"/>
  <c r="CK33" i="8"/>
  <c r="DR33" i="8"/>
  <c r="AZ32" i="8"/>
  <c r="EQ42" i="8" s="1"/>
  <c r="AF32" i="8"/>
  <c r="EM42" i="8" s="1"/>
  <c r="DH31" i="8"/>
  <c r="DR31" i="8"/>
  <c r="R51" i="8"/>
  <c r="CK31" i="8"/>
  <c r="CO31" i="8" s="1"/>
  <c r="BT29" i="8"/>
  <c r="CK29" i="8"/>
  <c r="CG29" i="8" s="1"/>
  <c r="DH28" i="8"/>
  <c r="DR28" i="8"/>
  <c r="CK28" i="8"/>
  <c r="CG28" i="8" s="1"/>
  <c r="DH27" i="8"/>
  <c r="DH26" i="8"/>
  <c r="BT27" i="8"/>
  <c r="CK27" i="8"/>
  <c r="CG27" i="8" s="1"/>
  <c r="CK26" i="8"/>
  <c r="CI26" i="8" s="1"/>
  <c r="CG26" i="8" s="1"/>
  <c r="CE26" i="8"/>
  <c r="CC25" i="8"/>
  <c r="BT25" i="8"/>
  <c r="CK25" i="8"/>
  <c r="CG25" i="8" s="1"/>
  <c r="DH24" i="8"/>
  <c r="BT24" i="8"/>
  <c r="CK24" i="8"/>
  <c r="CG24" i="8" s="1"/>
  <c r="DR23" i="8"/>
  <c r="CK23" i="8"/>
  <c r="CG23" i="8" s="1"/>
  <c r="CK21" i="8"/>
  <c r="CI21" i="8" s="1"/>
  <c r="BT21" i="8" s="1"/>
  <c r="AZ21" i="8"/>
  <c r="CK18" i="8"/>
  <c r="CI18" i="8" s="1"/>
  <c r="BT18" i="8" s="1"/>
  <c r="CK17" i="8"/>
  <c r="CI17" i="8" s="1"/>
  <c r="CG17" i="8" s="1"/>
  <c r="BT16" i="8"/>
  <c r="CK16" i="8"/>
  <c r="CG16" i="8" s="1"/>
  <c r="BT15" i="8"/>
  <c r="CK15" i="8"/>
  <c r="BI15" i="8"/>
  <c r="CE15" i="8" s="1"/>
  <c r="CC15" i="8" s="1"/>
  <c r="BT13" i="8"/>
  <c r="CK13" i="8"/>
  <c r="CG13" i="8" s="1"/>
  <c r="AO13" i="8"/>
  <c r="AE13" i="8"/>
  <c r="AJ13" i="8" s="1"/>
  <c r="CK11" i="8"/>
  <c r="CG11" i="8" s="1"/>
  <c r="CK12" i="8"/>
  <c r="CG12" i="8" s="1"/>
  <c r="BT12" i="8"/>
  <c r="BT11" i="8"/>
  <c r="CK7" i="8"/>
  <c r="CI7" i="8" s="1"/>
  <c r="CG7" i="8" s="1"/>
  <c r="EH7" i="8"/>
  <c r="EJ7" i="8"/>
  <c r="EK7" i="8"/>
  <c r="EL7" i="8"/>
  <c r="EM7" i="8"/>
  <c r="EN7" i="8"/>
  <c r="EO7" i="8"/>
  <c r="EP7" i="8"/>
  <c r="EQ7" i="8"/>
  <c r="ER7" i="8"/>
  <c r="EG8" i="8"/>
  <c r="EH8" i="8"/>
  <c r="EI8" i="8"/>
  <c r="EJ8" i="8"/>
  <c r="EK8" i="8"/>
  <c r="EL8" i="8"/>
  <c r="EM8" i="8"/>
  <c r="EN8" i="8"/>
  <c r="EO8" i="8"/>
  <c r="EP8" i="8"/>
  <c r="EQ8" i="8"/>
  <c r="ER8" i="8"/>
  <c r="EG9" i="8"/>
  <c r="EI9" i="8"/>
  <c r="EK9" i="8"/>
  <c r="EM9" i="8"/>
  <c r="EO9" i="8"/>
  <c r="EQ9" i="8"/>
  <c r="ER9" i="8"/>
  <c r="EG10" i="8"/>
  <c r="ER10" i="8"/>
  <c r="EG11" i="8"/>
  <c r="ER11" i="8"/>
  <c r="EG12" i="8"/>
  <c r="ER12" i="8"/>
  <c r="EG13" i="8"/>
  <c r="EG14" i="8"/>
  <c r="EG15" i="8"/>
  <c r="EH19" i="8"/>
  <c r="EQ19" i="8"/>
  <c r="ER19" i="8"/>
  <c r="EH20" i="8"/>
  <c r="EI20" i="8"/>
  <c r="EJ20" i="8"/>
  <c r="EK20" i="8"/>
  <c r="EL20" i="8"/>
  <c r="EM20" i="8"/>
  <c r="EN20" i="8"/>
  <c r="EO20" i="8"/>
  <c r="EP20" i="8"/>
  <c r="EQ20" i="8"/>
  <c r="ER20" i="8"/>
  <c r="EQ21" i="8"/>
  <c r="ER21" i="8"/>
  <c r="EH22" i="8"/>
  <c r="EI22" i="8"/>
  <c r="EJ22" i="8"/>
  <c r="EK22" i="8"/>
  <c r="EL22" i="8"/>
  <c r="EM22" i="8"/>
  <c r="EN22" i="8"/>
  <c r="EO22" i="8"/>
  <c r="EP22" i="8"/>
  <c r="EQ22" i="8"/>
  <c r="ER22" i="8"/>
  <c r="EI23" i="8"/>
  <c r="EK23" i="8"/>
  <c r="EM23" i="8"/>
  <c r="EO23" i="8"/>
  <c r="EQ23" i="8"/>
  <c r="EI24" i="8"/>
  <c r="EK24" i="8"/>
  <c r="EM24" i="8"/>
  <c r="EO24" i="8"/>
  <c r="EQ24" i="8"/>
  <c r="EI25" i="8"/>
  <c r="EK25" i="8"/>
  <c r="EM25" i="8"/>
  <c r="EO25" i="8"/>
  <c r="EQ25" i="8"/>
  <c r="EI26" i="8"/>
  <c r="EK26" i="8"/>
  <c r="EM26" i="8"/>
  <c r="EO26" i="8"/>
  <c r="EQ26" i="8"/>
  <c r="EI27" i="8"/>
  <c r="EK27" i="8"/>
  <c r="EM27" i="8"/>
  <c r="EO27" i="8"/>
  <c r="EQ27" i="8"/>
  <c r="EI28" i="8"/>
  <c r="EK28" i="8"/>
  <c r="EM28" i="8"/>
  <c r="EO28" i="8"/>
  <c r="EQ28" i="8"/>
  <c r="EI29" i="8"/>
  <c r="EK29" i="8"/>
  <c r="EM29" i="8"/>
  <c r="EO29" i="8"/>
  <c r="EQ29" i="8"/>
  <c r="EQ30" i="8"/>
  <c r="EQ31" i="8"/>
  <c r="ER31" i="8"/>
  <c r="EG32" i="8"/>
  <c r="EQ32" i="8"/>
  <c r="ER32" i="8"/>
  <c r="EI34" i="8"/>
  <c r="EK34" i="8"/>
  <c r="EM34" i="8"/>
  <c r="EO34" i="8"/>
  <c r="EQ34" i="8"/>
  <c r="EI35" i="8"/>
  <c r="EK35" i="8"/>
  <c r="EM35" i="8"/>
  <c r="EO35" i="8"/>
  <c r="EQ35" i="8"/>
  <c r="EI36" i="8"/>
  <c r="EK36" i="8"/>
  <c r="EM36" i="8"/>
  <c r="EO36" i="8"/>
  <c r="EQ36" i="8"/>
  <c r="EG37" i="8"/>
  <c r="EI37" i="8"/>
  <c r="EK37" i="8"/>
  <c r="EM37" i="8"/>
  <c r="EO37" i="8"/>
  <c r="EQ37" i="8"/>
  <c r="EI38" i="8"/>
  <c r="EK38" i="8"/>
  <c r="EM38" i="8"/>
  <c r="EO38" i="8"/>
  <c r="EQ38" i="8"/>
  <c r="EI39" i="8"/>
  <c r="EK39" i="8"/>
  <c r="EM39" i="8"/>
  <c r="EO39" i="8"/>
  <c r="EQ39" i="8"/>
  <c r="D33" i="9"/>
  <c r="HN36" i="13" s="1"/>
  <c r="D34" i="9"/>
  <c r="HN37" i="13" s="1"/>
  <c r="D35" i="9"/>
  <c r="HN38" i="13" s="1"/>
  <c r="D36" i="9"/>
  <c r="HN39" i="13" s="1"/>
  <c r="D37" i="9"/>
  <c r="HN40" i="13" s="1"/>
  <c r="D38" i="9"/>
  <c r="HN41" i="13" s="1"/>
  <c r="D32" i="9"/>
  <c r="D26" i="9"/>
  <c r="HN31" i="13" s="1"/>
  <c r="D21" i="9"/>
  <c r="HN26" i="13" s="1"/>
  <c r="D22" i="9"/>
  <c r="HN27" i="13" s="1"/>
  <c r="D23" i="9"/>
  <c r="HN28" i="13" s="1"/>
  <c r="D24" i="9"/>
  <c r="HN29" i="13" s="1"/>
  <c r="D25" i="9"/>
  <c r="HN30" i="13" s="1"/>
  <c r="D20" i="9"/>
  <c r="HN25" i="13" s="1"/>
  <c r="O12" i="9"/>
  <c r="O11" i="9"/>
  <c r="HY14" i="13" s="1"/>
  <c r="O10" i="9"/>
  <c r="HY13" i="13" s="1"/>
  <c r="P9" i="9"/>
  <c r="P7" i="9"/>
  <c r="M12" i="9"/>
  <c r="M11" i="9"/>
  <c r="HW14" i="13" s="1"/>
  <c r="BT29" i="13" s="1"/>
  <c r="DX29" i="13" s="1"/>
  <c r="DU29" i="13" s="1"/>
  <c r="M10" i="9"/>
  <c r="M9" i="9"/>
  <c r="HX12" i="13" s="1"/>
  <c r="BQ34" i="13" s="1"/>
  <c r="M8" i="9"/>
  <c r="M22" i="9" s="1"/>
  <c r="HW27" i="13" s="1"/>
  <c r="M7" i="9"/>
  <c r="HW10" i="13" s="1"/>
  <c r="M6" i="9"/>
  <c r="HW9" i="13" s="1"/>
  <c r="S7" i="9"/>
  <c r="S8" i="9" s="1"/>
  <c r="S9" i="9" s="1"/>
  <c r="S10" i="9" s="1"/>
  <c r="S11" i="9" s="1"/>
  <c r="S12" i="9" s="1"/>
  <c r="S13" i="9" s="1"/>
  <c r="S14" i="9" s="1"/>
  <c r="S15" i="9" s="1"/>
  <c r="S16" i="9" s="1"/>
  <c r="S17" i="9" s="1"/>
  <c r="S18" i="9" s="1"/>
  <c r="S19" i="9" s="1"/>
  <c r="S20" i="9" s="1"/>
  <c r="S21" i="9" s="1"/>
  <c r="S22" i="9" s="1"/>
  <c r="S23" i="9" s="1"/>
  <c r="S24" i="9" s="1"/>
  <c r="S25" i="9" s="1"/>
  <c r="S26" i="9" s="1"/>
  <c r="S27" i="9" s="1"/>
  <c r="S28" i="9" s="1"/>
  <c r="S29" i="9" s="1"/>
  <c r="S30" i="9" s="1"/>
  <c r="S31" i="9" s="1"/>
  <c r="S32" i="9" s="1"/>
  <c r="S33" i="9" s="1"/>
  <c r="S34" i="9" s="1"/>
  <c r="S35" i="9" s="1"/>
  <c r="S36" i="9" s="1"/>
  <c r="S37" i="9" s="1"/>
  <c r="S38" i="9" s="1"/>
  <c r="S39" i="9" s="1"/>
  <c r="V6" i="9"/>
  <c r="K6" i="9" s="1"/>
  <c r="HU9" i="13" s="1"/>
  <c r="V7" i="9"/>
  <c r="V8" i="9"/>
  <c r="V9" i="9"/>
  <c r="V10" i="9"/>
  <c r="V11" i="9"/>
  <c r="K7" i="9" s="1"/>
  <c r="V12" i="9"/>
  <c r="V13" i="9"/>
  <c r="V14" i="9"/>
  <c r="V15" i="9"/>
  <c r="V16" i="9"/>
  <c r="K8" i="9" s="1"/>
  <c r="K22" i="9" s="1"/>
  <c r="V17" i="9"/>
  <c r="V18" i="9"/>
  <c r="V19" i="9"/>
  <c r="V20" i="9"/>
  <c r="V21" i="9"/>
  <c r="K9" i="9" s="1"/>
  <c r="V22" i="9"/>
  <c r="V23" i="9"/>
  <c r="V24" i="9"/>
  <c r="V25" i="9"/>
  <c r="V26" i="9"/>
  <c r="K10" i="9" s="1"/>
  <c r="K24" i="9" s="1"/>
  <c r="V27" i="9"/>
  <c r="V28" i="9"/>
  <c r="V29" i="9"/>
  <c r="V30" i="9"/>
  <c r="V31" i="9"/>
  <c r="K11" i="9" s="1"/>
  <c r="V32" i="9"/>
  <c r="V33" i="9"/>
  <c r="V34" i="9"/>
  <c r="V35" i="9"/>
  <c r="V36" i="9"/>
  <c r="K12" i="9" s="1"/>
  <c r="V37" i="9"/>
  <c r="V38" i="9"/>
  <c r="V39" i="9"/>
  <c r="U6" i="9"/>
  <c r="I6" i="9" s="1"/>
  <c r="HS9" i="13" s="1"/>
  <c r="U7" i="9"/>
  <c r="U8" i="9"/>
  <c r="U9" i="9"/>
  <c r="U10" i="9"/>
  <c r="U11" i="9"/>
  <c r="I7" i="9" s="1"/>
  <c r="U12" i="9"/>
  <c r="U13" i="9"/>
  <c r="U14" i="9"/>
  <c r="U15" i="9"/>
  <c r="U16" i="9"/>
  <c r="I8" i="9" s="1"/>
  <c r="U17" i="9"/>
  <c r="U18" i="9"/>
  <c r="U19" i="9"/>
  <c r="U20" i="9"/>
  <c r="U21" i="9"/>
  <c r="I9" i="9" s="1"/>
  <c r="U22" i="9"/>
  <c r="U23" i="9"/>
  <c r="U24" i="9"/>
  <c r="U25" i="9"/>
  <c r="U26" i="9"/>
  <c r="I10" i="9" s="1"/>
  <c r="U27" i="9"/>
  <c r="U28" i="9"/>
  <c r="U29" i="9"/>
  <c r="U30" i="9"/>
  <c r="U31" i="9"/>
  <c r="I11" i="9" s="1"/>
  <c r="U32" i="9"/>
  <c r="U33" i="9"/>
  <c r="U34" i="9"/>
  <c r="U35" i="9"/>
  <c r="U36" i="9"/>
  <c r="I12" i="9" s="1"/>
  <c r="J13" i="9" s="1"/>
  <c r="HT16" i="13" s="1"/>
  <c r="AY4" i="13" s="1"/>
  <c r="U37" i="9"/>
  <c r="U38" i="9"/>
  <c r="U39" i="9"/>
  <c r="T6" i="9"/>
  <c r="G6" i="9" s="1"/>
  <c r="HQ9" i="13" s="1"/>
  <c r="T7" i="9"/>
  <c r="T8" i="9"/>
  <c r="T9" i="9"/>
  <c r="T10" i="9"/>
  <c r="T11" i="9"/>
  <c r="G7" i="9" s="1"/>
  <c r="HQ10" i="13" s="1"/>
  <c r="T12" i="9"/>
  <c r="T13" i="9"/>
  <c r="T14" i="9"/>
  <c r="T15" i="9"/>
  <c r="T16" i="9"/>
  <c r="G8" i="9" s="1"/>
  <c r="T17" i="9"/>
  <c r="T18" i="9"/>
  <c r="T19" i="9"/>
  <c r="T20" i="9"/>
  <c r="T21" i="9"/>
  <c r="G9" i="9" s="1"/>
  <c r="T22" i="9"/>
  <c r="T23" i="9"/>
  <c r="T24" i="9"/>
  <c r="T25" i="9"/>
  <c r="T26" i="9"/>
  <c r="G10" i="9" s="1"/>
  <c r="T27" i="9"/>
  <c r="T28" i="9"/>
  <c r="T29" i="9"/>
  <c r="T30" i="9"/>
  <c r="T31" i="9"/>
  <c r="G11" i="9" s="1"/>
  <c r="T32" i="9"/>
  <c r="T33" i="9"/>
  <c r="T34" i="9"/>
  <c r="T35" i="9"/>
  <c r="T36" i="9"/>
  <c r="G12" i="9" s="1"/>
  <c r="G13" i="9" s="1"/>
  <c r="G14" i="9" s="1"/>
  <c r="T37" i="9"/>
  <c r="T38" i="9"/>
  <c r="T39" i="9"/>
  <c r="E12" i="9"/>
  <c r="E26" i="9" s="1"/>
  <c r="E11" i="9"/>
  <c r="E25" i="9" s="1"/>
  <c r="E10" i="9"/>
  <c r="HO13" i="13" s="1"/>
  <c r="E9" i="9"/>
  <c r="E8" i="9"/>
  <c r="HO11" i="13" s="1"/>
  <c r="E7" i="9"/>
  <c r="E6" i="9"/>
  <c r="HO9" i="13" s="1"/>
  <c r="AZ15" i="8"/>
  <c r="N45" i="8"/>
  <c r="N46" i="8" s="1"/>
  <c r="AZ7" i="8"/>
  <c r="M43" i="8"/>
  <c r="N42" i="8"/>
  <c r="N43" i="8" s="1"/>
  <c r="K42" i="8"/>
  <c r="K43" i="8" s="1"/>
  <c r="BJ34" i="8"/>
  <c r="BO34" i="8" s="1"/>
  <c r="BE34" i="8"/>
  <c r="AO34" i="8"/>
  <c r="AT34" i="8" s="1"/>
  <c r="AE34" i="8"/>
  <c r="AJ34" i="8" s="1"/>
  <c r="L34" i="8"/>
  <c r="P34" i="8" s="1"/>
  <c r="BE33" i="8"/>
  <c r="AJ33" i="8"/>
  <c r="L33" i="8"/>
  <c r="P33" i="8" s="1"/>
  <c r="AY32" i="8"/>
  <c r="BE32" i="8" s="1"/>
  <c r="AT32" i="8"/>
  <c r="AJ32" i="8"/>
  <c r="P32" i="8"/>
  <c r="BJ31" i="8"/>
  <c r="BO30" i="8" s="1"/>
  <c r="L31" i="8"/>
  <c r="BO29" i="8"/>
  <c r="AY29" i="8"/>
  <c r="AJ29" i="8"/>
  <c r="Z29" i="8"/>
  <c r="P29" i="8"/>
  <c r="BO28" i="8"/>
  <c r="BE28" i="8"/>
  <c r="AJ28" i="8"/>
  <c r="P28" i="8"/>
  <c r="CE27" i="8"/>
  <c r="CC27" i="8" s="1"/>
  <c r="BO27" i="8"/>
  <c r="AJ27" i="8"/>
  <c r="P27" i="8"/>
  <c r="CC26" i="8"/>
  <c r="BO26" i="8"/>
  <c r="AJ26" i="8"/>
  <c r="P26" i="8"/>
  <c r="BJ25" i="8"/>
  <c r="BO25" i="8" s="1"/>
  <c r="AT25" i="8"/>
  <c r="AE25" i="8"/>
  <c r="AJ25" i="8" s="1"/>
  <c r="Z25" i="8"/>
  <c r="P25" i="8"/>
  <c r="CE24" i="8"/>
  <c r="CC24" i="8" s="1"/>
  <c r="BJ24" i="8"/>
  <c r="BO24" i="8" s="1"/>
  <c r="AY24" i="8"/>
  <c r="BE24" i="8" s="1"/>
  <c r="AT24" i="8"/>
  <c r="AE24" i="8"/>
  <c r="AJ24" i="8" s="1"/>
  <c r="U24" i="8"/>
  <c r="Z24" i="8" s="1"/>
  <c r="P24" i="8"/>
  <c r="BO23" i="8"/>
  <c r="AO23" i="8"/>
  <c r="AT23" i="8" s="1"/>
  <c r="AE23" i="8"/>
  <c r="AJ23" i="8" s="1"/>
  <c r="P23" i="8"/>
  <c r="Z22" i="8"/>
  <c r="BJ21" i="8"/>
  <c r="BO21" i="8" s="1"/>
  <c r="BE21" i="8"/>
  <c r="AT21" i="8"/>
  <c r="AE21" i="8"/>
  <c r="AJ21" i="8" s="1"/>
  <c r="Z21" i="8"/>
  <c r="P21" i="8"/>
  <c r="BJ20" i="8"/>
  <c r="BO20" i="8" s="1"/>
  <c r="AY20" i="8"/>
  <c r="BE20" i="8" s="1"/>
  <c r="AT20" i="8"/>
  <c r="Z20" i="8"/>
  <c r="P20" i="8"/>
  <c r="BO19" i="8"/>
  <c r="AY19" i="8"/>
  <c r="BE19" i="8" s="1"/>
  <c r="AT19" i="8"/>
  <c r="AE19" i="8"/>
  <c r="AJ19" i="8" s="1"/>
  <c r="Z19" i="8"/>
  <c r="P19" i="8"/>
  <c r="AT18" i="8"/>
  <c r="AJ18" i="8"/>
  <c r="Z18" i="8"/>
  <c r="P18" i="8"/>
  <c r="Z17" i="8"/>
  <c r="P17" i="8"/>
  <c r="BJ16" i="8"/>
  <c r="BO16" i="8" s="1"/>
  <c r="AJ16" i="8"/>
  <c r="Z16" i="8"/>
  <c r="P16" i="8"/>
  <c r="BJ15" i="8"/>
  <c r="BO15" i="8" s="1"/>
  <c r="BE15" i="8"/>
  <c r="AT15" i="8"/>
  <c r="AJ15" i="8"/>
  <c r="Z15" i="8"/>
  <c r="P15" i="8"/>
  <c r="BO13" i="8"/>
  <c r="AT13" i="8"/>
  <c r="Z13" i="8"/>
  <c r="P13" i="8"/>
  <c r="CE12" i="8"/>
  <c r="CC12" i="8" s="1"/>
  <c r="BO12" i="8"/>
  <c r="AY12" i="8"/>
  <c r="BE12" i="8" s="1"/>
  <c r="AT12" i="8"/>
  <c r="AE12" i="8"/>
  <c r="AJ12" i="8" s="1"/>
  <c r="Z12" i="8"/>
  <c r="P12" i="8"/>
  <c r="BO11" i="8"/>
  <c r="AY11" i="8"/>
  <c r="AT11" i="8"/>
  <c r="AJ11" i="8"/>
  <c r="Z11" i="8"/>
  <c r="P11" i="8"/>
  <c r="BO8" i="8"/>
  <c r="BE8" i="8"/>
  <c r="AU8" i="8"/>
  <c r="AT8" i="8"/>
  <c r="AJ8" i="8"/>
  <c r="CE7" i="8"/>
  <c r="CC7" i="8" s="1"/>
  <c r="BO7" i="8"/>
  <c r="AW7" i="8"/>
  <c r="AJ7" i="8"/>
  <c r="P7" i="8"/>
  <c r="AD12" i="13" l="1"/>
  <c r="AE11" i="13"/>
  <c r="ET25" i="16"/>
  <c r="EZ24" i="16" s="1"/>
  <c r="G28" i="9"/>
  <c r="H14" i="9"/>
  <c r="DX60" i="16"/>
  <c r="FG60" i="16"/>
  <c r="CJ61" i="16"/>
  <c r="DL61" i="16" s="1"/>
  <c r="DF62" i="16"/>
  <c r="ET61" i="16"/>
  <c r="FH61" i="16" s="1"/>
  <c r="BN62" i="16"/>
  <c r="M23" i="9"/>
  <c r="HW28" i="13" s="1"/>
  <c r="EH11" i="8"/>
  <c r="M21" i="9"/>
  <c r="HW26" i="13" s="1"/>
  <c r="EH15" i="8"/>
  <c r="W31" i="8" s="1"/>
  <c r="ER14" i="8"/>
  <c r="EH13" i="8"/>
  <c r="T11" i="8" s="1"/>
  <c r="AR62" i="16"/>
  <c r="FF62" i="16" s="1"/>
  <c r="HO30" i="13"/>
  <c r="EH28" i="8"/>
  <c r="E37" i="9"/>
  <c r="HO31" i="13"/>
  <c r="EH29" i="8"/>
  <c r="E38" i="9"/>
  <c r="EG27" i="8"/>
  <c r="EG23" i="8"/>
  <c r="O24" i="9"/>
  <c r="EH9" i="8"/>
  <c r="F7" i="9"/>
  <c r="HO10" i="13"/>
  <c r="O25" i="9"/>
  <c r="EG38" i="8"/>
  <c r="EG34" i="8"/>
  <c r="EP14" i="8"/>
  <c r="AX29" i="8" s="1"/>
  <c r="CE29" i="8" s="1"/>
  <c r="CC29" i="8" s="1"/>
  <c r="EP12" i="8"/>
  <c r="EP10" i="8"/>
  <c r="M35" i="9"/>
  <c r="Z15" i="13"/>
  <c r="Z26" i="13"/>
  <c r="Z24" i="13"/>
  <c r="Z12" i="13"/>
  <c r="P12" i="9"/>
  <c r="O13" i="9"/>
  <c r="HY15" i="13"/>
  <c r="O26" i="9"/>
  <c r="EG28" i="8"/>
  <c r="EG24" i="8"/>
  <c r="F9" i="9"/>
  <c r="HP12" i="13"/>
  <c r="E20" i="9"/>
  <c r="EH14" i="8"/>
  <c r="U38" i="8" s="1"/>
  <c r="EH12" i="8"/>
  <c r="EH10" i="8"/>
  <c r="EG39" i="8"/>
  <c r="EG35" i="8"/>
  <c r="N12" i="9"/>
  <c r="N13" i="9"/>
  <c r="HX16" i="13" s="1"/>
  <c r="BZ4" i="13" s="1"/>
  <c r="HW15" i="13"/>
  <c r="F11" i="9"/>
  <c r="HO14" i="13"/>
  <c r="N8" i="9"/>
  <c r="HW11" i="13"/>
  <c r="BO34" i="13" s="1"/>
  <c r="E24" i="9"/>
  <c r="M20" i="9"/>
  <c r="EG29" i="8"/>
  <c r="EG25" i="8"/>
  <c r="ER15" i="8"/>
  <c r="ER13" i="8"/>
  <c r="F13" i="9"/>
  <c r="HP16" i="13" s="1"/>
  <c r="AI4" i="13" s="1"/>
  <c r="HO15" i="13"/>
  <c r="E23" i="9"/>
  <c r="M26" i="9"/>
  <c r="EP25" i="8"/>
  <c r="N10" i="9"/>
  <c r="HW13" i="13"/>
  <c r="E22" i="9"/>
  <c r="M25" i="9"/>
  <c r="M33" i="9"/>
  <c r="EG36" i="8"/>
  <c r="EP15" i="8"/>
  <c r="BB25" i="8" s="1"/>
  <c r="EP13" i="8"/>
  <c r="EP11" i="8"/>
  <c r="EP9" i="8"/>
  <c r="FX59" i="16"/>
  <c r="FP59" i="16"/>
  <c r="E21" i="9"/>
  <c r="M24" i="9"/>
  <c r="M34" i="9"/>
  <c r="EG26" i="8"/>
  <c r="EP24" i="8"/>
  <c r="FG58" i="16"/>
  <c r="G27" i="9"/>
  <c r="BF3" i="20" s="1"/>
  <c r="HQ16" i="13"/>
  <c r="H13" i="9"/>
  <c r="HR16" i="13" s="1"/>
  <c r="CM4" i="13" s="1"/>
  <c r="K26" i="9"/>
  <c r="EN29" i="8" s="1"/>
  <c r="L13" i="9"/>
  <c r="HV16" i="13" s="1"/>
  <c r="BL4" i="13" s="1"/>
  <c r="W24" i="8"/>
  <c r="W38" i="8"/>
  <c r="W37" i="8"/>
  <c r="FH25" i="16"/>
  <c r="CJ56" i="16"/>
  <c r="DX40" i="16"/>
  <c r="EZ40" i="16" s="1"/>
  <c r="FG40" i="16"/>
  <c r="FG39" i="16"/>
  <c r="DX39" i="16"/>
  <c r="EZ39" i="16" s="1"/>
  <c r="DX42" i="16"/>
  <c r="EZ42" i="16" s="1"/>
  <c r="FG42" i="16"/>
  <c r="DF26" i="16"/>
  <c r="DC27" i="16"/>
  <c r="DX22" i="16"/>
  <c r="EZ22" i="16" s="1"/>
  <c r="FG22" i="16"/>
  <c r="DX20" i="16"/>
  <c r="EZ20" i="16" s="1"/>
  <c r="FG20" i="16"/>
  <c r="DF56" i="16"/>
  <c r="ET56" i="16"/>
  <c r="FH56" i="16" s="1"/>
  <c r="ET26" i="16"/>
  <c r="FH26" i="16" s="1"/>
  <c r="EQ27" i="16"/>
  <c r="BN55" i="16"/>
  <c r="DL55" i="16" s="1"/>
  <c r="FG55" i="16" s="1"/>
  <c r="DX44" i="16"/>
  <c r="EZ44" i="16" s="1"/>
  <c r="FG44" i="16"/>
  <c r="DX41" i="16"/>
  <c r="EZ41" i="16" s="1"/>
  <c r="FG41" i="16"/>
  <c r="BN25" i="16"/>
  <c r="DL25" i="16" s="1"/>
  <c r="BK26" i="16"/>
  <c r="FG43" i="16"/>
  <c r="DX43" i="16"/>
  <c r="EZ43" i="16" s="1"/>
  <c r="DX21" i="16"/>
  <c r="EZ21" i="16" s="1"/>
  <c r="FG21" i="16"/>
  <c r="DX19" i="16"/>
  <c r="EZ19" i="16" s="1"/>
  <c r="FG19" i="16"/>
  <c r="DF23" i="16"/>
  <c r="DL23" i="16" s="1"/>
  <c r="FA23" i="16"/>
  <c r="DX18" i="16"/>
  <c r="EZ18" i="16" s="1"/>
  <c r="FG18" i="16"/>
  <c r="AR26" i="16"/>
  <c r="FF26" i="16" s="1"/>
  <c r="AO27" i="16"/>
  <c r="CJ26" i="16"/>
  <c r="CG27" i="16"/>
  <c r="FG46" i="16"/>
  <c r="DX46" i="16"/>
  <c r="EZ46" i="16" s="1"/>
  <c r="DX45" i="16"/>
  <c r="EZ45" i="16" s="1"/>
  <c r="FG45" i="16"/>
  <c r="K38" i="9"/>
  <c r="HU29" i="13"/>
  <c r="EN27" i="8"/>
  <c r="K36" i="9"/>
  <c r="HU27" i="13"/>
  <c r="EN25" i="8"/>
  <c r="K34" i="9"/>
  <c r="H11" i="9"/>
  <c r="HQ14" i="13"/>
  <c r="H9" i="9"/>
  <c r="HR12" i="13"/>
  <c r="J11" i="9"/>
  <c r="HS14" i="13"/>
  <c r="J9" i="9"/>
  <c r="HT12" i="13"/>
  <c r="J7" i="9"/>
  <c r="HS10" i="13"/>
  <c r="L11" i="9"/>
  <c r="HU14" i="13"/>
  <c r="BG4" i="13" s="1"/>
  <c r="L9" i="9"/>
  <c r="HV12" i="13"/>
  <c r="L7" i="9"/>
  <c r="HU10" i="13"/>
  <c r="G20" i="9"/>
  <c r="G25" i="9"/>
  <c r="G23" i="9"/>
  <c r="G21" i="9"/>
  <c r="I21" i="9"/>
  <c r="I23" i="9"/>
  <c r="I25" i="9"/>
  <c r="K20" i="9"/>
  <c r="H12" i="9"/>
  <c r="HQ15" i="13"/>
  <c r="H10" i="9"/>
  <c r="HQ13" i="13"/>
  <c r="H8" i="9"/>
  <c r="HQ11" i="13"/>
  <c r="J12" i="9"/>
  <c r="HS15" i="13"/>
  <c r="J10" i="9"/>
  <c r="HS13" i="13"/>
  <c r="AR29" i="13" s="1"/>
  <c r="J8" i="9"/>
  <c r="HS11" i="13"/>
  <c r="L12" i="9"/>
  <c r="HU15" i="13"/>
  <c r="L10" i="9"/>
  <c r="HU13" i="13"/>
  <c r="L8" i="9"/>
  <c r="HU11" i="13"/>
  <c r="G26" i="9"/>
  <c r="G24" i="9"/>
  <c r="G22" i="9"/>
  <c r="I20" i="9"/>
  <c r="I22" i="9"/>
  <c r="I24" i="9"/>
  <c r="I26" i="9"/>
  <c r="K21" i="9"/>
  <c r="K23" i="9"/>
  <c r="K25" i="9"/>
  <c r="EN15" i="8"/>
  <c r="AQ39" i="8" s="1"/>
  <c r="EL15" i="8"/>
  <c r="AG19" i="8" s="1"/>
  <c r="EJ15" i="8"/>
  <c r="BL34" i="8" s="1"/>
  <c r="EN14" i="8"/>
  <c r="AO29" i="8" s="1"/>
  <c r="EL14" i="8"/>
  <c r="EJ14" i="8"/>
  <c r="EN13" i="8"/>
  <c r="AM16" i="8" s="1"/>
  <c r="EL13" i="8"/>
  <c r="AB29" i="8" s="1"/>
  <c r="CA29" i="8" s="1"/>
  <c r="EJ13" i="8"/>
  <c r="EN12" i="8"/>
  <c r="EL12" i="8"/>
  <c r="EJ12" i="8"/>
  <c r="EN11" i="8"/>
  <c r="EL11" i="8"/>
  <c r="EJ11" i="8"/>
  <c r="EN10" i="8"/>
  <c r="EL10" i="8"/>
  <c r="EJ10" i="8"/>
  <c r="EN9" i="8"/>
  <c r="EL9" i="8"/>
  <c r="EJ9" i="8"/>
  <c r="CG15" i="8"/>
  <c r="CO15" i="8"/>
  <c r="BE29" i="8"/>
  <c r="DU27" i="8"/>
  <c r="BE7" i="8"/>
  <c r="BE11" i="8"/>
  <c r="BT7" i="8"/>
  <c r="AZ12" i="8"/>
  <c r="BT17" i="8"/>
  <c r="BT26" i="8"/>
  <c r="Z31" i="8"/>
  <c r="W27" i="8"/>
  <c r="W11" i="8"/>
  <c r="P11" i="9"/>
  <c r="F8" i="9"/>
  <c r="F10" i="9"/>
  <c r="F12" i="9"/>
  <c r="N7" i="9"/>
  <c r="N9" i="9"/>
  <c r="N11" i="9"/>
  <c r="P8" i="9"/>
  <c r="P10" i="9"/>
  <c r="H7" i="9"/>
  <c r="AZ11" i="8"/>
  <c r="L42" i="8"/>
  <c r="L43" i="8" s="1"/>
  <c r="P31" i="8"/>
  <c r="P42" i="8" s="1"/>
  <c r="P43" i="8" s="1"/>
  <c r="FX45" i="16" l="1"/>
  <c r="FX46" i="16"/>
  <c r="AF12" i="13"/>
  <c r="AF40" i="13"/>
  <c r="AH31" i="13"/>
  <c r="AH40" i="13"/>
  <c r="AH27" i="13"/>
  <c r="AH12" i="13"/>
  <c r="AH18" i="13"/>
  <c r="AH24" i="13"/>
  <c r="AH37" i="13"/>
  <c r="AJ37" i="13" s="1"/>
  <c r="AH11" i="13"/>
  <c r="AJ40" i="13"/>
  <c r="AJ27" i="13"/>
  <c r="AM12" i="13"/>
  <c r="EZ59" i="16"/>
  <c r="BF4" i="20"/>
  <c r="BF5" i="20" s="1"/>
  <c r="G40" i="9"/>
  <c r="W18" i="8"/>
  <c r="W12" i="8"/>
  <c r="T12" i="8"/>
  <c r="BB23" i="8"/>
  <c r="BB29" i="8"/>
  <c r="BB19" i="8"/>
  <c r="BB39" i="8"/>
  <c r="BB17" i="8"/>
  <c r="AM29" i="8"/>
  <c r="BB20" i="8"/>
  <c r="BN63" i="16"/>
  <c r="BN64" i="16"/>
  <c r="ET62" i="16"/>
  <c r="FH62" i="16" s="1"/>
  <c r="DF63" i="16"/>
  <c r="DF64" i="16"/>
  <c r="CJ62" i="16"/>
  <c r="DL62" i="16" s="1"/>
  <c r="DX61" i="16"/>
  <c r="FG61" i="16"/>
  <c r="BL13" i="8"/>
  <c r="BL18" i="8"/>
  <c r="AR64" i="16"/>
  <c r="FF64" i="16" s="1"/>
  <c r="AR63" i="16"/>
  <c r="FF63" i="16" s="1"/>
  <c r="AO30" i="8"/>
  <c r="BL29" i="8"/>
  <c r="BL31" i="8"/>
  <c r="BL20" i="8"/>
  <c r="EP26" i="8"/>
  <c r="AG18" i="8"/>
  <c r="HX11" i="13"/>
  <c r="EQ11" i="8"/>
  <c r="HU31" i="13"/>
  <c r="HY29" i="13"/>
  <c r="O36" i="9"/>
  <c r="ER27" i="8"/>
  <c r="O23" i="9"/>
  <c r="HX10" i="13"/>
  <c r="EQ10" i="8"/>
  <c r="HP14" i="13"/>
  <c r="EI14" i="8"/>
  <c r="T31" i="8" s="1"/>
  <c r="CE31" i="8" s="1"/>
  <c r="AB15" i="13"/>
  <c r="AB12" i="13"/>
  <c r="AB26" i="13"/>
  <c r="BX29" i="13"/>
  <c r="BX25" i="13"/>
  <c r="BX19" i="13"/>
  <c r="BX23" i="13"/>
  <c r="BX17" i="13"/>
  <c r="BX41" i="13"/>
  <c r="BZ41" i="13" s="1"/>
  <c r="BX20" i="13"/>
  <c r="HQ12" i="13"/>
  <c r="AB30" i="13" s="1"/>
  <c r="EI12" i="8"/>
  <c r="HW38" i="13"/>
  <c r="EP36" i="8"/>
  <c r="HP13" i="13"/>
  <c r="EI13" i="8"/>
  <c r="AQ9" i="8"/>
  <c r="HO41" i="13"/>
  <c r="EH39" i="8"/>
  <c r="V4" i="8" s="1"/>
  <c r="HO25" i="13"/>
  <c r="E32" i="9"/>
  <c r="EH23" i="8"/>
  <c r="AP4" i="8"/>
  <c r="AQ16" i="8" s="1"/>
  <c r="HX15" i="13"/>
  <c r="BX4" i="13" s="1"/>
  <c r="EQ15" i="8"/>
  <c r="BB4" i="8" s="1"/>
  <c r="HX14" i="13"/>
  <c r="EQ14" i="8"/>
  <c r="HW31" i="13"/>
  <c r="EP29" i="8"/>
  <c r="M38" i="9"/>
  <c r="HO28" i="13"/>
  <c r="EH26" i="8"/>
  <c r="E35" i="9"/>
  <c r="HZ14" i="13"/>
  <c r="ES14" i="8"/>
  <c r="HW36" i="13"/>
  <c r="EP34" i="8"/>
  <c r="HP15" i="13"/>
  <c r="EI15" i="8"/>
  <c r="W30" i="8" s="1"/>
  <c r="AG17" i="8"/>
  <c r="HW37" i="13"/>
  <c r="EP35" i="8"/>
  <c r="HW30" i="13"/>
  <c r="EP28" i="8"/>
  <c r="M37" i="9"/>
  <c r="HY31" i="13"/>
  <c r="O38" i="9"/>
  <c r="ER29" i="8"/>
  <c r="FX60" i="16"/>
  <c r="FP60" i="16"/>
  <c r="HY12" i="13"/>
  <c r="EQ12" i="8"/>
  <c r="HW29" i="13"/>
  <c r="EP27" i="8"/>
  <c r="M36" i="9"/>
  <c r="HO27" i="13"/>
  <c r="EH25" i="8"/>
  <c r="E34" i="9"/>
  <c r="HO40" i="13"/>
  <c r="EH38" i="8"/>
  <c r="HP10" i="13"/>
  <c r="EI10" i="8"/>
  <c r="HP11" i="13"/>
  <c r="EI11" i="8"/>
  <c r="HO26" i="13"/>
  <c r="E33" i="9"/>
  <c r="EH24" i="8"/>
  <c r="HW25" i="13"/>
  <c r="M32" i="9"/>
  <c r="EP23" i="8"/>
  <c r="O27" i="9"/>
  <c r="HY16" i="13"/>
  <c r="P13" i="9"/>
  <c r="HZ16" i="13" s="1"/>
  <c r="HY30" i="13"/>
  <c r="ER28" i="8"/>
  <c r="O37" i="9"/>
  <c r="HX13" i="13"/>
  <c r="EQ13" i="8"/>
  <c r="HO29" i="13"/>
  <c r="E36" i="9"/>
  <c r="EH27" i="8"/>
  <c r="HZ15" i="13"/>
  <c r="ES15" i="8"/>
  <c r="CL4" i="13"/>
  <c r="CM33" i="13"/>
  <c r="HQ32" i="13"/>
  <c r="G39" i="9"/>
  <c r="HQ42" i="13" s="1"/>
  <c r="CG28" i="16"/>
  <c r="CJ27" i="16"/>
  <c r="AO28" i="16"/>
  <c r="AR27" i="16"/>
  <c r="FF27" i="16" s="1"/>
  <c r="FX18" i="16"/>
  <c r="FP18" i="16"/>
  <c r="FX19" i="16"/>
  <c r="FP19" i="16"/>
  <c r="FX21" i="16"/>
  <c r="FP21" i="16"/>
  <c r="BN26" i="16"/>
  <c r="DL26" i="16" s="1"/>
  <c r="BK27" i="16"/>
  <c r="FX41" i="16"/>
  <c r="FP41" i="16"/>
  <c r="FX44" i="16"/>
  <c r="FP44" i="16"/>
  <c r="BN56" i="16"/>
  <c r="DL56" i="16" s="1"/>
  <c r="ET27" i="16"/>
  <c r="FH27" i="16" s="1"/>
  <c r="EQ28" i="16"/>
  <c r="ET57" i="16"/>
  <c r="FH57" i="16" s="1"/>
  <c r="FX39" i="16"/>
  <c r="FP39" i="16"/>
  <c r="CJ57" i="16"/>
  <c r="DX23" i="16"/>
  <c r="EZ23" i="16" s="1"/>
  <c r="FG23" i="16"/>
  <c r="FX43" i="16"/>
  <c r="FP43" i="16"/>
  <c r="FG25" i="16"/>
  <c r="DX25" i="16"/>
  <c r="EZ25" i="16" s="1"/>
  <c r="DF57" i="16"/>
  <c r="FX20" i="16"/>
  <c r="FP20" i="16"/>
  <c r="FX22" i="16"/>
  <c r="FP22" i="16"/>
  <c r="DC28" i="16"/>
  <c r="DF27" i="16"/>
  <c r="FP42" i="16"/>
  <c r="FX42" i="16"/>
  <c r="FP40" i="16"/>
  <c r="FX40" i="16"/>
  <c r="BL28" i="8"/>
  <c r="BL40" i="8"/>
  <c r="BL39" i="8"/>
  <c r="BL38" i="8"/>
  <c r="BL37" i="8"/>
  <c r="BL36" i="8"/>
  <c r="HU28" i="13"/>
  <c r="K35" i="9"/>
  <c r="EN26" i="8"/>
  <c r="HS31" i="13"/>
  <c r="I38" i="9"/>
  <c r="EL29" i="8"/>
  <c r="HS27" i="13"/>
  <c r="I34" i="9"/>
  <c r="EL25" i="8"/>
  <c r="HQ27" i="13"/>
  <c r="EJ25" i="8"/>
  <c r="G34" i="9"/>
  <c r="HQ31" i="13"/>
  <c r="EJ29" i="8"/>
  <c r="G38" i="9"/>
  <c r="HV11" i="13"/>
  <c r="EO11" i="8"/>
  <c r="HV13" i="13"/>
  <c r="EO13" i="8"/>
  <c r="HV15" i="13"/>
  <c r="BJ4" i="13" s="1"/>
  <c r="EO15" i="8"/>
  <c r="AQ4" i="8" s="1"/>
  <c r="HT11" i="13"/>
  <c r="EM11" i="8"/>
  <c r="HT13" i="13"/>
  <c r="EM13" i="8"/>
  <c r="HT15" i="13"/>
  <c r="AW4" i="13" s="1"/>
  <c r="AW29" i="13" s="1"/>
  <c r="EM15" i="8"/>
  <c r="AG4" i="8" s="1"/>
  <c r="HR11" i="13"/>
  <c r="EK11" i="8"/>
  <c r="HR13" i="13"/>
  <c r="EK13" i="8"/>
  <c r="HR15" i="13"/>
  <c r="EK15" i="8"/>
  <c r="HS30" i="13"/>
  <c r="EL28" i="8"/>
  <c r="I37" i="9"/>
  <c r="HS26" i="13"/>
  <c r="EL24" i="8"/>
  <c r="I33" i="9"/>
  <c r="HQ28" i="13"/>
  <c r="G35" i="9"/>
  <c r="EJ26" i="8"/>
  <c r="HQ25" i="13"/>
  <c r="EJ23" i="8"/>
  <c r="G32" i="9"/>
  <c r="HV10" i="13"/>
  <c r="EO10" i="8"/>
  <c r="HW12" i="13"/>
  <c r="EO12" i="8"/>
  <c r="HV14" i="13"/>
  <c r="EO14" i="8"/>
  <c r="HT10" i="13"/>
  <c r="EM10" i="8"/>
  <c r="HU12" i="13"/>
  <c r="EM12" i="8"/>
  <c r="HT14" i="13"/>
  <c r="EM14" i="8"/>
  <c r="HS12" i="13"/>
  <c r="EK12" i="8"/>
  <c r="HR14" i="13"/>
  <c r="EK14" i="8"/>
  <c r="HU39" i="13"/>
  <c r="EN37" i="8"/>
  <c r="HR10" i="13"/>
  <c r="EK10" i="8"/>
  <c r="HU30" i="13"/>
  <c r="K37" i="9"/>
  <c r="EN28" i="8"/>
  <c r="HU26" i="13"/>
  <c r="K33" i="9"/>
  <c r="EN24" i="8"/>
  <c r="HS29" i="13"/>
  <c r="I36" i="9"/>
  <c r="EL27" i="8"/>
  <c r="HS25" i="13"/>
  <c r="I32" i="9"/>
  <c r="EL23" i="8"/>
  <c r="HQ29" i="13"/>
  <c r="EJ27" i="8"/>
  <c r="G36" i="9"/>
  <c r="BF16" i="13"/>
  <c r="BF29" i="13"/>
  <c r="BJ41" i="13"/>
  <c r="BJ9" i="13"/>
  <c r="BI4" i="13"/>
  <c r="BJ16" i="13" s="1"/>
  <c r="DS29" i="13"/>
  <c r="AW19" i="13"/>
  <c r="AW18" i="13"/>
  <c r="AW17" i="13"/>
  <c r="CK13" i="13"/>
  <c r="CK42" i="13"/>
  <c r="CK40" i="13"/>
  <c r="CK31" i="13"/>
  <c r="CK34" i="13"/>
  <c r="CK29" i="13"/>
  <c r="CK41" i="13"/>
  <c r="CK37" i="13"/>
  <c r="CK36" i="13"/>
  <c r="CK28" i="13"/>
  <c r="CK20" i="13"/>
  <c r="CK18" i="13"/>
  <c r="HU25" i="13"/>
  <c r="EN23" i="8"/>
  <c r="K32" i="9"/>
  <c r="HS28" i="13"/>
  <c r="EL26" i="8"/>
  <c r="I35" i="9"/>
  <c r="HQ26" i="13"/>
  <c r="G33" i="9"/>
  <c r="EJ24" i="8"/>
  <c r="HQ30" i="13"/>
  <c r="G37" i="9"/>
  <c r="EJ28" i="8"/>
  <c r="BH30" i="13"/>
  <c r="BH29" i="13"/>
  <c r="HU37" i="13"/>
  <c r="EN35" i="8"/>
  <c r="HU41" i="13"/>
  <c r="EN39" i="8"/>
  <c r="AT16" i="8"/>
  <c r="AH30" i="13" l="1"/>
  <c r="AJ30" i="13" s="1"/>
  <c r="AG4" i="13"/>
  <c r="AE31" i="13"/>
  <c r="DX31" i="13" s="1"/>
  <c r="DU31" i="13" s="1"/>
  <c r="EZ60" i="16"/>
  <c r="AC6" i="20"/>
  <c r="AD6" i="20" s="1"/>
  <c r="AE6" i="20" s="1"/>
  <c r="AK6" i="20" s="1"/>
  <c r="AC35" i="20"/>
  <c r="AD35" i="20" s="1"/>
  <c r="AE35" i="20" s="1"/>
  <c r="AK35" i="20" s="1"/>
  <c r="AC34" i="20"/>
  <c r="AD34" i="20" s="1"/>
  <c r="AE34" i="20" s="1"/>
  <c r="AK34" i="20" s="1"/>
  <c r="AC33" i="20"/>
  <c r="AD33" i="20" s="1"/>
  <c r="AE33" i="20" s="1"/>
  <c r="AK33" i="20" s="1"/>
  <c r="AC37" i="20"/>
  <c r="AD37" i="20" s="1"/>
  <c r="AE37" i="20" s="1"/>
  <c r="AK37" i="20" s="1"/>
  <c r="AC36" i="20"/>
  <c r="AD36" i="20" s="1"/>
  <c r="AE36" i="20" s="1"/>
  <c r="AK36" i="20" s="1"/>
  <c r="AC25" i="20"/>
  <c r="AD25" i="20" s="1"/>
  <c r="AE25" i="20" s="1"/>
  <c r="AK25" i="20" s="1"/>
  <c r="AC24" i="20"/>
  <c r="AD24" i="20" s="1"/>
  <c r="AE24" i="20" s="1"/>
  <c r="AK24" i="20" s="1"/>
  <c r="AC8" i="20"/>
  <c r="AD8" i="20" s="1"/>
  <c r="AE8" i="20" s="1"/>
  <c r="AK8" i="20" s="1"/>
  <c r="AC20" i="20"/>
  <c r="AD20" i="20" s="1"/>
  <c r="AE20" i="20" s="1"/>
  <c r="AK20" i="20" s="1"/>
  <c r="AC18" i="20"/>
  <c r="AD18" i="20" s="1"/>
  <c r="AE18" i="20" s="1"/>
  <c r="AK18" i="20" s="1"/>
  <c r="AC13" i="20"/>
  <c r="AD13" i="20" s="1"/>
  <c r="AE13" i="20" s="1"/>
  <c r="AC21" i="20"/>
  <c r="AD21" i="20" s="1"/>
  <c r="AE21" i="20" s="1"/>
  <c r="AK21" i="20" s="1"/>
  <c r="AC27" i="20"/>
  <c r="AD27" i="20" s="1"/>
  <c r="AE27" i="20" s="1"/>
  <c r="AK27" i="20" s="1"/>
  <c r="AC10" i="20"/>
  <c r="AD10" i="20" s="1"/>
  <c r="AE10" i="20" s="1"/>
  <c r="AK10" i="20" s="1"/>
  <c r="AC14" i="20"/>
  <c r="AD14" i="20" s="1"/>
  <c r="AE14" i="20" s="1"/>
  <c r="AC22" i="20"/>
  <c r="AD22" i="20" s="1"/>
  <c r="AE22" i="20" s="1"/>
  <c r="AK22" i="20" s="1"/>
  <c r="AC12" i="20"/>
  <c r="AD12" i="20" s="1"/>
  <c r="AE12" i="20" s="1"/>
  <c r="AK12" i="20" s="1"/>
  <c r="AC28" i="20"/>
  <c r="AD28" i="20" s="1"/>
  <c r="AE28" i="20" s="1"/>
  <c r="AK28" i="20" s="1"/>
  <c r="AC17" i="20"/>
  <c r="AD17" i="20" s="1"/>
  <c r="AE17" i="20" s="1"/>
  <c r="AC23" i="20"/>
  <c r="AD23" i="20" s="1"/>
  <c r="AE23" i="20" s="1"/>
  <c r="AK23" i="20" s="1"/>
  <c r="AC9" i="20"/>
  <c r="AD9" i="20" s="1"/>
  <c r="AE9" i="20" s="1"/>
  <c r="AK9" i="20" s="1"/>
  <c r="AC15" i="20"/>
  <c r="AD15" i="20" s="1"/>
  <c r="AC31" i="20"/>
  <c r="AD31" i="20" s="1"/>
  <c r="AE31" i="20" s="1"/>
  <c r="AK31" i="20" s="1"/>
  <c r="AC16" i="20"/>
  <c r="AD16" i="20" s="1"/>
  <c r="AE16" i="20" s="1"/>
  <c r="AK16" i="20" s="1"/>
  <c r="AC26" i="20"/>
  <c r="AD26" i="20" s="1"/>
  <c r="AE26" i="20" s="1"/>
  <c r="AK26" i="20" s="1"/>
  <c r="AC29" i="20"/>
  <c r="AD29" i="20" s="1"/>
  <c r="AE29" i="20" s="1"/>
  <c r="AK29" i="20" s="1"/>
  <c r="AC30" i="20"/>
  <c r="AD30" i="20" s="1"/>
  <c r="AE30" i="20" s="1"/>
  <c r="AK30" i="20" s="1"/>
  <c r="AC4" i="20"/>
  <c r="FG62" i="16"/>
  <c r="DX62" i="16"/>
  <c r="CJ63" i="16"/>
  <c r="DL63" i="16" s="1"/>
  <c r="CJ64" i="16"/>
  <c r="DL64" i="16" s="1"/>
  <c r="ET64" i="16"/>
  <c r="FH64" i="16" s="1"/>
  <c r="ET63" i="16"/>
  <c r="FH63" i="16" s="1"/>
  <c r="BZ23" i="13"/>
  <c r="HY40" i="13"/>
  <c r="ER38" i="8"/>
  <c r="HO36" i="13"/>
  <c r="EH34" i="8"/>
  <c r="HO37" i="13"/>
  <c r="EH35" i="8"/>
  <c r="BX42" i="13"/>
  <c r="BX40" i="13"/>
  <c r="BX11" i="13"/>
  <c r="BX34" i="13"/>
  <c r="BX33" i="13"/>
  <c r="BX28" i="13"/>
  <c r="BX21" i="13"/>
  <c r="BX9" i="13"/>
  <c r="BX24" i="13"/>
  <c r="BX15" i="13"/>
  <c r="BX7" i="13"/>
  <c r="BX12" i="13"/>
  <c r="BZ25" i="13"/>
  <c r="BZ29" i="13"/>
  <c r="O22" i="9"/>
  <c r="HY28" i="13"/>
  <c r="O35" i="9"/>
  <c r="ER26" i="8"/>
  <c r="BQ16" i="13"/>
  <c r="BQ26" i="13"/>
  <c r="FX61" i="16"/>
  <c r="FP61" i="16"/>
  <c r="HO38" i="13"/>
  <c r="EH36" i="8"/>
  <c r="BZ17" i="13"/>
  <c r="BB38" i="8"/>
  <c r="BB21" i="8"/>
  <c r="BB34" i="8"/>
  <c r="BB7" i="8"/>
  <c r="BB24" i="8"/>
  <c r="BB12" i="8"/>
  <c r="BB15" i="8"/>
  <c r="BB11" i="8"/>
  <c r="BB33" i="8"/>
  <c r="BB40" i="8"/>
  <c r="BB9" i="8"/>
  <c r="BB28" i="8"/>
  <c r="HW39" i="13"/>
  <c r="EP37" i="8"/>
  <c r="HY39" i="13"/>
  <c r="ER37" i="8"/>
  <c r="HO39" i="13"/>
  <c r="EH37" i="8"/>
  <c r="HY32" i="13"/>
  <c r="O39" i="9"/>
  <c r="HY42" i="13" s="1"/>
  <c r="ER30" i="8"/>
  <c r="HY41" i="13"/>
  <c r="ER39" i="8"/>
  <c r="HW41" i="13"/>
  <c r="EP39" i="8"/>
  <c r="Z30" i="13"/>
  <c r="BV4" i="13"/>
  <c r="BU36" i="13"/>
  <c r="BU30" i="13"/>
  <c r="BU31" i="13"/>
  <c r="BU27" i="13"/>
  <c r="BU26" i="13"/>
  <c r="BU37" i="13"/>
  <c r="BX37" i="13" s="1"/>
  <c r="BB27" i="8"/>
  <c r="HW40" i="13"/>
  <c r="EP38" i="8"/>
  <c r="AY30" i="8"/>
  <c r="AY36" i="8"/>
  <c r="BB36" i="8" s="1"/>
  <c r="AY37" i="8"/>
  <c r="BB37" i="8" s="1"/>
  <c r="AY31" i="8"/>
  <c r="AZ4" i="8"/>
  <c r="AY26" i="8"/>
  <c r="BB26" i="8" s="1"/>
  <c r="AY27" i="8"/>
  <c r="FG56" i="16"/>
  <c r="CM42" i="13"/>
  <c r="CM37" i="13"/>
  <c r="CM36" i="13"/>
  <c r="CM41" i="13"/>
  <c r="CM40" i="13"/>
  <c r="BL41" i="13"/>
  <c r="CM18" i="13"/>
  <c r="CM28" i="13"/>
  <c r="CM29" i="13"/>
  <c r="CM31" i="13"/>
  <c r="AY17" i="13"/>
  <c r="AY19" i="13"/>
  <c r="AY29" i="13"/>
  <c r="CM20" i="13"/>
  <c r="CM34" i="13"/>
  <c r="CM13" i="13"/>
  <c r="AY18" i="13"/>
  <c r="BL16" i="13"/>
  <c r="BL9" i="13"/>
  <c r="FX23" i="16"/>
  <c r="FP23" i="16"/>
  <c r="FG26" i="16"/>
  <c r="DX26" i="16"/>
  <c r="EZ26" i="16" s="1"/>
  <c r="AO29" i="16"/>
  <c r="AR28" i="16"/>
  <c r="FF28" i="16" s="1"/>
  <c r="CG29" i="16"/>
  <c r="CJ28" i="16"/>
  <c r="DC29" i="16"/>
  <c r="DF28" i="16"/>
  <c r="FX25" i="16"/>
  <c r="FP25" i="16"/>
  <c r="EQ29" i="16"/>
  <c r="ET28" i="16"/>
  <c r="FH28" i="16" s="1"/>
  <c r="BN27" i="16"/>
  <c r="DL27" i="16" s="1"/>
  <c r="BK28" i="16"/>
  <c r="HQ40" i="13"/>
  <c r="EJ38" i="8"/>
  <c r="BM16" i="13"/>
  <c r="HS39" i="13"/>
  <c r="EL37" i="8"/>
  <c r="HU40" i="13"/>
  <c r="EN38" i="8"/>
  <c r="CK9" i="13"/>
  <c r="CK7" i="13"/>
  <c r="CI42" i="13"/>
  <c r="CI37" i="13"/>
  <c r="CI32" i="13"/>
  <c r="CK21" i="13"/>
  <c r="CI40" i="13"/>
  <c r="CI36" i="13"/>
  <c r="CI30" i="13"/>
  <c r="AU4" i="13"/>
  <c r="AT13" i="13"/>
  <c r="AQ31" i="13"/>
  <c r="AQ20" i="13"/>
  <c r="AQ32" i="13"/>
  <c r="BH7" i="13"/>
  <c r="BH37" i="13"/>
  <c r="BJ37" i="13" s="1"/>
  <c r="BI32" i="13"/>
  <c r="HV48" i="13" s="1"/>
  <c r="BH28" i="13"/>
  <c r="BJ28" i="13" s="1"/>
  <c r="BH26" i="13"/>
  <c r="BJ26" i="13" s="1"/>
  <c r="BG13" i="13"/>
  <c r="BJ13" i="13" s="1"/>
  <c r="BH42" i="13"/>
  <c r="BH36" i="13"/>
  <c r="BG32" i="13"/>
  <c r="DX32" i="13" s="1"/>
  <c r="DU32" i="13" s="1"/>
  <c r="BH27" i="13"/>
  <c r="BJ27" i="13" s="1"/>
  <c r="BD41" i="13"/>
  <c r="BB28" i="13"/>
  <c r="BB25" i="13"/>
  <c r="BD32" i="13"/>
  <c r="BB26" i="13"/>
  <c r="HS40" i="13"/>
  <c r="EL38" i="8"/>
  <c r="CK4" i="13"/>
  <c r="CI41" i="13"/>
  <c r="AW11" i="13"/>
  <c r="AW34" i="13"/>
  <c r="AW23" i="13"/>
  <c r="AW27" i="13"/>
  <c r="AW25" i="13"/>
  <c r="AW15" i="13"/>
  <c r="AW16" i="13"/>
  <c r="AW33" i="13"/>
  <c r="AW24" i="13"/>
  <c r="AW28" i="13"/>
  <c r="AW26" i="13"/>
  <c r="AW21" i="13"/>
  <c r="AY21" i="13" s="1"/>
  <c r="AW7" i="13"/>
  <c r="AW12" i="13"/>
  <c r="BJ34" i="13"/>
  <c r="BJ25" i="13"/>
  <c r="BJ21" i="13"/>
  <c r="BJ7" i="13"/>
  <c r="BJ12" i="13"/>
  <c r="BJ40" i="13"/>
  <c r="BJ24" i="13"/>
  <c r="BJ23" i="13"/>
  <c r="BJ11" i="13"/>
  <c r="BJ30" i="13"/>
  <c r="HQ37" i="13"/>
  <c r="EJ35" i="8"/>
  <c r="HS37" i="13"/>
  <c r="EL35" i="8"/>
  <c r="HU38" i="13"/>
  <c r="EN36" i="8"/>
  <c r="HQ36" i="13"/>
  <c r="EJ34" i="8"/>
  <c r="HS38" i="13"/>
  <c r="EL36" i="8"/>
  <c r="HQ39" i="13"/>
  <c r="EJ37" i="8"/>
  <c r="HU36" i="13"/>
  <c r="EN34" i="8"/>
  <c r="BJ40" i="8"/>
  <c r="BJ38" i="8"/>
  <c r="BJ37" i="8"/>
  <c r="BJ36" i="8"/>
  <c r="BJ30" i="8"/>
  <c r="BL21" i="8"/>
  <c r="BJ32" i="8"/>
  <c r="BL9" i="8"/>
  <c r="BL7" i="8"/>
  <c r="AE4" i="8"/>
  <c r="AD13" i="8"/>
  <c r="AG13" i="8" s="1"/>
  <c r="AO37" i="8"/>
  <c r="AO40" i="8"/>
  <c r="AO36" i="8"/>
  <c r="AQ36" i="8" s="1"/>
  <c r="AN13" i="8"/>
  <c r="AQ13" i="8" s="1"/>
  <c r="AP32" i="8"/>
  <c r="EO42" i="8" s="1"/>
  <c r="AO7" i="8"/>
  <c r="AO26" i="8"/>
  <c r="AN32" i="8"/>
  <c r="CE32" i="8" s="1"/>
  <c r="CC32" i="8" s="1"/>
  <c r="AO28" i="8"/>
  <c r="AO27" i="8"/>
  <c r="HQ38" i="13"/>
  <c r="EJ36" i="8"/>
  <c r="HS36" i="13"/>
  <c r="EL34" i="8"/>
  <c r="BJ39" i="8"/>
  <c r="BK4" i="8"/>
  <c r="AG7" i="8"/>
  <c r="AG33" i="8"/>
  <c r="AG26" i="8"/>
  <c r="AG16" i="8"/>
  <c r="AG25" i="8"/>
  <c r="AG23" i="8"/>
  <c r="AG15" i="8"/>
  <c r="AG12" i="8"/>
  <c r="AG11" i="8"/>
  <c r="AG34" i="8"/>
  <c r="AG27" i="8"/>
  <c r="AG29" i="8"/>
  <c r="AG28" i="8"/>
  <c r="AG24" i="8"/>
  <c r="AG21" i="8"/>
  <c r="AQ38" i="8"/>
  <c r="AQ30" i="8"/>
  <c r="AQ25" i="8"/>
  <c r="AQ24" i="8"/>
  <c r="AQ21" i="8"/>
  <c r="AQ34" i="8"/>
  <c r="AQ23" i="8"/>
  <c r="AQ12" i="8"/>
  <c r="AQ11" i="8"/>
  <c r="HQ41" i="13"/>
  <c r="EJ39" i="8"/>
  <c r="HS41" i="13"/>
  <c r="IA41" i="13" s="1"/>
  <c r="CX17" i="13" s="1"/>
  <c r="GG17" i="13" s="1"/>
  <c r="EL39" i="8"/>
  <c r="ET39" i="8" s="1"/>
  <c r="BU17" i="8" s="1"/>
  <c r="DR17" i="8" s="1"/>
  <c r="EZ62" i="16" l="1"/>
  <c r="EZ61" i="16"/>
  <c r="AC39" i="20"/>
  <c r="AD4" i="20"/>
  <c r="FG63" i="16"/>
  <c r="DX63" i="16"/>
  <c r="EZ63" i="16" s="1"/>
  <c r="FG64" i="16"/>
  <c r="DX64" i="16"/>
  <c r="EZ64" i="16" s="1"/>
  <c r="FX62" i="16"/>
  <c r="FP62" i="16"/>
  <c r="BZ12" i="13"/>
  <c r="BZ15" i="13"/>
  <c r="CA26" i="13"/>
  <c r="BZ24" i="13"/>
  <c r="CA27" i="13"/>
  <c r="BZ9" i="13"/>
  <c r="BS7" i="8"/>
  <c r="DH7" i="8" s="1"/>
  <c r="BS36" i="8"/>
  <c r="DH36" i="8" s="1"/>
  <c r="BS40" i="8"/>
  <c r="DH40" i="8" s="1"/>
  <c r="BS38" i="8"/>
  <c r="DH38" i="8" s="1"/>
  <c r="BS20" i="8"/>
  <c r="DH20" i="8" s="1"/>
  <c r="BS15" i="8"/>
  <c r="BS29" i="8"/>
  <c r="DH29" i="8" s="1"/>
  <c r="BS37" i="8"/>
  <c r="DH37" i="8" s="1"/>
  <c r="BS30" i="8"/>
  <c r="DH30" i="8" s="1"/>
  <c r="BS11" i="8"/>
  <c r="DH11" i="8" s="1"/>
  <c r="BS25" i="8"/>
  <c r="DH25" i="8" s="1"/>
  <c r="BS16" i="8"/>
  <c r="DH16" i="8" s="1"/>
  <c r="BS23" i="8"/>
  <c r="DH23" i="8" s="1"/>
  <c r="BZ42" i="13"/>
  <c r="BZ7" i="13"/>
  <c r="CA30" i="13"/>
  <c r="BZ21" i="13"/>
  <c r="EV21" i="13"/>
  <c r="CV42" i="13"/>
  <c r="FW42" i="13" s="1"/>
  <c r="CV37" i="13"/>
  <c r="FW37" i="13" s="1"/>
  <c r="CV7" i="13"/>
  <c r="FW7" i="13" s="1"/>
  <c r="CV30" i="13"/>
  <c r="FW30" i="13" s="1"/>
  <c r="CV15" i="13"/>
  <c r="CV11" i="13"/>
  <c r="FW11" i="13" s="1"/>
  <c r="CV16" i="13"/>
  <c r="FW16" i="13" s="1"/>
  <c r="CV40" i="13"/>
  <c r="FW40" i="13" s="1"/>
  <c r="CV25" i="13"/>
  <c r="FW25" i="13" s="1"/>
  <c r="CV20" i="13"/>
  <c r="FW20" i="13" s="1"/>
  <c r="CV23" i="13"/>
  <c r="FW23" i="13" s="1"/>
  <c r="CV36" i="13"/>
  <c r="FW36" i="13" s="1"/>
  <c r="CV29" i="13"/>
  <c r="FW29" i="13" s="1"/>
  <c r="BX30" i="13"/>
  <c r="BZ28" i="13"/>
  <c r="BQ29" i="8"/>
  <c r="CY29" i="8" s="1"/>
  <c r="BQ20" i="8"/>
  <c r="CY20" i="8" s="1"/>
  <c r="BQ28" i="8"/>
  <c r="CY28" i="8" s="1"/>
  <c r="BQ30" i="8"/>
  <c r="CY30" i="8" s="1"/>
  <c r="BQ24" i="8"/>
  <c r="CY24" i="8" s="1"/>
  <c r="BQ27" i="8"/>
  <c r="CY27" i="8" s="1"/>
  <c r="BQ9" i="8"/>
  <c r="CY9" i="8" s="1"/>
  <c r="BQ26" i="8"/>
  <c r="CY26" i="8" s="1"/>
  <c r="BQ7" i="8"/>
  <c r="CY7" i="8" s="1"/>
  <c r="BQ15" i="8"/>
  <c r="CY15" i="8" s="1"/>
  <c r="BQ11" i="8"/>
  <c r="CY11" i="8" s="1"/>
  <c r="BQ25" i="8"/>
  <c r="CY25" i="8" s="1"/>
  <c r="BQ23" i="8"/>
  <c r="CY23" i="8" s="1"/>
  <c r="BQ38" i="8"/>
  <c r="CY38" i="8" s="1"/>
  <c r="BQ36" i="8"/>
  <c r="CY36" i="8" s="1"/>
  <c r="BQ37" i="8"/>
  <c r="CY37" i="8" s="1"/>
  <c r="BQ21" i="8"/>
  <c r="CY21" i="8" s="1"/>
  <c r="BQ19" i="8"/>
  <c r="CY19" i="8" s="1"/>
  <c r="CZ9" i="13"/>
  <c r="GQ9" i="13" s="1"/>
  <c r="L6" i="20" s="1"/>
  <c r="CZ21" i="13"/>
  <c r="GQ21" i="13" s="1"/>
  <c r="L18" i="20" s="1"/>
  <c r="CZ15" i="13"/>
  <c r="GQ15" i="13" s="1"/>
  <c r="L12" i="20" s="1"/>
  <c r="CZ34" i="13"/>
  <c r="GQ34" i="13" s="1"/>
  <c r="L31" i="20" s="1"/>
  <c r="CZ25" i="13"/>
  <c r="GQ25" i="13" s="1"/>
  <c r="L22" i="20" s="1"/>
  <c r="CZ24" i="13"/>
  <c r="GQ24" i="13" s="1"/>
  <c r="L21" i="20" s="1"/>
  <c r="CZ28" i="13"/>
  <c r="GQ28" i="13" s="1"/>
  <c r="L25" i="20" s="1"/>
  <c r="CZ17" i="13"/>
  <c r="GQ17" i="13" s="1"/>
  <c r="L14" i="20" s="1"/>
  <c r="CZ32" i="13"/>
  <c r="GQ32" i="13" s="1"/>
  <c r="L29" i="20" s="1"/>
  <c r="CZ26" i="13"/>
  <c r="GQ26" i="13" s="1"/>
  <c r="L23" i="20" s="1"/>
  <c r="CZ18" i="13"/>
  <c r="GQ18" i="13" s="1"/>
  <c r="L15" i="20" s="1"/>
  <c r="CZ31" i="13"/>
  <c r="GQ31" i="13" s="1"/>
  <c r="L28" i="20" s="1"/>
  <c r="CZ12" i="13"/>
  <c r="GQ12" i="13" s="1"/>
  <c r="L9" i="20" s="1"/>
  <c r="CZ33" i="13"/>
  <c r="GQ33" i="13" s="1"/>
  <c r="L30" i="20" s="1"/>
  <c r="CZ23" i="13"/>
  <c r="GQ23" i="13" s="1"/>
  <c r="L20" i="20" s="1"/>
  <c r="CZ30" i="13"/>
  <c r="GQ30" i="13" s="1"/>
  <c r="L27" i="20" s="1"/>
  <c r="CZ27" i="13"/>
  <c r="GQ27" i="13" s="1"/>
  <c r="L24" i="20" s="1"/>
  <c r="CZ19" i="13"/>
  <c r="GQ19" i="13" s="1"/>
  <c r="L16" i="20" s="1"/>
  <c r="CZ29" i="13"/>
  <c r="GQ29" i="13" s="1"/>
  <c r="L26" i="20" s="1"/>
  <c r="CZ7" i="13"/>
  <c r="GQ7" i="13" s="1"/>
  <c r="L4" i="20" s="1"/>
  <c r="HY38" i="13"/>
  <c r="ER36" i="8"/>
  <c r="BX26" i="13"/>
  <c r="BZ33" i="13"/>
  <c r="BB31" i="8"/>
  <c r="BE30" i="8"/>
  <c r="BZ37" i="13"/>
  <c r="BE27" i="8"/>
  <c r="BX36" i="13"/>
  <c r="BZ34" i="13"/>
  <c r="CT12" i="13"/>
  <c r="FN12" i="13" s="1"/>
  <c r="CT25" i="13"/>
  <c r="FN25" i="13" s="1"/>
  <c r="CT36" i="13"/>
  <c r="FN36" i="13" s="1"/>
  <c r="CT7" i="13"/>
  <c r="FN7" i="13" s="1"/>
  <c r="CT28" i="13"/>
  <c r="FN28" i="13" s="1"/>
  <c r="CT9" i="13"/>
  <c r="FN9" i="13" s="1"/>
  <c r="CT20" i="13"/>
  <c r="FN20" i="13" s="1"/>
  <c r="CT29" i="13"/>
  <c r="FN29" i="13" s="1"/>
  <c r="CT37" i="13"/>
  <c r="FN37" i="13" s="1"/>
  <c r="CT30" i="13"/>
  <c r="FN30" i="13" s="1"/>
  <c r="CT23" i="13"/>
  <c r="FN23" i="13" s="1"/>
  <c r="CT24" i="13"/>
  <c r="FN24" i="13" s="1"/>
  <c r="CT19" i="13"/>
  <c r="FN19" i="13" s="1"/>
  <c r="CT26" i="13"/>
  <c r="FN26" i="13" s="1"/>
  <c r="CT27" i="13"/>
  <c r="FN27" i="13" s="1"/>
  <c r="CT21" i="13"/>
  <c r="FN21" i="13" s="1"/>
  <c r="CT15" i="13"/>
  <c r="FN15" i="13" s="1"/>
  <c r="CT16" i="13"/>
  <c r="FN16" i="13" s="1"/>
  <c r="CT40" i="13"/>
  <c r="FN40" i="13" s="1"/>
  <c r="CT11" i="13"/>
  <c r="FN11" i="13" s="1"/>
  <c r="BE26" i="8"/>
  <c r="BU26" i="8"/>
  <c r="DR26" i="8" s="1"/>
  <c r="BU9" i="8"/>
  <c r="DR9" i="8" s="1"/>
  <c r="BU18" i="8"/>
  <c r="DR18" i="8" s="1"/>
  <c r="BU24" i="8"/>
  <c r="DR24" i="8" s="1"/>
  <c r="BU19" i="8"/>
  <c r="DR19" i="8" s="1"/>
  <c r="BU15" i="8"/>
  <c r="DR15" i="8" s="1"/>
  <c r="BU27" i="8"/>
  <c r="DR27" i="8" s="1"/>
  <c r="BU11" i="8"/>
  <c r="DR11" i="8" s="1"/>
  <c r="BU40" i="8"/>
  <c r="DR40" i="8" s="1"/>
  <c r="BU29" i="8"/>
  <c r="DR29" i="8" s="1"/>
  <c r="BU37" i="8"/>
  <c r="DR37" i="8" s="1"/>
  <c r="BU20" i="8"/>
  <c r="DR20" i="8" s="1"/>
  <c r="BU21" i="8"/>
  <c r="DR21" i="8" s="1"/>
  <c r="BU36" i="8"/>
  <c r="DR36" i="8" s="1"/>
  <c r="BU16" i="8"/>
  <c r="DR16" i="8" s="1"/>
  <c r="BU39" i="8"/>
  <c r="DR39" i="8" s="1"/>
  <c r="BU13" i="8"/>
  <c r="DR13" i="8" s="1"/>
  <c r="BU25" i="8"/>
  <c r="DR25" i="8" s="1"/>
  <c r="BU30" i="8"/>
  <c r="DR30" i="8" s="1"/>
  <c r="BU12" i="8"/>
  <c r="DR12" i="8" s="1"/>
  <c r="BU7" i="8"/>
  <c r="DR7" i="8" s="1"/>
  <c r="BB30" i="8"/>
  <c r="O21" i="9"/>
  <c r="HY27" i="13"/>
  <c r="ER25" i="8"/>
  <c r="O34" i="9"/>
  <c r="BX27" i="13"/>
  <c r="BZ11" i="13"/>
  <c r="CX42" i="13"/>
  <c r="GG42" i="13" s="1"/>
  <c r="CX18" i="13"/>
  <c r="GG18" i="13" s="1"/>
  <c r="CX27" i="13"/>
  <c r="GG27" i="13" s="1"/>
  <c r="CX19" i="13"/>
  <c r="GG19" i="13" s="1"/>
  <c r="CX36" i="13"/>
  <c r="GG36" i="13" s="1"/>
  <c r="CX9" i="13"/>
  <c r="GG9" i="13" s="1"/>
  <c r="CX25" i="13"/>
  <c r="GG25" i="13" s="1"/>
  <c r="CX30" i="13"/>
  <c r="GG30" i="13" s="1"/>
  <c r="CX21" i="13"/>
  <c r="GG21" i="13" s="1"/>
  <c r="CX37" i="13"/>
  <c r="GG37" i="13" s="1"/>
  <c r="CX11" i="13"/>
  <c r="GG11" i="13" s="1"/>
  <c r="CX41" i="13"/>
  <c r="GG41" i="13" s="1"/>
  <c r="CX15" i="13"/>
  <c r="GG15" i="13" s="1"/>
  <c r="CX12" i="13"/>
  <c r="GG12" i="13" s="1"/>
  <c r="CX13" i="13"/>
  <c r="GG13" i="13" s="1"/>
  <c r="CX24" i="13"/>
  <c r="GG24" i="13" s="1"/>
  <c r="CX16" i="13"/>
  <c r="GG16" i="13" s="1"/>
  <c r="CX29" i="13"/>
  <c r="GG29" i="13" s="1"/>
  <c r="CX20" i="13"/>
  <c r="GG20" i="13" s="1"/>
  <c r="CX26" i="13"/>
  <c r="GG26" i="13" s="1"/>
  <c r="CX7" i="13"/>
  <c r="GG7" i="13" s="1"/>
  <c r="BX31" i="13"/>
  <c r="BZ40" i="13"/>
  <c r="AQ40" i="8"/>
  <c r="BL40" i="13"/>
  <c r="BL37" i="13"/>
  <c r="BL30" i="13"/>
  <c r="BL23" i="13"/>
  <c r="BL25" i="13"/>
  <c r="AY12" i="13"/>
  <c r="AY28" i="13"/>
  <c r="AY33" i="13"/>
  <c r="AY15" i="13"/>
  <c r="AY27" i="13"/>
  <c r="AY34" i="13"/>
  <c r="BL26" i="13"/>
  <c r="BL11" i="13"/>
  <c r="BL24" i="13"/>
  <c r="BL12" i="13"/>
  <c r="BL21" i="13"/>
  <c r="BL34" i="13"/>
  <c r="AY26" i="13"/>
  <c r="AY24" i="13"/>
  <c r="AY16" i="13"/>
  <c r="AY25" i="13"/>
  <c r="AY23" i="13"/>
  <c r="AY11" i="13"/>
  <c r="BL27" i="13"/>
  <c r="BL13" i="13"/>
  <c r="BL28" i="13"/>
  <c r="CM21" i="13"/>
  <c r="CM9" i="13"/>
  <c r="AQ37" i="8"/>
  <c r="BL7" i="13"/>
  <c r="AY7" i="13"/>
  <c r="CM7" i="13"/>
  <c r="DX27" i="16"/>
  <c r="EZ27" i="16" s="1"/>
  <c r="FG27" i="16"/>
  <c r="EQ30" i="16"/>
  <c r="ET29" i="16"/>
  <c r="FH29" i="16" s="1"/>
  <c r="DF29" i="16"/>
  <c r="DC30" i="16"/>
  <c r="CG30" i="16"/>
  <c r="CJ29" i="16"/>
  <c r="AO30" i="16"/>
  <c r="AR29" i="16"/>
  <c r="FF29" i="16" s="1"/>
  <c r="FX26" i="16"/>
  <c r="FP26" i="16"/>
  <c r="BN28" i="16"/>
  <c r="DL28" i="16" s="1"/>
  <c r="BK29" i="16"/>
  <c r="DL57" i="16"/>
  <c r="BJ36" i="13"/>
  <c r="BJ42" i="13"/>
  <c r="BL30" i="8"/>
  <c r="BL26" i="8"/>
  <c r="BL27" i="8"/>
  <c r="BL15" i="8"/>
  <c r="BL12" i="8"/>
  <c r="BL19" i="8"/>
  <c r="BL25" i="8"/>
  <c r="BL24" i="8"/>
  <c r="BL23" i="8"/>
  <c r="BL11" i="8"/>
  <c r="BL16" i="8"/>
  <c r="AT27" i="8"/>
  <c r="AQ27" i="8"/>
  <c r="AQ7" i="8"/>
  <c r="AT7" i="8"/>
  <c r="BO32" i="8"/>
  <c r="BK32" i="8"/>
  <c r="EK42" i="8" s="1"/>
  <c r="EI42" i="8" s="1"/>
  <c r="CK11" i="13"/>
  <c r="CK15" i="13"/>
  <c r="CK24" i="13"/>
  <c r="CK27" i="13"/>
  <c r="CK25" i="13"/>
  <c r="CK12" i="13"/>
  <c r="CK23" i="13"/>
  <c r="CK26" i="13"/>
  <c r="CK16" i="13"/>
  <c r="CK19" i="13"/>
  <c r="CK30" i="13"/>
  <c r="BM27" i="13"/>
  <c r="BM28" i="13"/>
  <c r="AU9" i="13"/>
  <c r="AU41" i="13"/>
  <c r="AW41" i="13" s="1"/>
  <c r="AU37" i="13"/>
  <c r="AU30" i="13"/>
  <c r="AU42" i="13"/>
  <c r="AU40" i="13"/>
  <c r="AU36" i="13"/>
  <c r="AU20" i="13"/>
  <c r="AT28" i="8"/>
  <c r="AQ28" i="8"/>
  <c r="AT26" i="8"/>
  <c r="AQ26" i="8"/>
  <c r="AE30" i="8"/>
  <c r="AE39" i="8"/>
  <c r="AG39" i="8" s="1"/>
  <c r="AE37" i="8"/>
  <c r="AE36" i="8"/>
  <c r="AE40" i="8"/>
  <c r="AE38" i="8"/>
  <c r="AE9" i="8"/>
  <c r="AE20" i="8"/>
  <c r="BM26" i="13"/>
  <c r="BM7" i="13"/>
  <c r="DX13" i="13"/>
  <c r="DU13" i="13" s="1"/>
  <c r="AW13" i="13"/>
  <c r="CN32" i="13"/>
  <c r="CJ32" i="13"/>
  <c r="AD39" i="20" l="1"/>
  <c r="AE4" i="20"/>
  <c r="AK4" i="20" s="1"/>
  <c r="FX64" i="16"/>
  <c r="FP64" i="16"/>
  <c r="FX63" i="16"/>
  <c r="FP63" i="16"/>
  <c r="GG46" i="13"/>
  <c r="BZ26" i="13"/>
  <c r="O20" i="9"/>
  <c r="HY26" i="13"/>
  <c r="ER24" i="8"/>
  <c r="O33" i="9"/>
  <c r="BZ31" i="13"/>
  <c r="BZ36" i="13"/>
  <c r="CR39" i="13"/>
  <c r="FE39" i="13" s="1"/>
  <c r="FE37" i="13" s="1"/>
  <c r="CR30" i="13"/>
  <c r="FE30" i="13" s="1"/>
  <c r="CR29" i="13"/>
  <c r="FE29" i="13" s="1"/>
  <c r="CR20" i="13"/>
  <c r="FE20" i="13" s="1"/>
  <c r="CR11" i="13"/>
  <c r="FE11" i="13" s="1"/>
  <c r="CR24" i="13"/>
  <c r="FE24" i="13" s="1"/>
  <c r="CR41" i="13"/>
  <c r="FE41" i="13" s="1"/>
  <c r="CR12" i="13"/>
  <c r="FE12" i="13" s="1"/>
  <c r="CR16" i="13"/>
  <c r="FE16" i="13" s="1"/>
  <c r="CR9" i="13"/>
  <c r="FE9" i="13" s="1"/>
  <c r="CR15" i="13"/>
  <c r="FE15" i="13" s="1"/>
  <c r="CR28" i="13"/>
  <c r="FE28" i="13" s="1"/>
  <c r="CR36" i="13"/>
  <c r="FE36" i="13" s="1"/>
  <c r="CR27" i="13"/>
  <c r="FE27" i="13" s="1"/>
  <c r="CR7" i="13"/>
  <c r="FE7" i="13" s="1"/>
  <c r="CR31" i="13"/>
  <c r="FE31" i="13" s="1"/>
  <c r="CR42" i="13"/>
  <c r="FE42" i="13" s="1"/>
  <c r="CR26" i="13"/>
  <c r="FE26" i="13" s="1"/>
  <c r="HY37" i="13"/>
  <c r="ER35" i="8"/>
  <c r="BZ30" i="13"/>
  <c r="BZ27" i="13"/>
  <c r="FG57" i="16"/>
  <c r="BL42" i="13"/>
  <c r="BL36" i="13"/>
  <c r="AY41" i="13"/>
  <c r="AY13" i="13"/>
  <c r="HR48" i="13"/>
  <c r="HP48" i="13" s="1"/>
  <c r="CM32" i="13"/>
  <c r="CM30" i="13"/>
  <c r="CM16" i="13"/>
  <c r="CM23" i="13"/>
  <c r="CM25" i="13"/>
  <c r="CM24" i="13"/>
  <c r="CM11" i="13"/>
  <c r="CM19" i="13"/>
  <c r="CM26" i="13"/>
  <c r="CM12" i="13"/>
  <c r="CM27" i="13"/>
  <c r="CM15" i="13"/>
  <c r="DX28" i="16"/>
  <c r="EZ28" i="16" s="1"/>
  <c r="FG28" i="16"/>
  <c r="AR30" i="16"/>
  <c r="FF30" i="16" s="1"/>
  <c r="AO31" i="16"/>
  <c r="CG31" i="16"/>
  <c r="CJ30" i="16"/>
  <c r="ET30" i="16"/>
  <c r="FH30" i="16" s="1"/>
  <c r="EQ31" i="16"/>
  <c r="BK30" i="16"/>
  <c r="BN29" i="16"/>
  <c r="DL29" i="16" s="1"/>
  <c r="DF30" i="16"/>
  <c r="DC31" i="16"/>
  <c r="FP27" i="16"/>
  <c r="FX27" i="16"/>
  <c r="AG9" i="8"/>
  <c r="AG40" i="8"/>
  <c r="AG37" i="8"/>
  <c r="AG30" i="8"/>
  <c r="AZ20" i="13"/>
  <c r="AW20" i="13"/>
  <c r="AW40" i="13"/>
  <c r="AW30" i="13"/>
  <c r="AJ20" i="8"/>
  <c r="AG20" i="8"/>
  <c r="AG38" i="8"/>
  <c r="AG36" i="8"/>
  <c r="AW36" i="13"/>
  <c r="AW42" i="13"/>
  <c r="AW37" i="13"/>
  <c r="AW9" i="13"/>
  <c r="Y19" i="6"/>
  <c r="AM4" i="7"/>
  <c r="AL4" i="7"/>
  <c r="AC20" i="7"/>
  <c r="AE21" i="7"/>
  <c r="H12" i="7"/>
  <c r="AG22" i="7"/>
  <c r="AD22" i="7"/>
  <c r="AE22" i="7"/>
  <c r="AF22" i="7"/>
  <c r="AM10" i="7"/>
  <c r="S7" i="7"/>
  <c r="H10" i="7"/>
  <c r="N10" i="7"/>
  <c r="AI22" i="7" s="1"/>
  <c r="M10" i="7"/>
  <c r="AH22" i="7" s="1"/>
  <c r="AN10" i="7" s="1"/>
  <c r="AO10" i="7" s="1"/>
  <c r="N9" i="7"/>
  <c r="M9" i="7"/>
  <c r="N8" i="7"/>
  <c r="Z8" i="7" s="1"/>
  <c r="M8" i="7"/>
  <c r="N7" i="7"/>
  <c r="M7" i="7"/>
  <c r="L9" i="7"/>
  <c r="H11" i="7"/>
  <c r="H8" i="7"/>
  <c r="W8" i="7"/>
  <c r="X8" i="7"/>
  <c r="Z7" i="7"/>
  <c r="W7" i="7"/>
  <c r="S8" i="7"/>
  <c r="T8" i="7"/>
  <c r="J7" i="7"/>
  <c r="H7" i="7" s="1"/>
  <c r="S21" i="6"/>
  <c r="S22" i="6"/>
  <c r="S23" i="6"/>
  <c r="S24" i="6"/>
  <c r="S13" i="6"/>
  <c r="S14" i="6"/>
  <c r="S15" i="6"/>
  <c r="S16" i="6"/>
  <c r="S17" i="6"/>
  <c r="S18" i="6"/>
  <c r="S9" i="6"/>
  <c r="I26" i="6"/>
  <c r="T30" i="6" s="1"/>
  <c r="W30" i="6" s="1"/>
  <c r="N3" i="6"/>
  <c r="M3" i="6"/>
  <c r="O3" i="6" s="1"/>
  <c r="L19" i="6"/>
  <c r="U13" i="6" s="1"/>
  <c r="E11" i="2"/>
  <c r="M20" i="6"/>
  <c r="N20" i="6"/>
  <c r="O20" i="6"/>
  <c r="V14" i="6" s="1"/>
  <c r="G20" i="6"/>
  <c r="H20" i="6"/>
  <c r="L20" i="6"/>
  <c r="U14" i="6" s="1"/>
  <c r="M21" i="6"/>
  <c r="N21" i="6"/>
  <c r="O21" i="6" s="1"/>
  <c r="V15" i="6" s="1"/>
  <c r="G21" i="6"/>
  <c r="H21" i="6"/>
  <c r="I21" i="6" s="1"/>
  <c r="L21" i="6"/>
  <c r="U15" i="6" s="1"/>
  <c r="M22" i="6"/>
  <c r="N22" i="6"/>
  <c r="O22" i="6" s="1"/>
  <c r="V16" i="6" s="1"/>
  <c r="G22" i="6"/>
  <c r="H22" i="6"/>
  <c r="L22" i="6"/>
  <c r="U16" i="6" s="1"/>
  <c r="M23" i="6"/>
  <c r="N23" i="6"/>
  <c r="G23" i="6"/>
  <c r="G24" i="6" s="1"/>
  <c r="H23" i="6"/>
  <c r="L23" i="6"/>
  <c r="U17" i="6" s="1"/>
  <c r="J24" i="6"/>
  <c r="M24" i="6" s="1"/>
  <c r="K24" i="6"/>
  <c r="N24" i="6"/>
  <c r="G19" i="6"/>
  <c r="H19" i="6"/>
  <c r="M19" i="6"/>
  <c r="O19" i="6" s="1"/>
  <c r="V13" i="6" s="1"/>
  <c r="N19" i="6"/>
  <c r="I19" i="6"/>
  <c r="T13" i="6" s="1"/>
  <c r="I9" i="6"/>
  <c r="L9" i="6"/>
  <c r="O9" i="6"/>
  <c r="D24" i="6"/>
  <c r="D35" i="6"/>
  <c r="AI25" i="4"/>
  <c r="AH25" i="4" s="1"/>
  <c r="AI28" i="4"/>
  <c r="L28" i="4"/>
  <c r="P28" i="4" s="1"/>
  <c r="Q28" i="4" s="1"/>
  <c r="AI24" i="4"/>
  <c r="AH24" i="4" s="1"/>
  <c r="AI5" i="4"/>
  <c r="AH5" i="4" s="1"/>
  <c r="AI10" i="4"/>
  <c r="AH10" i="4" s="1"/>
  <c r="AI22" i="4"/>
  <c r="AH22" i="4" s="1"/>
  <c r="G6" i="2"/>
  <c r="G7" i="2"/>
  <c r="G8" i="2"/>
  <c r="E9" i="2"/>
  <c r="G9" i="2"/>
  <c r="AB2" i="1" s="1"/>
  <c r="AB23" i="1" s="1"/>
  <c r="I9" i="2"/>
  <c r="G10" i="2"/>
  <c r="AC2" i="1" s="1"/>
  <c r="G11" i="2"/>
  <c r="M5" i="4"/>
  <c r="U5" i="4"/>
  <c r="Y5" i="4"/>
  <c r="AA5" i="4"/>
  <c r="AC5" i="4"/>
  <c r="AG5" i="4"/>
  <c r="U6" i="4"/>
  <c r="Y6" i="4"/>
  <c r="Z6" i="4"/>
  <c r="AC6" i="4"/>
  <c r="AG6" i="4"/>
  <c r="M9" i="4"/>
  <c r="Q9" i="4"/>
  <c r="U9" i="4"/>
  <c r="Y9" i="4"/>
  <c r="AB9" i="4"/>
  <c r="AC9" i="4" s="1"/>
  <c r="AG9" i="4"/>
  <c r="M10" i="4"/>
  <c r="Q10" i="4"/>
  <c r="T10" i="4"/>
  <c r="U10" i="4" s="1"/>
  <c r="Y10" i="4"/>
  <c r="AB10" i="4"/>
  <c r="AC10" i="4" s="1"/>
  <c r="AG10" i="4"/>
  <c r="M11" i="4"/>
  <c r="Q11" i="4"/>
  <c r="T11" i="4"/>
  <c r="U11" i="4" s="1"/>
  <c r="X11" i="4"/>
  <c r="Y11" i="4"/>
  <c r="AF11" i="4"/>
  <c r="AG11" i="4" s="1"/>
  <c r="M13" i="4"/>
  <c r="Q13" i="4"/>
  <c r="U13" i="4"/>
  <c r="Y13" i="4"/>
  <c r="AC13" i="4"/>
  <c r="AF13" i="4"/>
  <c r="AG13" i="4" s="1"/>
  <c r="M14" i="4"/>
  <c r="Q14" i="4"/>
  <c r="U14" i="4"/>
  <c r="Y14" i="4"/>
  <c r="AF14" i="4"/>
  <c r="AG14" i="4" s="1"/>
  <c r="M15" i="4"/>
  <c r="Q15" i="4"/>
  <c r="M16" i="4"/>
  <c r="Q16" i="4"/>
  <c r="U16" i="4"/>
  <c r="Y16" i="4"/>
  <c r="M17" i="4"/>
  <c r="Q17" i="4"/>
  <c r="T17" i="4"/>
  <c r="U17" i="4" s="1"/>
  <c r="Y17" i="4"/>
  <c r="AB17" i="4"/>
  <c r="AC17" i="4" s="1"/>
  <c r="AG17" i="4"/>
  <c r="M18" i="4"/>
  <c r="Q18" i="4"/>
  <c r="T18" i="4"/>
  <c r="U18" i="4" s="1"/>
  <c r="Y18" i="4"/>
  <c r="AB18" i="4"/>
  <c r="AC18" i="4" s="1"/>
  <c r="AF18" i="4"/>
  <c r="AG18" i="4" s="1"/>
  <c r="M19" i="4"/>
  <c r="Q19" i="4"/>
  <c r="T19" i="4"/>
  <c r="U19" i="4" s="1"/>
  <c r="Y19" i="4"/>
  <c r="AC19" i="4"/>
  <c r="AF19" i="4"/>
  <c r="AG19" i="4" s="1"/>
  <c r="Q20" i="4"/>
  <c r="M21" i="4"/>
  <c r="T21" i="4"/>
  <c r="U21" i="4" s="1"/>
  <c r="X21" i="4"/>
  <c r="Y21" i="4" s="1"/>
  <c r="AG21" i="4"/>
  <c r="M22" i="4"/>
  <c r="P22" i="4"/>
  <c r="Q22" i="4" s="1"/>
  <c r="T22" i="4"/>
  <c r="U22" i="4"/>
  <c r="Y22" i="4"/>
  <c r="AB22" i="4"/>
  <c r="AC22" i="4" s="1"/>
  <c r="AF22" i="4"/>
  <c r="AG22" i="4" s="1"/>
  <c r="M23" i="4"/>
  <c r="Q23" i="4"/>
  <c r="T23" i="4"/>
  <c r="U23" i="4" s="1"/>
  <c r="Y23" i="4"/>
  <c r="AF23" i="4"/>
  <c r="AG23" i="4"/>
  <c r="M24" i="4"/>
  <c r="U24" i="4"/>
  <c r="Y24" i="4"/>
  <c r="AC24" i="4"/>
  <c r="AG24" i="4"/>
  <c r="M25" i="4"/>
  <c r="U25" i="4"/>
  <c r="Y25" i="4"/>
  <c r="AC25" i="4"/>
  <c r="AG25" i="4"/>
  <c r="M26" i="4"/>
  <c r="U26" i="4"/>
  <c r="Y26" i="4"/>
  <c r="AC26" i="4"/>
  <c r="AG26" i="4"/>
  <c r="M27" i="4"/>
  <c r="Q27" i="4"/>
  <c r="T27" i="4"/>
  <c r="U27" i="4" s="1"/>
  <c r="AB27" i="4"/>
  <c r="AC27" i="4" s="1"/>
  <c r="AG27" i="4"/>
  <c r="M28" i="4"/>
  <c r="AC28" i="4"/>
  <c r="AF28" i="4"/>
  <c r="AG28" i="4"/>
  <c r="M29" i="4"/>
  <c r="U29" i="4"/>
  <c r="X29" i="4"/>
  <c r="Y29" i="4" s="1"/>
  <c r="AB29" i="4"/>
  <c r="AC29" i="4" s="1"/>
  <c r="AF29" i="4"/>
  <c r="AG29" i="4" s="1"/>
  <c r="L30" i="4"/>
  <c r="M30" i="4" s="1"/>
  <c r="U30" i="4"/>
  <c r="AC30" i="4"/>
  <c r="L32" i="4"/>
  <c r="M32" i="4" s="1"/>
  <c r="T32" i="4"/>
  <c r="U32" i="4" s="1"/>
  <c r="X32" i="4"/>
  <c r="Y32" i="4" s="1"/>
  <c r="AC32" i="4"/>
  <c r="AF32" i="4"/>
  <c r="AG32" i="4" s="1"/>
  <c r="Z2" i="1"/>
  <c r="Z23" i="1" s="1"/>
  <c r="AA2" i="1"/>
  <c r="AA19" i="1" s="1"/>
  <c r="I5" i="1"/>
  <c r="L5" i="1"/>
  <c r="Z5" i="1" s="1"/>
  <c r="O5" i="1"/>
  <c r="AA5" i="1" s="1"/>
  <c r="Q5" i="1"/>
  <c r="R5" i="1" s="1"/>
  <c r="U5" i="1"/>
  <c r="I6" i="1"/>
  <c r="K6" i="1"/>
  <c r="L6" i="1" s="1"/>
  <c r="O6" i="1"/>
  <c r="AA6" i="1" s="1"/>
  <c r="Q6" i="1"/>
  <c r="R6" i="1" s="1"/>
  <c r="U6" i="1"/>
  <c r="I7" i="1"/>
  <c r="K7" i="1"/>
  <c r="L7" i="1" s="1"/>
  <c r="N7" i="1"/>
  <c r="O7" i="1" s="1"/>
  <c r="AA7" i="1" s="1"/>
  <c r="T7" i="1"/>
  <c r="U7" i="1" s="1"/>
  <c r="I8" i="1"/>
  <c r="L8" i="1"/>
  <c r="Z8" i="1" s="1"/>
  <c r="O8" i="1"/>
  <c r="R8" i="1"/>
  <c r="T8" i="1"/>
  <c r="U8" i="1" s="1"/>
  <c r="I9" i="1"/>
  <c r="L9" i="1"/>
  <c r="O9" i="1"/>
  <c r="T9" i="1"/>
  <c r="U9" i="1" s="1"/>
  <c r="I10" i="1"/>
  <c r="I11" i="1"/>
  <c r="O11" i="1"/>
  <c r="I12" i="1"/>
  <c r="K12" i="1"/>
  <c r="L12" i="1" s="1"/>
  <c r="O12" i="1"/>
  <c r="AA12" i="1" s="1"/>
  <c r="Q12" i="1"/>
  <c r="R12" i="1" s="1"/>
  <c r="U12" i="1"/>
  <c r="I13" i="1"/>
  <c r="K13" i="1"/>
  <c r="L13" i="1" s="1"/>
  <c r="Z13" i="1" s="1"/>
  <c r="O13" i="1"/>
  <c r="AA13" i="1" s="1"/>
  <c r="Q13" i="1"/>
  <c r="R13" i="1" s="1"/>
  <c r="AB13" i="1" s="1"/>
  <c r="T13" i="1"/>
  <c r="U13" i="1"/>
  <c r="I14" i="1"/>
  <c r="K14" i="1"/>
  <c r="L14" i="1" s="1"/>
  <c r="O14" i="1"/>
  <c r="AA14" i="1" s="1"/>
  <c r="R14" i="1"/>
  <c r="T14" i="1"/>
  <c r="U14" i="1" s="1"/>
  <c r="I15" i="1"/>
  <c r="U15" i="1"/>
  <c r="AA15" i="1"/>
  <c r="K16" i="1"/>
  <c r="L16" i="1" s="1"/>
  <c r="N16" i="1"/>
  <c r="O16" i="1" s="1"/>
  <c r="AA16" i="1" s="1"/>
  <c r="U16" i="1"/>
  <c r="H17" i="1"/>
  <c r="I17" i="1"/>
  <c r="K17" i="1"/>
  <c r="L17" i="1" s="1"/>
  <c r="O17" i="1"/>
  <c r="AA17" i="1" s="1"/>
  <c r="Q17" i="1"/>
  <c r="R17" i="1" s="1"/>
  <c r="T17" i="1"/>
  <c r="U17" i="1" s="1"/>
  <c r="I18" i="1"/>
  <c r="K18" i="1"/>
  <c r="L18" i="1" s="1"/>
  <c r="Z18" i="1" s="1"/>
  <c r="O18" i="1"/>
  <c r="T18" i="1"/>
  <c r="U18" i="1" s="1"/>
  <c r="I19" i="1"/>
  <c r="K19" i="1"/>
  <c r="L19" i="1" s="1"/>
  <c r="Z19" i="1" s="1"/>
  <c r="Q19" i="1"/>
  <c r="R19" i="1" s="1"/>
  <c r="U19" i="1"/>
  <c r="H20" i="1"/>
  <c r="I20" i="1" s="1"/>
  <c r="Q20" i="1"/>
  <c r="R20" i="1" s="1"/>
  <c r="T20" i="1"/>
  <c r="U20" i="1" s="1"/>
  <c r="AA20" i="1"/>
  <c r="L21" i="1"/>
  <c r="Z21" i="1" s="1"/>
  <c r="N21" i="1"/>
  <c r="O21" i="1" s="1"/>
  <c r="AA21" i="1" s="1"/>
  <c r="Q21" i="1"/>
  <c r="R21" i="1" s="1"/>
  <c r="AB21" i="1" s="1"/>
  <c r="T21" i="1"/>
  <c r="U21" i="1"/>
  <c r="L22" i="1"/>
  <c r="Z22" i="1" s="1"/>
  <c r="R22" i="1"/>
  <c r="AA22" i="1"/>
  <c r="K24" i="1"/>
  <c r="L24" i="1" s="1"/>
  <c r="Z24" i="1" s="1"/>
  <c r="N24" i="1"/>
  <c r="O24" i="1" s="1"/>
  <c r="AA24" i="1" s="1"/>
  <c r="R24" i="1"/>
  <c r="T24" i="1"/>
  <c r="U24" i="1" s="1"/>
  <c r="AC19" i="1" l="1"/>
  <c r="AC23" i="1"/>
  <c r="AC15" i="1"/>
  <c r="AC22" i="1"/>
  <c r="AC7" i="1"/>
  <c r="AC6" i="1"/>
  <c r="AC17" i="1"/>
  <c r="AC14" i="1"/>
  <c r="O24" i="6"/>
  <c r="V18" i="6" s="1"/>
  <c r="AC9" i="1"/>
  <c r="AB22" i="1"/>
  <c r="AB19" i="1"/>
  <c r="L24" i="6"/>
  <c r="U18" i="6" s="1"/>
  <c r="AC8" i="1"/>
  <c r="AB24" i="1"/>
  <c r="P9" i="6"/>
  <c r="I23" i="6"/>
  <c r="AC16" i="1"/>
  <c r="O23" i="6"/>
  <c r="V17" i="6" s="1"/>
  <c r="AB16" i="1"/>
  <c r="AB14" i="1"/>
  <c r="AM2" i="4"/>
  <c r="AM6" i="4" s="1"/>
  <c r="GL3" i="13"/>
  <c r="FR3" i="13"/>
  <c r="EZ3" i="13"/>
  <c r="GB3" i="13"/>
  <c r="FI3" i="13"/>
  <c r="EQ3" i="13"/>
  <c r="CT3" i="8"/>
  <c r="DM3" i="8"/>
  <c r="DC3" i="8"/>
  <c r="DN30" i="8"/>
  <c r="Z16" i="1"/>
  <c r="Z9" i="1"/>
  <c r="Z6" i="1"/>
  <c r="AM10" i="4"/>
  <c r="P19" i="6"/>
  <c r="HY25" i="13"/>
  <c r="ER23" i="8"/>
  <c r="O32" i="9"/>
  <c r="Y8" i="7"/>
  <c r="CP39" i="13"/>
  <c r="EV39" i="13" s="1"/>
  <c r="EV37" i="13" s="1"/>
  <c r="CP28" i="13"/>
  <c r="EV28" i="13" s="1"/>
  <c r="CP9" i="13"/>
  <c r="EV9" i="13" s="1"/>
  <c r="CP26" i="13"/>
  <c r="EV26" i="13" s="1"/>
  <c r="CP7" i="13"/>
  <c r="EV7" i="13" s="1"/>
  <c r="CP30" i="13"/>
  <c r="EV30" i="13" s="1"/>
  <c r="CP29" i="13"/>
  <c r="EV29" i="13" s="1"/>
  <c r="CP27" i="13"/>
  <c r="EV27" i="13" s="1"/>
  <c r="CP12" i="13"/>
  <c r="EV12" i="13" s="1"/>
  <c r="CP11" i="13"/>
  <c r="EV11" i="13" s="1"/>
  <c r="CP24" i="13"/>
  <c r="EV24" i="13" s="1"/>
  <c r="CP20" i="13"/>
  <c r="EV20" i="13" s="1"/>
  <c r="CP16" i="13"/>
  <c r="EV16" i="13" s="1"/>
  <c r="CP41" i="13"/>
  <c r="EV41" i="13" s="1"/>
  <c r="CP17" i="13"/>
  <c r="EV17" i="13" s="1"/>
  <c r="CP42" i="13"/>
  <c r="EV42" i="13" s="1"/>
  <c r="CP15" i="13"/>
  <c r="EV15" i="13" s="1"/>
  <c r="CP31" i="13"/>
  <c r="EV31" i="13" s="1"/>
  <c r="CP36" i="13"/>
  <c r="EV36" i="13" s="1"/>
  <c r="AB18" i="1"/>
  <c r="Z7" i="1"/>
  <c r="AD7" i="1" s="1"/>
  <c r="AM23" i="4"/>
  <c r="AB20" i="1"/>
  <c r="AA18" i="1"/>
  <c r="Z17" i="1"/>
  <c r="Z15" i="1"/>
  <c r="AB12" i="1"/>
  <c r="AP2" i="4"/>
  <c r="AP18" i="4" s="1"/>
  <c r="GO3" i="13"/>
  <c r="GO31" i="13" s="1"/>
  <c r="J28" i="20" s="1"/>
  <c r="GE3" i="13"/>
  <c r="FL3" i="13"/>
  <c r="ET3" i="13"/>
  <c r="FC3" i="13"/>
  <c r="FU3" i="13"/>
  <c r="CW3" i="8"/>
  <c r="DF3" i="8"/>
  <c r="DP3" i="8"/>
  <c r="AD9" i="1"/>
  <c r="AO23" i="4"/>
  <c r="AL2" i="4"/>
  <c r="AL19" i="4" s="1"/>
  <c r="GK3" i="13"/>
  <c r="FQ3" i="13"/>
  <c r="EY3" i="13"/>
  <c r="GA3" i="13"/>
  <c r="FH3" i="13"/>
  <c r="EP3" i="13"/>
  <c r="DB3" i="8"/>
  <c r="CS3" i="8"/>
  <c r="DL3" i="8"/>
  <c r="Z20" i="1"/>
  <c r="AB17" i="1"/>
  <c r="AB15" i="1"/>
  <c r="Z14" i="1"/>
  <c r="Z12" i="1"/>
  <c r="Y2" i="1"/>
  <c r="Y8" i="1" s="1"/>
  <c r="AD8" i="1" s="1"/>
  <c r="AM17" i="4"/>
  <c r="AQ2" i="4"/>
  <c r="AQ6" i="4" s="1"/>
  <c r="GP3" i="13"/>
  <c r="GP15" i="13" s="1"/>
  <c r="K12" i="20" s="1"/>
  <c r="GF3" i="13"/>
  <c r="FM3" i="13"/>
  <c r="EU3" i="13"/>
  <c r="FV3" i="13"/>
  <c r="FD3" i="13"/>
  <c r="CX3" i="8"/>
  <c r="DQ3" i="8"/>
  <c r="DG3" i="8"/>
  <c r="AC20" i="1"/>
  <c r="AC12" i="1"/>
  <c r="AM28" i="4"/>
  <c r="AA23" i="1"/>
  <c r="AB8" i="1"/>
  <c r="AC5" i="1"/>
  <c r="AN27" i="4"/>
  <c r="AN9" i="4"/>
  <c r="DN9" i="8"/>
  <c r="GP27" i="13"/>
  <c r="K24" i="20" s="1"/>
  <c r="AC21" i="1"/>
  <c r="AC18" i="1"/>
  <c r="AC13" i="1"/>
  <c r="AB5" i="1"/>
  <c r="AM27" i="4"/>
  <c r="AQ24" i="4"/>
  <c r="AM9" i="4"/>
  <c r="AO2" i="4"/>
  <c r="AO6" i="4" s="1"/>
  <c r="GN3" i="13"/>
  <c r="GN42" i="13" s="1"/>
  <c r="I37" i="20" s="1"/>
  <c r="FB3" i="13"/>
  <c r="FK3" i="13"/>
  <c r="FT3" i="13"/>
  <c r="GD3" i="13"/>
  <c r="ES3" i="13"/>
  <c r="CV3" i="8"/>
  <c r="DO3" i="8"/>
  <c r="DE3" i="8"/>
  <c r="H24" i="6"/>
  <c r="I24" i="6" s="1"/>
  <c r="AC24" i="1"/>
  <c r="AO22" i="4"/>
  <c r="AM18" i="4"/>
  <c r="AQ5" i="4"/>
  <c r="AN2" i="4"/>
  <c r="AN32" i="4" s="1"/>
  <c r="GM3" i="13"/>
  <c r="GM41" i="13" s="1"/>
  <c r="H36" i="20" s="1"/>
  <c r="FS3" i="13"/>
  <c r="FA3" i="13"/>
  <c r="GC3" i="13"/>
  <c r="GC30" i="13" s="1"/>
  <c r="FJ3" i="13"/>
  <c r="ER3" i="13"/>
  <c r="CU3" i="8"/>
  <c r="DN3" i="8"/>
  <c r="DN38" i="8" s="1"/>
  <c r="DD3" i="8"/>
  <c r="GP12" i="13"/>
  <c r="K9" i="20" s="1"/>
  <c r="AP26" i="4"/>
  <c r="AM13" i="4"/>
  <c r="AO10" i="4"/>
  <c r="I22" i="6"/>
  <c r="T16" i="6" s="1"/>
  <c r="W16" i="6" s="1"/>
  <c r="I20" i="6"/>
  <c r="P20" i="6" s="1"/>
  <c r="HY36" i="13"/>
  <c r="ER34" i="8"/>
  <c r="AY40" i="13"/>
  <c r="AY37" i="13"/>
  <c r="AY42" i="13"/>
  <c r="AY36" i="13"/>
  <c r="AY30" i="13"/>
  <c r="AY20" i="13"/>
  <c r="AY9" i="13"/>
  <c r="DF31" i="16"/>
  <c r="DC32" i="16"/>
  <c r="BN30" i="16"/>
  <c r="DL30" i="16" s="1"/>
  <c r="BK31" i="16"/>
  <c r="CJ31" i="16"/>
  <c r="CG32" i="16"/>
  <c r="FG29" i="16"/>
  <c r="DX29" i="16"/>
  <c r="EZ29" i="16" s="1"/>
  <c r="ET31" i="16"/>
  <c r="FH31" i="16" s="1"/>
  <c r="EQ32" i="16"/>
  <c r="AR31" i="16"/>
  <c r="FF31" i="16" s="1"/>
  <c r="AO32" i="16"/>
  <c r="FX28" i="16"/>
  <c r="FP28" i="16"/>
  <c r="AN28" i="4"/>
  <c r="U9" i="6"/>
  <c r="AP31" i="4"/>
  <c r="AO27" i="4"/>
  <c r="AO28" i="4"/>
  <c r="AO30" i="4"/>
  <c r="AO31" i="4"/>
  <c r="AM5" i="4"/>
  <c r="AM21" i="4"/>
  <c r="AM24" i="4"/>
  <c r="AM25" i="4"/>
  <c r="AM26" i="4"/>
  <c r="AM29" i="4"/>
  <c r="AM30" i="4"/>
  <c r="AM31" i="4"/>
  <c r="AM32" i="4"/>
  <c r="V9" i="6"/>
  <c r="T9" i="6"/>
  <c r="AC7" i="7"/>
  <c r="AH7" i="7" s="1"/>
  <c r="W13" i="6"/>
  <c r="T17" i="6"/>
  <c r="P23" i="6"/>
  <c r="T15" i="6"/>
  <c r="P21" i="6"/>
  <c r="X7" i="7"/>
  <c r="Y7" i="7" s="1"/>
  <c r="H9" i="7"/>
  <c r="T7" i="7"/>
  <c r="U7" i="7" s="1"/>
  <c r="GM9" i="13" l="1"/>
  <c r="H6" i="20" s="1"/>
  <c r="GC36" i="13"/>
  <c r="GM37" i="13"/>
  <c r="H34" i="20" s="1"/>
  <c r="GM13" i="13"/>
  <c r="H10" i="20" s="1"/>
  <c r="GO30" i="13"/>
  <c r="J27" i="20" s="1"/>
  <c r="DN20" i="8"/>
  <c r="AO19" i="4"/>
  <c r="AO25" i="4"/>
  <c r="AO32" i="4"/>
  <c r="AP29" i="4"/>
  <c r="Y18" i="1"/>
  <c r="AD18" i="1" s="1"/>
  <c r="AI7" i="7"/>
  <c r="Y20" i="1"/>
  <c r="AD20" i="1" s="1"/>
  <c r="GP30" i="13"/>
  <c r="K27" i="20" s="1"/>
  <c r="T14" i="6"/>
  <c r="AN31" i="4"/>
  <c r="AR31" i="4" s="1"/>
  <c r="AN24" i="4"/>
  <c r="AN5" i="4"/>
  <c r="AO18" i="4"/>
  <c r="AP30" i="4"/>
  <c r="AN25" i="4"/>
  <c r="GO26" i="13"/>
  <c r="J23" i="20" s="1"/>
  <c r="AN29" i="4"/>
  <c r="AN11" i="4"/>
  <c r="AM19" i="4"/>
  <c r="GO27" i="13"/>
  <c r="J24" i="20" s="1"/>
  <c r="GP23" i="13"/>
  <c r="K20" i="20" s="1"/>
  <c r="GP25" i="13"/>
  <c r="K22" i="20" s="1"/>
  <c r="AO21" i="4"/>
  <c r="GO36" i="13"/>
  <c r="J33" i="20" s="1"/>
  <c r="AP25" i="4"/>
  <c r="T18" i="6"/>
  <c r="W18" i="6" s="1"/>
  <c r="P24" i="6"/>
  <c r="ES39" i="13"/>
  <c r="ES23" i="13"/>
  <c r="ES36" i="13"/>
  <c r="ES21" i="13"/>
  <c r="ES9" i="13"/>
  <c r="ES42" i="13"/>
  <c r="ES15" i="13"/>
  <c r="ES7" i="13"/>
  <c r="ES13" i="13"/>
  <c r="ES30" i="13"/>
  <c r="ES29" i="13"/>
  <c r="ES41" i="13"/>
  <c r="ES34" i="13"/>
  <c r="ES19" i="13"/>
  <c r="ES33" i="13"/>
  <c r="ES16" i="13"/>
  <c r="ES32" i="13"/>
  <c r="ES12" i="13"/>
  <c r="ES31" i="13"/>
  <c r="ES27" i="13"/>
  <c r="ES24" i="13"/>
  <c r="ES40" i="13"/>
  <c r="ES38" i="13"/>
  <c r="ES11" i="13"/>
  <c r="ES20" i="13"/>
  <c r="ES17" i="13"/>
  <c r="ES25" i="13"/>
  <c r="ES28" i="13"/>
  <c r="ES26" i="13"/>
  <c r="AQ32" i="4"/>
  <c r="AL23" i="4"/>
  <c r="AL9" i="4"/>
  <c r="AP17" i="4"/>
  <c r="AP23" i="4"/>
  <c r="GM20" i="13"/>
  <c r="H17" i="20" s="1"/>
  <c r="GC40" i="13"/>
  <c r="DD15" i="8"/>
  <c r="DD7" i="8"/>
  <c r="DD24" i="8"/>
  <c r="DD13" i="8"/>
  <c r="DD19" i="8"/>
  <c r="DD25" i="8"/>
  <c r="DD21" i="8"/>
  <c r="DD12" i="8"/>
  <c r="DD23" i="8"/>
  <c r="DD11" i="8"/>
  <c r="DD29" i="8"/>
  <c r="DD28" i="8"/>
  <c r="DD32" i="8"/>
  <c r="DD18" i="8"/>
  <c r="DD34" i="8"/>
  <c r="DD26" i="8"/>
  <c r="DD31" i="8"/>
  <c r="DD8" i="8"/>
  <c r="DD16" i="8"/>
  <c r="DD27" i="8"/>
  <c r="DD33" i="8"/>
  <c r="DD38" i="8"/>
  <c r="DD9" i="8"/>
  <c r="DD36" i="8"/>
  <c r="DD40" i="8"/>
  <c r="DD37" i="8"/>
  <c r="DD30" i="8"/>
  <c r="DD20" i="8"/>
  <c r="AQ10" i="4"/>
  <c r="FT16" i="13"/>
  <c r="FT9" i="13"/>
  <c r="FT21" i="13"/>
  <c r="FT20" i="13"/>
  <c r="FT12" i="13"/>
  <c r="FT23" i="13"/>
  <c r="FT15" i="13"/>
  <c r="FT19" i="13"/>
  <c r="FT40" i="13"/>
  <c r="FT8" i="13"/>
  <c r="FT33" i="13"/>
  <c r="FT11" i="13"/>
  <c r="FT13" i="13"/>
  <c r="FT32" i="13"/>
  <c r="FT25" i="13"/>
  <c r="FT34" i="13"/>
  <c r="FT31" i="13"/>
  <c r="FT24" i="13"/>
  <c r="FT18" i="13"/>
  <c r="FT30" i="13"/>
  <c r="FT29" i="13"/>
  <c r="FT27" i="13"/>
  <c r="FT28" i="13"/>
  <c r="FT7" i="13"/>
  <c r="FT36" i="13"/>
  <c r="FT26" i="13"/>
  <c r="FT37" i="13"/>
  <c r="FT42" i="13"/>
  <c r="AQ22" i="4"/>
  <c r="AN14" i="4"/>
  <c r="AO11" i="4"/>
  <c r="AL15" i="4"/>
  <c r="FC24" i="13"/>
  <c r="FC11" i="13"/>
  <c r="FC23" i="13"/>
  <c r="FC41" i="13"/>
  <c r="FC42" i="13"/>
  <c r="FC12" i="13"/>
  <c r="FC20" i="13"/>
  <c r="FC32" i="13"/>
  <c r="FC36" i="13"/>
  <c r="FC40" i="13"/>
  <c r="FC31" i="13"/>
  <c r="FC9" i="13"/>
  <c r="FC38" i="13"/>
  <c r="FC30" i="13"/>
  <c r="FC15" i="13"/>
  <c r="FC39" i="13"/>
  <c r="FC29" i="13"/>
  <c r="FC27" i="13"/>
  <c r="FC13" i="13"/>
  <c r="FC21" i="13"/>
  <c r="FC7" i="13"/>
  <c r="FC19" i="13"/>
  <c r="FC33" i="13"/>
  <c r="FC28" i="13"/>
  <c r="FC25" i="13"/>
  <c r="FC34" i="13"/>
  <c r="FC26" i="13"/>
  <c r="FC16" i="13"/>
  <c r="AP27" i="4"/>
  <c r="AR27" i="4" s="1"/>
  <c r="AQ29" i="4"/>
  <c r="GP11" i="13"/>
  <c r="K8" i="20" s="1"/>
  <c r="AL5" i="4"/>
  <c r="AQ35" i="4" s="1"/>
  <c r="L14" i="6" s="1"/>
  <c r="CT9" i="8"/>
  <c r="CT40" i="8"/>
  <c r="CT36" i="8"/>
  <c r="CT37" i="8"/>
  <c r="CT39" i="8"/>
  <c r="CT38" i="8"/>
  <c r="CT34" i="8"/>
  <c r="CT25" i="8"/>
  <c r="CT12" i="8"/>
  <c r="CT7" i="8"/>
  <c r="CT21" i="8"/>
  <c r="CT29" i="8"/>
  <c r="CT27" i="8"/>
  <c r="CT13" i="8"/>
  <c r="CT20" i="8"/>
  <c r="CT23" i="8"/>
  <c r="CT24" i="8"/>
  <c r="CT28" i="8"/>
  <c r="CT30" i="8"/>
  <c r="CT16" i="8"/>
  <c r="CT32" i="8"/>
  <c r="CT31" i="8"/>
  <c r="CT26" i="8"/>
  <c r="CT15" i="8"/>
  <c r="CT11" i="8"/>
  <c r="CT19" i="8"/>
  <c r="AN22" i="4"/>
  <c r="AO29" i="4"/>
  <c r="GC9" i="13"/>
  <c r="AL10" i="4"/>
  <c r="AP21" i="4"/>
  <c r="GC20" i="13"/>
  <c r="AL16" i="4"/>
  <c r="DN31" i="8"/>
  <c r="DN19" i="8"/>
  <c r="DN17" i="8"/>
  <c r="DN18" i="8"/>
  <c r="DN28" i="8"/>
  <c r="DN34" i="8"/>
  <c r="DN21" i="8"/>
  <c r="DN15" i="8"/>
  <c r="DN7" i="8"/>
  <c r="DN29" i="8"/>
  <c r="DN13" i="8"/>
  <c r="DN16" i="8"/>
  <c r="DN12" i="8"/>
  <c r="DN11" i="8"/>
  <c r="DN27" i="8"/>
  <c r="DN24" i="8"/>
  <c r="DN33" i="8"/>
  <c r="DN25" i="8"/>
  <c r="DN26" i="8"/>
  <c r="DN23" i="8"/>
  <c r="DN39" i="8"/>
  <c r="FK13" i="13"/>
  <c r="FK12" i="13"/>
  <c r="FK26" i="13"/>
  <c r="FK15" i="13"/>
  <c r="FK41" i="13"/>
  <c r="FK24" i="13"/>
  <c r="FK40" i="13"/>
  <c r="FK19" i="13"/>
  <c r="FK37" i="13"/>
  <c r="FK25" i="13"/>
  <c r="FK7" i="13"/>
  <c r="FK42" i="13"/>
  <c r="FK23" i="13"/>
  <c r="FK11" i="13"/>
  <c r="FK30" i="13"/>
  <c r="FK21" i="13"/>
  <c r="FK36" i="13"/>
  <c r="FK20" i="13"/>
  <c r="FK34" i="13"/>
  <c r="FK32" i="13"/>
  <c r="FK28" i="13"/>
  <c r="FK9" i="13"/>
  <c r="FK31" i="13"/>
  <c r="FK27" i="13"/>
  <c r="FK29" i="13"/>
  <c r="FK16" i="13"/>
  <c r="AL25" i="4"/>
  <c r="DG20" i="8"/>
  <c r="DG27" i="8"/>
  <c r="DG26" i="8"/>
  <c r="DG31" i="8"/>
  <c r="DG21" i="8"/>
  <c r="DG12" i="8"/>
  <c r="DG9" i="8"/>
  <c r="DG24" i="8"/>
  <c r="DG19" i="8"/>
  <c r="DG29" i="8"/>
  <c r="DG7" i="8"/>
  <c r="DG16" i="8"/>
  <c r="DG11" i="8"/>
  <c r="DG13" i="8"/>
  <c r="DG25" i="8"/>
  <c r="DG34" i="8"/>
  <c r="DG15" i="8"/>
  <c r="DG33" i="8"/>
  <c r="DG28" i="8"/>
  <c r="DG8" i="8"/>
  <c r="DG23" i="8"/>
  <c r="DG37" i="8"/>
  <c r="DG36" i="8"/>
  <c r="DG40" i="8"/>
  <c r="DG38" i="8"/>
  <c r="DG32" i="8"/>
  <c r="DG30" i="8"/>
  <c r="DL36" i="8"/>
  <c r="DL39" i="8"/>
  <c r="DL40" i="8"/>
  <c r="DL38" i="8"/>
  <c r="DL37" i="8"/>
  <c r="DL9" i="8"/>
  <c r="DL33" i="8"/>
  <c r="DL17" i="8"/>
  <c r="DL24" i="8"/>
  <c r="DL30" i="8"/>
  <c r="DL25" i="8"/>
  <c r="DL26" i="8"/>
  <c r="DL29" i="8"/>
  <c r="DL27" i="8"/>
  <c r="DL13" i="8"/>
  <c r="DL7" i="8"/>
  <c r="DL31" i="8"/>
  <c r="DL19" i="8"/>
  <c r="DL12" i="8"/>
  <c r="DL28" i="8"/>
  <c r="DL20" i="8"/>
  <c r="DL15" i="8"/>
  <c r="DL16" i="8"/>
  <c r="DL11" i="8"/>
  <c r="DL21" i="8"/>
  <c r="DL23" i="8"/>
  <c r="DL18" i="8"/>
  <c r="DL34" i="8"/>
  <c r="AO14" i="4"/>
  <c r="AN19" i="4"/>
  <c r="ET32" i="13"/>
  <c r="ET31" i="13"/>
  <c r="ET28" i="13"/>
  <c r="ET12" i="13"/>
  <c r="ET27" i="13"/>
  <c r="ET11" i="13"/>
  <c r="ET42" i="13"/>
  <c r="ET20" i="13"/>
  <c r="ET13" i="13"/>
  <c r="ET17" i="13"/>
  <c r="ET30" i="13"/>
  <c r="ET41" i="13"/>
  <c r="ET39" i="13"/>
  <c r="ET29" i="13"/>
  <c r="ET19" i="13"/>
  <c r="ET7" i="13"/>
  <c r="ET40" i="13"/>
  <c r="ET26" i="13"/>
  <c r="ET16" i="13"/>
  <c r="ET38" i="13"/>
  <c r="ET15" i="13"/>
  <c r="ET36" i="13"/>
  <c r="ET9" i="13"/>
  <c r="ET33" i="13"/>
  <c r="ET25" i="13"/>
  <c r="ET24" i="13"/>
  <c r="ET23" i="13"/>
  <c r="ET34" i="13"/>
  <c r="ET21" i="13"/>
  <c r="AP32" i="4"/>
  <c r="AR32" i="4" s="1"/>
  <c r="GP16" i="13"/>
  <c r="K13" i="20" s="1"/>
  <c r="EQ25" i="13"/>
  <c r="EQ11" i="13"/>
  <c r="EQ23" i="13"/>
  <c r="EQ20" i="13"/>
  <c r="EQ7" i="13"/>
  <c r="EQ17" i="13"/>
  <c r="EQ42" i="13"/>
  <c r="EQ36" i="13"/>
  <c r="EQ13" i="13"/>
  <c r="EQ9" i="13"/>
  <c r="EQ29" i="13"/>
  <c r="EQ21" i="13"/>
  <c r="EQ34" i="13"/>
  <c r="EQ40" i="13"/>
  <c r="EQ33" i="13"/>
  <c r="EQ38" i="13"/>
  <c r="EQ32" i="13"/>
  <c r="EQ28" i="13"/>
  <c r="EQ39" i="13"/>
  <c r="EQ41" i="13"/>
  <c r="EQ19" i="13"/>
  <c r="EQ16" i="13"/>
  <c r="EQ27" i="13"/>
  <c r="EQ31" i="13"/>
  <c r="EQ24" i="13"/>
  <c r="EQ26" i="13"/>
  <c r="EQ12" i="13"/>
  <c r="EQ15" i="13"/>
  <c r="EQ30" i="13"/>
  <c r="AO24" i="4"/>
  <c r="AN10" i="4"/>
  <c r="AR10" i="4" s="1"/>
  <c r="CW15" i="8"/>
  <c r="CW39" i="8"/>
  <c r="CW38" i="8"/>
  <c r="CW40" i="8"/>
  <c r="CW37" i="8"/>
  <c r="CW34" i="8"/>
  <c r="CW36" i="8"/>
  <c r="CW23" i="8"/>
  <c r="CW11" i="8"/>
  <c r="CW29" i="8"/>
  <c r="CW31" i="8"/>
  <c r="CW32" i="8"/>
  <c r="CW26" i="8"/>
  <c r="CW12" i="8"/>
  <c r="CW19" i="8"/>
  <c r="CW13" i="8"/>
  <c r="CW21" i="8"/>
  <c r="CW16" i="8"/>
  <c r="CW25" i="8"/>
  <c r="CW20" i="8"/>
  <c r="CW30" i="8"/>
  <c r="CW27" i="8"/>
  <c r="CW9" i="8"/>
  <c r="CW24" i="8"/>
  <c r="CW28" i="8"/>
  <c r="CW7" i="8"/>
  <c r="AL18" i="4"/>
  <c r="GM40" i="13"/>
  <c r="H35" i="20" s="1"/>
  <c r="GD18" i="13"/>
  <c r="GD20" i="13"/>
  <c r="GD19" i="13"/>
  <c r="GD17" i="13"/>
  <c r="GD31" i="13"/>
  <c r="GD29" i="13"/>
  <c r="GD15" i="13"/>
  <c r="GD33" i="13"/>
  <c r="GD9" i="13"/>
  <c r="GD41" i="13"/>
  <c r="GD16" i="13"/>
  <c r="GD37" i="13"/>
  <c r="GD24" i="13"/>
  <c r="GD28" i="13"/>
  <c r="GD26" i="13"/>
  <c r="GD13" i="13"/>
  <c r="GD40" i="13"/>
  <c r="GD30" i="13"/>
  <c r="GD12" i="13"/>
  <c r="GD11" i="13"/>
  <c r="GD27" i="13"/>
  <c r="GD23" i="13"/>
  <c r="GD21" i="13"/>
  <c r="GD25" i="13"/>
  <c r="GD34" i="13"/>
  <c r="GD7" i="13"/>
  <c r="GD42" i="13"/>
  <c r="GD36" i="13"/>
  <c r="AQ9" i="4"/>
  <c r="AQ19" i="4"/>
  <c r="AQ31" i="4"/>
  <c r="GM30" i="13"/>
  <c r="H27" i="20" s="1"/>
  <c r="AQ17" i="4"/>
  <c r="CU15" i="8"/>
  <c r="CU38" i="8"/>
  <c r="CU40" i="8"/>
  <c r="CU36" i="8"/>
  <c r="CU34" i="8"/>
  <c r="CU37" i="8"/>
  <c r="CU39" i="8"/>
  <c r="CU23" i="8"/>
  <c r="CU9" i="8"/>
  <c r="CU32" i="8"/>
  <c r="CU26" i="8"/>
  <c r="CU12" i="8"/>
  <c r="CU19" i="8"/>
  <c r="CU7" i="8"/>
  <c r="CU21" i="8"/>
  <c r="CU13" i="8"/>
  <c r="CU25" i="8"/>
  <c r="CU20" i="8"/>
  <c r="CU11" i="8"/>
  <c r="CU31" i="8"/>
  <c r="CU30" i="8"/>
  <c r="CU24" i="8"/>
  <c r="CU28" i="8"/>
  <c r="CU27" i="8"/>
  <c r="CU29" i="8"/>
  <c r="CU16" i="8"/>
  <c r="FB29" i="13"/>
  <c r="FB9" i="13"/>
  <c r="FB27" i="13"/>
  <c r="FB26" i="13"/>
  <c r="FB25" i="13"/>
  <c r="FB24" i="13"/>
  <c r="FB7" i="13"/>
  <c r="FB21" i="13"/>
  <c r="FB13" i="13"/>
  <c r="FB23" i="13"/>
  <c r="FB34" i="13"/>
  <c r="FB12" i="13"/>
  <c r="FB11" i="13"/>
  <c r="FB39" i="13"/>
  <c r="FB33" i="13"/>
  <c r="FB20" i="13"/>
  <c r="FB40" i="13"/>
  <c r="FB28" i="13"/>
  <c r="FB16" i="13"/>
  <c r="FB19" i="13"/>
  <c r="FB15" i="13"/>
  <c r="FB36" i="13"/>
  <c r="FB42" i="13"/>
  <c r="FB31" i="13"/>
  <c r="FB30" i="13"/>
  <c r="FB38" i="13"/>
  <c r="FB37" i="13" s="1"/>
  <c r="FB32" i="13"/>
  <c r="FB41" i="13"/>
  <c r="DQ17" i="8"/>
  <c r="DQ33" i="8"/>
  <c r="DQ18" i="8"/>
  <c r="DQ20" i="8"/>
  <c r="DQ13" i="8"/>
  <c r="DQ31" i="8"/>
  <c r="DQ29" i="8"/>
  <c r="DQ34" i="8"/>
  <c r="DQ40" i="8"/>
  <c r="DQ37" i="8"/>
  <c r="DQ36" i="8"/>
  <c r="DQ39" i="8"/>
  <c r="DQ38" i="8"/>
  <c r="DQ28" i="8"/>
  <c r="DQ9" i="8"/>
  <c r="DQ21" i="8"/>
  <c r="DQ7" i="8"/>
  <c r="DQ23" i="8"/>
  <c r="DQ11" i="8"/>
  <c r="DQ24" i="8"/>
  <c r="DQ19" i="8"/>
  <c r="DQ25" i="8"/>
  <c r="DQ15" i="8"/>
  <c r="DQ12" i="8"/>
  <c r="DQ30" i="8"/>
  <c r="DQ27" i="8"/>
  <c r="DQ26" i="8"/>
  <c r="DQ16" i="8"/>
  <c r="AQ18" i="4"/>
  <c r="CS15" i="8"/>
  <c r="CS34" i="8"/>
  <c r="CS36" i="8"/>
  <c r="CS40" i="8"/>
  <c r="CS37" i="8"/>
  <c r="CS38" i="8"/>
  <c r="CS39" i="8"/>
  <c r="CS27" i="8"/>
  <c r="CS31" i="8"/>
  <c r="CS29" i="8"/>
  <c r="CS16" i="8"/>
  <c r="CS25" i="8"/>
  <c r="CS20" i="8"/>
  <c r="CS19" i="8"/>
  <c r="CS9" i="8"/>
  <c r="CS7" i="8"/>
  <c r="CS32" i="8"/>
  <c r="CS12" i="8"/>
  <c r="CS13" i="8"/>
  <c r="CS28" i="8"/>
  <c r="CS26" i="8"/>
  <c r="CS21" i="8"/>
  <c r="CS11" i="8"/>
  <c r="CS24" i="8"/>
  <c r="CS23" i="8"/>
  <c r="CS30" i="8"/>
  <c r="AN17" i="4"/>
  <c r="AQ23" i="4"/>
  <c r="FL30" i="13"/>
  <c r="FL7" i="13"/>
  <c r="FL16" i="13"/>
  <c r="FL25" i="13"/>
  <c r="FL23" i="13"/>
  <c r="FL12" i="13"/>
  <c r="FL21" i="13"/>
  <c r="FL42" i="13"/>
  <c r="FL20" i="13"/>
  <c r="FL41" i="13"/>
  <c r="FL29" i="13"/>
  <c r="FL13" i="13"/>
  <c r="FL40" i="13"/>
  <c r="FL28" i="13"/>
  <c r="FL37" i="13"/>
  <c r="FL27" i="13"/>
  <c r="FL11" i="13"/>
  <c r="FL36" i="13"/>
  <c r="FL26" i="13"/>
  <c r="FL15" i="13"/>
  <c r="FL9" i="13"/>
  <c r="FL34" i="13"/>
  <c r="FL19" i="13"/>
  <c r="FL32" i="13"/>
  <c r="FL31" i="13"/>
  <c r="FL24" i="13"/>
  <c r="DN37" i="8"/>
  <c r="AQ14" i="4"/>
  <c r="GP26" i="13"/>
  <c r="K23" i="20" s="1"/>
  <c r="FI16" i="13"/>
  <c r="FI36" i="13"/>
  <c r="FI20" i="13"/>
  <c r="FI34" i="13"/>
  <c r="FI32" i="13"/>
  <c r="FI7" i="13"/>
  <c r="FI31" i="13"/>
  <c r="FI11" i="13"/>
  <c r="FI29" i="13"/>
  <c r="FI13" i="13"/>
  <c r="FI28" i="13"/>
  <c r="FI19" i="13"/>
  <c r="FI27" i="13"/>
  <c r="FI41" i="13"/>
  <c r="FI26" i="13"/>
  <c r="FI9" i="13"/>
  <c r="FI40" i="13"/>
  <c r="FI24" i="13"/>
  <c r="FI42" i="13"/>
  <c r="FI15" i="13"/>
  <c r="FI30" i="13"/>
  <c r="FI25" i="13"/>
  <c r="FI21" i="13"/>
  <c r="FI23" i="13"/>
  <c r="FI37" i="13"/>
  <c r="FI12" i="13"/>
  <c r="AQ26" i="4"/>
  <c r="Y13" i="1"/>
  <c r="AD13" i="1" s="1"/>
  <c r="AQ13" i="4"/>
  <c r="AQ11" i="4"/>
  <c r="AQ30" i="4"/>
  <c r="AP19" i="4"/>
  <c r="ER31" i="13"/>
  <c r="ER36" i="13"/>
  <c r="ER28" i="13"/>
  <c r="ER9" i="13"/>
  <c r="ER27" i="13"/>
  <c r="ER42" i="13"/>
  <c r="ER39" i="13"/>
  <c r="ER13" i="13"/>
  <c r="ER12" i="13"/>
  <c r="ER40" i="13"/>
  <c r="ER30" i="13"/>
  <c r="ER11" i="13"/>
  <c r="ER38" i="13"/>
  <c r="ER29" i="13"/>
  <c r="ER20" i="13"/>
  <c r="ER7" i="13"/>
  <c r="ER26" i="13"/>
  <c r="ER17" i="13"/>
  <c r="ER25" i="13"/>
  <c r="ER41" i="13"/>
  <c r="ER34" i="13"/>
  <c r="ER33" i="13"/>
  <c r="ER32" i="13"/>
  <c r="ER24" i="13"/>
  <c r="ER23" i="13"/>
  <c r="ER21" i="13"/>
  <c r="ER16" i="13"/>
  <c r="ER15" i="13"/>
  <c r="ER19" i="13"/>
  <c r="AP24" i="4"/>
  <c r="AR24" i="4" s="1"/>
  <c r="GN32" i="13"/>
  <c r="I29" i="20" s="1"/>
  <c r="GN33" i="13"/>
  <c r="I30" i="20" s="1"/>
  <c r="GN20" i="13"/>
  <c r="I17" i="20" s="1"/>
  <c r="GN15" i="13"/>
  <c r="I12" i="20" s="1"/>
  <c r="GN17" i="13"/>
  <c r="I14" i="20" s="1"/>
  <c r="GN29" i="13"/>
  <c r="I26" i="20" s="1"/>
  <c r="GN31" i="13"/>
  <c r="I28" i="20" s="1"/>
  <c r="GN18" i="13"/>
  <c r="I15" i="20" s="1"/>
  <c r="GN19" i="13"/>
  <c r="I16" i="20" s="1"/>
  <c r="GN16" i="13"/>
  <c r="I13" i="20" s="1"/>
  <c r="GN41" i="13"/>
  <c r="I36" i="20" s="1"/>
  <c r="GN9" i="13"/>
  <c r="I6" i="20" s="1"/>
  <c r="GN23" i="13"/>
  <c r="I20" i="20" s="1"/>
  <c r="GN40" i="13"/>
  <c r="I35" i="20" s="1"/>
  <c r="GN24" i="13"/>
  <c r="I21" i="20" s="1"/>
  <c r="GN26" i="13"/>
  <c r="I23" i="20" s="1"/>
  <c r="GN7" i="13"/>
  <c r="I4" i="20" s="1"/>
  <c r="GN37" i="13"/>
  <c r="I34" i="20" s="1"/>
  <c r="GN27" i="13"/>
  <c r="I24" i="20" s="1"/>
  <c r="GN34" i="13"/>
  <c r="I31" i="20" s="1"/>
  <c r="GN25" i="13"/>
  <c r="I22" i="20" s="1"/>
  <c r="GN12" i="13"/>
  <c r="I9" i="20" s="1"/>
  <c r="GN13" i="13"/>
  <c r="I10" i="20" s="1"/>
  <c r="GN30" i="13"/>
  <c r="I27" i="20" s="1"/>
  <c r="GN11" i="13"/>
  <c r="I8" i="20" s="1"/>
  <c r="GN21" i="13"/>
  <c r="I18" i="20" s="1"/>
  <c r="GN28" i="13"/>
  <c r="I25" i="20" s="1"/>
  <c r="CX9" i="8"/>
  <c r="CX38" i="8"/>
  <c r="CX39" i="8"/>
  <c r="CX40" i="8"/>
  <c r="CX34" i="8"/>
  <c r="CX37" i="8"/>
  <c r="CX36" i="8"/>
  <c r="CX11" i="8"/>
  <c r="CX20" i="8"/>
  <c r="CX31" i="8"/>
  <c r="CX16" i="8"/>
  <c r="CX24" i="8"/>
  <c r="CX28" i="8"/>
  <c r="CX30" i="8"/>
  <c r="CX12" i="8"/>
  <c r="CX27" i="8"/>
  <c r="CX23" i="8"/>
  <c r="CX21" i="8"/>
  <c r="CX13" i="8"/>
  <c r="CX7" i="8"/>
  <c r="CX29" i="8"/>
  <c r="CX15" i="8"/>
  <c r="CX26" i="8"/>
  <c r="CX32" i="8"/>
  <c r="CX25" i="8"/>
  <c r="CX19" i="8"/>
  <c r="DB7" i="8"/>
  <c r="DG48" i="8" s="1"/>
  <c r="DB39" i="8"/>
  <c r="DB36" i="8"/>
  <c r="DB38" i="8"/>
  <c r="DB37" i="8"/>
  <c r="DB40" i="8"/>
  <c r="DB9" i="8"/>
  <c r="DB8" i="8"/>
  <c r="DB30" i="8"/>
  <c r="DB16" i="8"/>
  <c r="DB13" i="8"/>
  <c r="DB12" i="8"/>
  <c r="DB23" i="8"/>
  <c r="DB32" i="8"/>
  <c r="DB24" i="8"/>
  <c r="DB19" i="8"/>
  <c r="DB33" i="8"/>
  <c r="DB11" i="8"/>
  <c r="DB15" i="8"/>
  <c r="DB28" i="8"/>
  <c r="DB29" i="8"/>
  <c r="DB20" i="8"/>
  <c r="DB17" i="8"/>
  <c r="DB34" i="8"/>
  <c r="DB31" i="8"/>
  <c r="DB26" i="8"/>
  <c r="DB18" i="8"/>
  <c r="DB27" i="8"/>
  <c r="DB25" i="8"/>
  <c r="DB21" i="8"/>
  <c r="AN26" i="4"/>
  <c r="GE18" i="13"/>
  <c r="GE16" i="13"/>
  <c r="GE13" i="13"/>
  <c r="GE17" i="13"/>
  <c r="GE29" i="13"/>
  <c r="GE23" i="13"/>
  <c r="GE20" i="13"/>
  <c r="GE41" i="13"/>
  <c r="GE19" i="13"/>
  <c r="GE25" i="13"/>
  <c r="GE42" i="13"/>
  <c r="GE33" i="13"/>
  <c r="GE21" i="13"/>
  <c r="GE34" i="13"/>
  <c r="GE11" i="13"/>
  <c r="GE7" i="13"/>
  <c r="GE40" i="13"/>
  <c r="GE28" i="13"/>
  <c r="GE12" i="13"/>
  <c r="GE24" i="13"/>
  <c r="GE37" i="13"/>
  <c r="GE15" i="13"/>
  <c r="GE9" i="13"/>
  <c r="GE26" i="13"/>
  <c r="GE30" i="13"/>
  <c r="GE27" i="13"/>
  <c r="GE31" i="13"/>
  <c r="GE36" i="13"/>
  <c r="DN40" i="8"/>
  <c r="AO17" i="4"/>
  <c r="AO5" i="4"/>
  <c r="GB16" i="13"/>
  <c r="GB33" i="13"/>
  <c r="GB17" i="13"/>
  <c r="GB29" i="13"/>
  <c r="GB9" i="13"/>
  <c r="GB28" i="13"/>
  <c r="GB26" i="13"/>
  <c r="GB25" i="13"/>
  <c r="GB23" i="13"/>
  <c r="GB21" i="13"/>
  <c r="GB20" i="13"/>
  <c r="GB7" i="13"/>
  <c r="GB41" i="13"/>
  <c r="GB19" i="13"/>
  <c r="GB13" i="13"/>
  <c r="GB34" i="13"/>
  <c r="GB15" i="13"/>
  <c r="GB36" i="13"/>
  <c r="GB42" i="13"/>
  <c r="GB24" i="13"/>
  <c r="GB40" i="13"/>
  <c r="GB11" i="13"/>
  <c r="GB27" i="13"/>
  <c r="GB12" i="13"/>
  <c r="GB37" i="13"/>
  <c r="GB18" i="13"/>
  <c r="GB31" i="13"/>
  <c r="GB30" i="13"/>
  <c r="AN18" i="4"/>
  <c r="AR18" i="4" s="1"/>
  <c r="AL31" i="4"/>
  <c r="AL6" i="4"/>
  <c r="DC30" i="8"/>
  <c r="DC37" i="8"/>
  <c r="DC36" i="8"/>
  <c r="DC40" i="8"/>
  <c r="DC32" i="8"/>
  <c r="DC7" i="8"/>
  <c r="DC29" i="8"/>
  <c r="DC27" i="8"/>
  <c r="DC28" i="8"/>
  <c r="DC20" i="8"/>
  <c r="DC26" i="8"/>
  <c r="DC8" i="8"/>
  <c r="DC21" i="8"/>
  <c r="DC24" i="8"/>
  <c r="DC9" i="8"/>
  <c r="DC16" i="8"/>
  <c r="DC25" i="8"/>
  <c r="DC31" i="8"/>
  <c r="DC33" i="8"/>
  <c r="DC19" i="8"/>
  <c r="DC13" i="8"/>
  <c r="DC23" i="8"/>
  <c r="DC12" i="8"/>
  <c r="DC15" i="8"/>
  <c r="DC34" i="8"/>
  <c r="DC11" i="8"/>
  <c r="DC38" i="8"/>
  <c r="FU12" i="13"/>
  <c r="FU40" i="13"/>
  <c r="FU9" i="13"/>
  <c r="FU34" i="13"/>
  <c r="FU33" i="13"/>
  <c r="FU25" i="13"/>
  <c r="FU7" i="13"/>
  <c r="FU11" i="13"/>
  <c r="FU23" i="13"/>
  <c r="FU32" i="13"/>
  <c r="FU21" i="13"/>
  <c r="FU28" i="13"/>
  <c r="FU19" i="13"/>
  <c r="FU13" i="13"/>
  <c r="FU8" i="13"/>
  <c r="FU29" i="13"/>
  <c r="FU15" i="13"/>
  <c r="FU20" i="13"/>
  <c r="FU42" i="13"/>
  <c r="FU16" i="13"/>
  <c r="FU24" i="13"/>
  <c r="FU26" i="13"/>
  <c r="FU27" i="13"/>
  <c r="FU37" i="13"/>
  <c r="FU31" i="13"/>
  <c r="FU36" i="13"/>
  <c r="FU30" i="13"/>
  <c r="DM13" i="8"/>
  <c r="DM36" i="8"/>
  <c r="DM40" i="8"/>
  <c r="DM39" i="8"/>
  <c r="DM28" i="8"/>
  <c r="DM26" i="8"/>
  <c r="DM15" i="8"/>
  <c r="DM21" i="8"/>
  <c r="DM25" i="8"/>
  <c r="DM16" i="8"/>
  <c r="DM20" i="8"/>
  <c r="DM33" i="8"/>
  <c r="DM23" i="8"/>
  <c r="DM34" i="8"/>
  <c r="DM17" i="8"/>
  <c r="DM24" i="8"/>
  <c r="DM9" i="8"/>
  <c r="DM7" i="8"/>
  <c r="DM19" i="8"/>
  <c r="DM29" i="8"/>
  <c r="DM37" i="8"/>
  <c r="DM31" i="8"/>
  <c r="DM12" i="8"/>
  <c r="DM18" i="8"/>
  <c r="DM27" i="8"/>
  <c r="DM11" i="8"/>
  <c r="DM38" i="8"/>
  <c r="DM30" i="8"/>
  <c r="P22" i="6"/>
  <c r="GM36" i="13"/>
  <c r="H33" i="20" s="1"/>
  <c r="FJ15" i="13"/>
  <c r="FJ21" i="13"/>
  <c r="FJ42" i="13"/>
  <c r="FJ12" i="13"/>
  <c r="FJ20" i="13"/>
  <c r="FJ41" i="13"/>
  <c r="FJ29" i="13"/>
  <c r="FJ40" i="13"/>
  <c r="FJ28" i="13"/>
  <c r="FJ37" i="13"/>
  <c r="FJ27" i="13"/>
  <c r="FJ13" i="13"/>
  <c r="FJ16" i="13"/>
  <c r="FJ36" i="13"/>
  <c r="FJ26" i="13"/>
  <c r="FJ34" i="13"/>
  <c r="FJ24" i="13"/>
  <c r="FJ32" i="13"/>
  <c r="FJ19" i="13"/>
  <c r="FJ31" i="13"/>
  <c r="FJ25" i="13"/>
  <c r="FJ7" i="13"/>
  <c r="FJ9" i="13"/>
  <c r="FJ30" i="13"/>
  <c r="FJ23" i="13"/>
  <c r="FJ11" i="13"/>
  <c r="AL27" i="4"/>
  <c r="FD38" i="13"/>
  <c r="FD32" i="13"/>
  <c r="FD31" i="13"/>
  <c r="FD11" i="13"/>
  <c r="FD30" i="13"/>
  <c r="FD41" i="13"/>
  <c r="FD29" i="13"/>
  <c r="FD20" i="13"/>
  <c r="FD21" i="13"/>
  <c r="FD27" i="13"/>
  <c r="FD16" i="13"/>
  <c r="FD26" i="13"/>
  <c r="FD19" i="13"/>
  <c r="FD7" i="13"/>
  <c r="FD25" i="13"/>
  <c r="FD15" i="13"/>
  <c r="FD13" i="13"/>
  <c r="FD24" i="13"/>
  <c r="FD36" i="13"/>
  <c r="FD34" i="13"/>
  <c r="FD23" i="13"/>
  <c r="FD9" i="13"/>
  <c r="FD33" i="13"/>
  <c r="FD28" i="13"/>
  <c r="FD40" i="13"/>
  <c r="FD42" i="13"/>
  <c r="FD39" i="13"/>
  <c r="FD12" i="13"/>
  <c r="AN23" i="4"/>
  <c r="EP31" i="13"/>
  <c r="EP16" i="13"/>
  <c r="EP7" i="13"/>
  <c r="EP39" i="13"/>
  <c r="EP27" i="13"/>
  <c r="EP15" i="13"/>
  <c r="EP21" i="13"/>
  <c r="EP40" i="13"/>
  <c r="EP42" i="13"/>
  <c r="EP36" i="13"/>
  <c r="EP28" i="13"/>
  <c r="EP38" i="13"/>
  <c r="EP37" i="13" s="1"/>
  <c r="EP13" i="13"/>
  <c r="EP9" i="13"/>
  <c r="EP30" i="13"/>
  <c r="EP29" i="13"/>
  <c r="EP32" i="13"/>
  <c r="EP26" i="13"/>
  <c r="EP25" i="13"/>
  <c r="EP11" i="13"/>
  <c r="EP24" i="13"/>
  <c r="EP20" i="13"/>
  <c r="EP23" i="13"/>
  <c r="EP17" i="13"/>
  <c r="EP34" i="13"/>
  <c r="EP12" i="13"/>
  <c r="EP41" i="13"/>
  <c r="EP19" i="13"/>
  <c r="EP33" i="13"/>
  <c r="AQ21" i="4"/>
  <c r="AQ28" i="4"/>
  <c r="GO16" i="13"/>
  <c r="J13" i="20" s="1"/>
  <c r="GO19" i="13"/>
  <c r="J16" i="20" s="1"/>
  <c r="GO20" i="13"/>
  <c r="J17" i="20" s="1"/>
  <c r="GO32" i="13"/>
  <c r="J29" i="20" s="1"/>
  <c r="GO18" i="13"/>
  <c r="J15" i="20" s="1"/>
  <c r="GO13" i="13"/>
  <c r="J10" i="20" s="1"/>
  <c r="GO41" i="13"/>
  <c r="J36" i="20" s="1"/>
  <c r="GO23" i="13"/>
  <c r="J20" i="20" s="1"/>
  <c r="GO29" i="13"/>
  <c r="J26" i="20" s="1"/>
  <c r="GO17" i="13"/>
  <c r="J14" i="20" s="1"/>
  <c r="GO25" i="13"/>
  <c r="J22" i="20" s="1"/>
  <c r="GO42" i="13"/>
  <c r="J37" i="20" s="1"/>
  <c r="GO15" i="13"/>
  <c r="J12" i="20" s="1"/>
  <c r="GO37" i="13"/>
  <c r="J34" i="20" s="1"/>
  <c r="GO24" i="13"/>
  <c r="J21" i="20" s="1"/>
  <c r="GO34" i="13"/>
  <c r="J31" i="20" s="1"/>
  <c r="GO12" i="13"/>
  <c r="J9" i="20" s="1"/>
  <c r="GO11" i="13"/>
  <c r="J8" i="20" s="1"/>
  <c r="GO9" i="13"/>
  <c r="J6" i="20" s="1"/>
  <c r="GO21" i="13"/>
  <c r="J18" i="20" s="1"/>
  <c r="GO28" i="13"/>
  <c r="J25" i="20" s="1"/>
  <c r="GO40" i="13"/>
  <c r="J35" i="20" s="1"/>
  <c r="GO7" i="13"/>
  <c r="J4" i="20" s="1"/>
  <c r="GO33" i="13"/>
  <c r="J30" i="20" s="1"/>
  <c r="AL13" i="4"/>
  <c r="EZ29" i="13"/>
  <c r="EZ41" i="13"/>
  <c r="EZ27" i="13"/>
  <c r="EZ20" i="13"/>
  <c r="EZ25" i="13"/>
  <c r="EZ16" i="13"/>
  <c r="EZ21" i="13"/>
  <c r="EZ24" i="13"/>
  <c r="EZ19" i="13"/>
  <c r="EZ7" i="13"/>
  <c r="EZ39" i="13"/>
  <c r="EZ23" i="13"/>
  <c r="EZ36" i="13"/>
  <c r="EZ40" i="13"/>
  <c r="EZ13" i="13"/>
  <c r="EZ9" i="13"/>
  <c r="EZ38" i="13"/>
  <c r="EZ34" i="13"/>
  <c r="EZ33" i="13"/>
  <c r="EZ28" i="13"/>
  <c r="EZ42" i="13"/>
  <c r="EZ32" i="13"/>
  <c r="EZ31" i="13"/>
  <c r="EZ11" i="13"/>
  <c r="EZ30" i="13"/>
  <c r="EZ12" i="13"/>
  <c r="EZ26" i="13"/>
  <c r="EZ15" i="13"/>
  <c r="Y12" i="1"/>
  <c r="AD12" i="1" s="1"/>
  <c r="GC31" i="13"/>
  <c r="GC17" i="13"/>
  <c r="GC18" i="13"/>
  <c r="GC19" i="13"/>
  <c r="GC29" i="13"/>
  <c r="GC12" i="13"/>
  <c r="GC24" i="13"/>
  <c r="GC33" i="13"/>
  <c r="GC16" i="13"/>
  <c r="GC7" i="13"/>
  <c r="GC15" i="13"/>
  <c r="GC25" i="13"/>
  <c r="GC21" i="13"/>
  <c r="GC27" i="13"/>
  <c r="GC23" i="13"/>
  <c r="GC28" i="13"/>
  <c r="GC26" i="13"/>
  <c r="GC34" i="13"/>
  <c r="GC11" i="13"/>
  <c r="GC13" i="13"/>
  <c r="GC41" i="13"/>
  <c r="FV20" i="13"/>
  <c r="FV21" i="13"/>
  <c r="FV9" i="13"/>
  <c r="FV13" i="13"/>
  <c r="FV8" i="13"/>
  <c r="FV33" i="13"/>
  <c r="FV29" i="13"/>
  <c r="FV31" i="13"/>
  <c r="FV12" i="13"/>
  <c r="FV28" i="13"/>
  <c r="FV27" i="13"/>
  <c r="FV15" i="13"/>
  <c r="FV26" i="13"/>
  <c r="FV7" i="13"/>
  <c r="FV19" i="13"/>
  <c r="FV23" i="13"/>
  <c r="FV25" i="13"/>
  <c r="FV34" i="13"/>
  <c r="FV24" i="13"/>
  <c r="FV16" i="13"/>
  <c r="FV11" i="13"/>
  <c r="FV30" i="13"/>
  <c r="FV36" i="13"/>
  <c r="FV42" i="13"/>
  <c r="FV32" i="13"/>
  <c r="FV40" i="13"/>
  <c r="FV37" i="13"/>
  <c r="FH40" i="13"/>
  <c r="FH28" i="13"/>
  <c r="FH12" i="13"/>
  <c r="FH37" i="13"/>
  <c r="FH27" i="13"/>
  <c r="FH36" i="13"/>
  <c r="FH26" i="13"/>
  <c r="FH13" i="13"/>
  <c r="FH16" i="13"/>
  <c r="FH34" i="13"/>
  <c r="FH24" i="13"/>
  <c r="FH32" i="13"/>
  <c r="FH31" i="13"/>
  <c r="FH11" i="13"/>
  <c r="FH30" i="13"/>
  <c r="FH25" i="13"/>
  <c r="FH15" i="13"/>
  <c r="FH23" i="13"/>
  <c r="FH19" i="13"/>
  <c r="FH20" i="13"/>
  <c r="FH29" i="13"/>
  <c r="FH9" i="13"/>
  <c r="FH7" i="13"/>
  <c r="FH41" i="13"/>
  <c r="FH42" i="13"/>
  <c r="FH21" i="13"/>
  <c r="AL22" i="4"/>
  <c r="FR16" i="13"/>
  <c r="FR27" i="13"/>
  <c r="FR26" i="13"/>
  <c r="FR37" i="13"/>
  <c r="FR25" i="13"/>
  <c r="FR15" i="13"/>
  <c r="FR23" i="13"/>
  <c r="FR42" i="13"/>
  <c r="FR30" i="13"/>
  <c r="FR21" i="13"/>
  <c r="FR19" i="13"/>
  <c r="FR36" i="13"/>
  <c r="FR20" i="13"/>
  <c r="FR7" i="13"/>
  <c r="FR34" i="13"/>
  <c r="FR11" i="13"/>
  <c r="FR13" i="13"/>
  <c r="FR33" i="13"/>
  <c r="FR24" i="13"/>
  <c r="FR32" i="13"/>
  <c r="FR8" i="13"/>
  <c r="FR31" i="13"/>
  <c r="FR29" i="13"/>
  <c r="FR28" i="13"/>
  <c r="FR9" i="13"/>
  <c r="FR12" i="13"/>
  <c r="FR40" i="13"/>
  <c r="AP6" i="4"/>
  <c r="GM42" i="13"/>
  <c r="H37" i="20" s="1"/>
  <c r="FA23" i="13"/>
  <c r="FA40" i="13"/>
  <c r="FA42" i="13"/>
  <c r="FA12" i="13"/>
  <c r="FA38" i="13"/>
  <c r="FA30" i="13"/>
  <c r="FA39" i="13"/>
  <c r="FA29" i="13"/>
  <c r="FA27" i="13"/>
  <c r="FA19" i="13"/>
  <c r="FA13" i="13"/>
  <c r="FA11" i="13"/>
  <c r="FA34" i="13"/>
  <c r="FA41" i="13"/>
  <c r="FA33" i="13"/>
  <c r="FA16" i="13"/>
  <c r="FA21" i="13"/>
  <c r="FA28" i="13"/>
  <c r="FA36" i="13"/>
  <c r="FA7" i="13"/>
  <c r="FA26" i="13"/>
  <c r="FA9" i="13"/>
  <c r="FA25" i="13"/>
  <c r="FA15" i="13"/>
  <c r="FA24" i="13"/>
  <c r="FA31" i="13"/>
  <c r="FA20" i="13"/>
  <c r="FA32" i="13"/>
  <c r="AL11" i="4"/>
  <c r="EU25" i="13"/>
  <c r="EU15" i="13"/>
  <c r="EU40" i="13"/>
  <c r="EU42" i="13"/>
  <c r="EU24" i="13"/>
  <c r="EU21" i="13"/>
  <c r="EU38" i="13"/>
  <c r="EU13" i="13"/>
  <c r="EU23" i="13"/>
  <c r="EU39" i="13"/>
  <c r="EU30" i="13"/>
  <c r="EU41" i="13"/>
  <c r="EU29" i="13"/>
  <c r="EU19" i="13"/>
  <c r="EU34" i="13"/>
  <c r="EU16" i="13"/>
  <c r="EU33" i="13"/>
  <c r="EU12" i="13"/>
  <c r="EU32" i="13"/>
  <c r="EU11" i="13"/>
  <c r="EU31" i="13"/>
  <c r="EU20" i="13"/>
  <c r="EU9" i="13"/>
  <c r="EU28" i="13"/>
  <c r="EU27" i="13"/>
  <c r="EU7" i="13"/>
  <c r="EU26" i="13"/>
  <c r="EU17" i="13"/>
  <c r="EU36" i="13"/>
  <c r="AL28" i="4"/>
  <c r="GA34" i="13"/>
  <c r="GA26" i="13"/>
  <c r="GA18" i="13"/>
  <c r="GA33" i="13"/>
  <c r="GA24" i="13"/>
  <c r="GA31" i="13"/>
  <c r="GA12" i="13"/>
  <c r="GA9" i="13"/>
  <c r="GA17" i="13"/>
  <c r="GA30" i="13"/>
  <c r="GA25" i="13"/>
  <c r="GA7" i="13"/>
  <c r="GA15" i="13"/>
  <c r="GA23" i="13"/>
  <c r="GA21" i="13"/>
  <c r="GA42" i="13"/>
  <c r="GA20" i="13"/>
  <c r="GA36" i="13"/>
  <c r="GA19" i="13"/>
  <c r="GA28" i="13"/>
  <c r="GA11" i="13"/>
  <c r="GA27" i="13"/>
  <c r="GA13" i="13"/>
  <c r="GA29" i="13"/>
  <c r="GA16" i="13"/>
  <c r="GA41" i="13"/>
  <c r="GA40" i="13"/>
  <c r="GA37" i="13"/>
  <c r="AQ25" i="4"/>
  <c r="AR25" i="4" s="1"/>
  <c r="GP24" i="13"/>
  <c r="K21" i="20" s="1"/>
  <c r="AO9" i="4"/>
  <c r="AL26" i="4"/>
  <c r="AL24" i="4"/>
  <c r="GL7" i="13"/>
  <c r="G4" i="20" s="1"/>
  <c r="GL16" i="13"/>
  <c r="G13" i="20" s="1"/>
  <c r="GL41" i="13"/>
  <c r="G36" i="20" s="1"/>
  <c r="GL15" i="13"/>
  <c r="G12" i="20" s="1"/>
  <c r="GL20" i="13"/>
  <c r="G17" i="20" s="1"/>
  <c r="GL18" i="13"/>
  <c r="G15" i="20" s="1"/>
  <c r="GL32" i="13"/>
  <c r="G29" i="20" s="1"/>
  <c r="GL12" i="13"/>
  <c r="G9" i="20" s="1"/>
  <c r="GL36" i="13"/>
  <c r="G33" i="20" s="1"/>
  <c r="GL11" i="13"/>
  <c r="G8" i="20" s="1"/>
  <c r="GL42" i="13"/>
  <c r="G37" i="20" s="1"/>
  <c r="GL28" i="13"/>
  <c r="G25" i="20" s="1"/>
  <c r="GL13" i="13"/>
  <c r="G10" i="20" s="1"/>
  <c r="GL26" i="13"/>
  <c r="G23" i="20" s="1"/>
  <c r="GL23" i="13"/>
  <c r="G20" i="20" s="1"/>
  <c r="GL34" i="13"/>
  <c r="G31" i="20" s="1"/>
  <c r="GL33" i="13"/>
  <c r="G30" i="20" s="1"/>
  <c r="GL24" i="13"/>
  <c r="G21" i="20" s="1"/>
  <c r="GL19" i="13"/>
  <c r="G16" i="20" s="1"/>
  <c r="GL25" i="13"/>
  <c r="G22" i="20" s="1"/>
  <c r="GL9" i="13"/>
  <c r="G6" i="20" s="1"/>
  <c r="GL31" i="13"/>
  <c r="G28" i="20" s="1"/>
  <c r="GL21" i="13"/>
  <c r="G18" i="20" s="1"/>
  <c r="GL29" i="13"/>
  <c r="G26" i="20" s="1"/>
  <c r="GL17" i="13"/>
  <c r="G14" i="20" s="1"/>
  <c r="GL40" i="13"/>
  <c r="G35" i="20" s="1"/>
  <c r="GL27" i="13"/>
  <c r="G24" i="20" s="1"/>
  <c r="GL37" i="13"/>
  <c r="G34" i="20" s="1"/>
  <c r="GL30" i="13"/>
  <c r="G27" i="20" s="1"/>
  <c r="AL32" i="4"/>
  <c r="GC42" i="13"/>
  <c r="FS19" i="13"/>
  <c r="FS25" i="13"/>
  <c r="FS33" i="13"/>
  <c r="FS32" i="13"/>
  <c r="FS7" i="13"/>
  <c r="FS31" i="13"/>
  <c r="FS29" i="13"/>
  <c r="FS28" i="13"/>
  <c r="FS13" i="13"/>
  <c r="FS27" i="13"/>
  <c r="FS15" i="13"/>
  <c r="FS8" i="13"/>
  <c r="FS26" i="13"/>
  <c r="FS12" i="13"/>
  <c r="FS16" i="13"/>
  <c r="FS21" i="13"/>
  <c r="FS23" i="13"/>
  <c r="FS24" i="13"/>
  <c r="FS18" i="13"/>
  <c r="FS34" i="13"/>
  <c r="FS11" i="13"/>
  <c r="FS37" i="13"/>
  <c r="FS40" i="13"/>
  <c r="FS9" i="13"/>
  <c r="FS30" i="13"/>
  <c r="FS36" i="13"/>
  <c r="FS42" i="13"/>
  <c r="FS20" i="13"/>
  <c r="DE38" i="8"/>
  <c r="DE12" i="8"/>
  <c r="DE19" i="8"/>
  <c r="DE11" i="8"/>
  <c r="DE13" i="8"/>
  <c r="DE33" i="8"/>
  <c r="DE32" i="8"/>
  <c r="DE18" i="8"/>
  <c r="DE23" i="8"/>
  <c r="DE8" i="8"/>
  <c r="DE9" i="8"/>
  <c r="DE34" i="8"/>
  <c r="DE25" i="8"/>
  <c r="DE31" i="8"/>
  <c r="DE16" i="8"/>
  <c r="DE21" i="8"/>
  <c r="DE24" i="8"/>
  <c r="DE20" i="8"/>
  <c r="DE15" i="8"/>
  <c r="DE30" i="8"/>
  <c r="DE29" i="8"/>
  <c r="DE27" i="8"/>
  <c r="DE40" i="8"/>
  <c r="DE26" i="8"/>
  <c r="DE7" i="8"/>
  <c r="DE28" i="8"/>
  <c r="DE37" i="8"/>
  <c r="DE36" i="8"/>
  <c r="AP13" i="4"/>
  <c r="GP32" i="13"/>
  <c r="K29" i="20" s="1"/>
  <c r="FM16" i="13"/>
  <c r="FM36" i="13"/>
  <c r="FM21" i="13"/>
  <c r="FM12" i="13"/>
  <c r="FM34" i="13"/>
  <c r="FM20" i="13"/>
  <c r="FM15" i="13"/>
  <c r="FM32" i="13"/>
  <c r="FM31" i="13"/>
  <c r="FM29" i="13"/>
  <c r="FM7" i="13"/>
  <c r="FM28" i="13"/>
  <c r="FM11" i="13"/>
  <c r="FM13" i="13"/>
  <c r="FM27" i="13"/>
  <c r="FM41" i="13"/>
  <c r="FM26" i="13"/>
  <c r="FM40" i="13"/>
  <c r="FM24" i="13"/>
  <c r="FM25" i="13"/>
  <c r="FM9" i="13"/>
  <c r="FM23" i="13"/>
  <c r="FM19" i="13"/>
  <c r="FM30" i="13"/>
  <c r="FM37" i="13"/>
  <c r="FM42" i="13"/>
  <c r="Y16" i="1"/>
  <c r="AD16" i="1" s="1"/>
  <c r="Y23" i="1"/>
  <c r="AD23" i="1" s="1"/>
  <c r="Y24" i="1"/>
  <c r="AD24" i="1" s="1"/>
  <c r="Y15" i="1"/>
  <c r="AD15" i="1" s="1"/>
  <c r="Y21" i="1"/>
  <c r="AD21" i="1" s="1"/>
  <c r="Y5" i="1"/>
  <c r="AD5" i="1" s="1"/>
  <c r="Y17" i="1"/>
  <c r="AD17" i="1" s="1"/>
  <c r="Y22" i="1"/>
  <c r="AD22" i="1" s="1"/>
  <c r="Y14" i="1"/>
  <c r="AD14" i="1" s="1"/>
  <c r="Y19" i="1"/>
  <c r="AD19" i="1" s="1"/>
  <c r="EY39" i="13"/>
  <c r="EY12" i="13"/>
  <c r="EY16" i="13"/>
  <c r="EY42" i="13"/>
  <c r="EY36" i="13"/>
  <c r="EY31" i="13"/>
  <c r="EY9" i="13"/>
  <c r="EY27" i="13"/>
  <c r="EY15" i="13"/>
  <c r="EY13" i="13"/>
  <c r="EY34" i="13"/>
  <c r="EY7" i="13"/>
  <c r="EY33" i="13"/>
  <c r="EY21" i="13"/>
  <c r="EY32" i="13"/>
  <c r="EY26" i="13"/>
  <c r="EY19" i="13"/>
  <c r="EY25" i="13"/>
  <c r="EY11" i="13"/>
  <c r="EY40" i="13"/>
  <c r="EY24" i="13"/>
  <c r="EY41" i="13"/>
  <c r="EY38" i="13"/>
  <c r="EY23" i="13"/>
  <c r="EY20" i="13"/>
  <c r="EY28" i="13"/>
  <c r="EY29" i="13"/>
  <c r="EY30" i="13"/>
  <c r="AP28" i="4"/>
  <c r="AR28" i="4" s="1"/>
  <c r="AL14" i="4"/>
  <c r="AP9" i="4"/>
  <c r="GN36" i="13"/>
  <c r="I33" i="20" s="1"/>
  <c r="AN30" i="4"/>
  <c r="AR30" i="4" s="1"/>
  <c r="AO26" i="4"/>
  <c r="AM22" i="4"/>
  <c r="GM32" i="13"/>
  <c r="H29" i="20" s="1"/>
  <c r="GM31" i="13"/>
  <c r="H28" i="20" s="1"/>
  <c r="GM19" i="13"/>
  <c r="H16" i="20" s="1"/>
  <c r="GM17" i="13"/>
  <c r="H14" i="20" s="1"/>
  <c r="GM29" i="13"/>
  <c r="H26" i="20" s="1"/>
  <c r="GM18" i="13"/>
  <c r="H15" i="20" s="1"/>
  <c r="GM21" i="13"/>
  <c r="H18" i="20" s="1"/>
  <c r="GM12" i="13"/>
  <c r="H9" i="20" s="1"/>
  <c r="GM16" i="13"/>
  <c r="H13" i="20" s="1"/>
  <c r="GM33" i="13"/>
  <c r="H30" i="20" s="1"/>
  <c r="GM7" i="13"/>
  <c r="H4" i="20" s="1"/>
  <c r="GM11" i="13"/>
  <c r="H8" i="20" s="1"/>
  <c r="GM26" i="13"/>
  <c r="H23" i="20" s="1"/>
  <c r="GM34" i="13"/>
  <c r="H31" i="20" s="1"/>
  <c r="GM25" i="13"/>
  <c r="H22" i="20" s="1"/>
  <c r="GM27" i="13"/>
  <c r="H24" i="20" s="1"/>
  <c r="GM15" i="13"/>
  <c r="H12" i="20" s="1"/>
  <c r="GM23" i="13"/>
  <c r="H20" i="20" s="1"/>
  <c r="GM24" i="13"/>
  <c r="H21" i="20" s="1"/>
  <c r="GM28" i="13"/>
  <c r="H25" i="20" s="1"/>
  <c r="DO20" i="8"/>
  <c r="DO15" i="8"/>
  <c r="DO31" i="8"/>
  <c r="DO18" i="8"/>
  <c r="DO33" i="8"/>
  <c r="DO29" i="8"/>
  <c r="DO19" i="8"/>
  <c r="DO17" i="8"/>
  <c r="DO39" i="8"/>
  <c r="DO16" i="8"/>
  <c r="DO9" i="8"/>
  <c r="DO25" i="8"/>
  <c r="DO11" i="8"/>
  <c r="DO38" i="8"/>
  <c r="DO36" i="8"/>
  <c r="DO23" i="8"/>
  <c r="DO24" i="8"/>
  <c r="DO13" i="8"/>
  <c r="DO34" i="8"/>
  <c r="DO30" i="8"/>
  <c r="DO21" i="8"/>
  <c r="DO12" i="8"/>
  <c r="DO28" i="8"/>
  <c r="DO26" i="8"/>
  <c r="DO40" i="8"/>
  <c r="DO37" i="8"/>
  <c r="DO7" i="8"/>
  <c r="DO27" i="8"/>
  <c r="AL21" i="4"/>
  <c r="GF33" i="13"/>
  <c r="GF17" i="13"/>
  <c r="GF18" i="13"/>
  <c r="GF36" i="13"/>
  <c r="GF29" i="13"/>
  <c r="GF34" i="13"/>
  <c r="GF28" i="13"/>
  <c r="GF41" i="13"/>
  <c r="GF31" i="13"/>
  <c r="GF13" i="13"/>
  <c r="GF42" i="13"/>
  <c r="GF40" i="13"/>
  <c r="GF37" i="13"/>
  <c r="GF20" i="13"/>
  <c r="GF7" i="13"/>
  <c r="GF21" i="13"/>
  <c r="GF9" i="13"/>
  <c r="GF23" i="13"/>
  <c r="GF12" i="13"/>
  <c r="GH12" i="13" s="1"/>
  <c r="HJ12" i="13" s="1"/>
  <c r="GF25" i="13"/>
  <c r="GF27" i="13"/>
  <c r="GF24" i="13"/>
  <c r="GF15" i="13"/>
  <c r="GF11" i="13"/>
  <c r="GF30" i="13"/>
  <c r="GF19" i="13"/>
  <c r="GF16" i="13"/>
  <c r="GF26" i="13"/>
  <c r="FQ36" i="13"/>
  <c r="FQ9" i="13"/>
  <c r="FQ31" i="13"/>
  <c r="FQ32" i="13"/>
  <c r="FQ7" i="13"/>
  <c r="FV50" i="13" s="1"/>
  <c r="FQ33" i="13"/>
  <c r="FQ30" i="13"/>
  <c r="FQ25" i="13"/>
  <c r="FQ15" i="13"/>
  <c r="FQ19" i="13"/>
  <c r="FQ23" i="13"/>
  <c r="FQ12" i="13"/>
  <c r="FQ8" i="13"/>
  <c r="FQ21" i="13"/>
  <c r="FQ20" i="13"/>
  <c r="FQ29" i="13"/>
  <c r="FQ17" i="13"/>
  <c r="FQ42" i="13"/>
  <c r="FQ28" i="13"/>
  <c r="FQ11" i="13"/>
  <c r="FQ34" i="13"/>
  <c r="FQ13" i="13"/>
  <c r="FQ41" i="13"/>
  <c r="FQ40" i="13"/>
  <c r="FQ37" i="13"/>
  <c r="FQ16" i="13"/>
  <c r="FQ24" i="13"/>
  <c r="FQ18" i="13"/>
  <c r="FQ27" i="13"/>
  <c r="FQ26" i="13"/>
  <c r="AL30" i="4"/>
  <c r="DP18" i="8"/>
  <c r="DP13" i="8"/>
  <c r="DP16" i="8"/>
  <c r="DP17" i="8"/>
  <c r="DP20" i="8"/>
  <c r="DP39" i="8"/>
  <c r="DP29" i="8"/>
  <c r="DP25" i="8"/>
  <c r="DP23" i="8"/>
  <c r="DP19" i="8"/>
  <c r="DP36" i="8"/>
  <c r="DP21" i="8"/>
  <c r="DP37" i="8"/>
  <c r="DP26" i="8"/>
  <c r="DP33" i="8"/>
  <c r="DP27" i="8"/>
  <c r="DP24" i="8"/>
  <c r="DP7" i="8"/>
  <c r="DP11" i="8"/>
  <c r="DP40" i="8"/>
  <c r="DP9" i="8"/>
  <c r="DP15" i="8"/>
  <c r="DP12" i="8"/>
  <c r="DP34" i="8"/>
  <c r="DP28" i="8"/>
  <c r="DP38" i="8"/>
  <c r="DP31" i="8"/>
  <c r="DP30" i="8"/>
  <c r="AL17" i="4"/>
  <c r="AL29" i="4"/>
  <c r="AP5" i="4"/>
  <c r="AR5" i="4" s="1"/>
  <c r="AR35" i="4" s="1"/>
  <c r="GC37" i="13"/>
  <c r="AN16" i="4"/>
  <c r="AN6" i="4"/>
  <c r="AR6" i="4" s="1"/>
  <c r="CV9" i="8"/>
  <c r="CV38" i="8"/>
  <c r="CV36" i="8"/>
  <c r="CV40" i="8"/>
  <c r="CV37" i="8"/>
  <c r="CV39" i="8"/>
  <c r="CV34" i="8"/>
  <c r="CV27" i="8"/>
  <c r="CV25" i="8"/>
  <c r="CV11" i="8"/>
  <c r="CV20" i="8"/>
  <c r="CV21" i="8"/>
  <c r="CV31" i="8"/>
  <c r="CV7" i="8"/>
  <c r="CV15" i="8"/>
  <c r="CV24" i="8"/>
  <c r="CV28" i="8"/>
  <c r="CV30" i="8"/>
  <c r="CV12" i="8"/>
  <c r="CV13" i="8"/>
  <c r="CV23" i="8"/>
  <c r="CV19" i="8"/>
  <c r="CV26" i="8"/>
  <c r="CV32" i="8"/>
  <c r="CV29" i="8"/>
  <c r="CV16" i="8"/>
  <c r="AP22" i="4"/>
  <c r="DN36" i="8"/>
  <c r="AQ27" i="4"/>
  <c r="GP17" i="13"/>
  <c r="K14" i="20" s="1"/>
  <c r="GP33" i="13"/>
  <c r="K30" i="20" s="1"/>
  <c r="GP40" i="13"/>
  <c r="K35" i="20" s="1"/>
  <c r="GP42" i="13"/>
  <c r="K37" i="20" s="1"/>
  <c r="GP34" i="13"/>
  <c r="K31" i="20" s="1"/>
  <c r="GP31" i="13"/>
  <c r="K28" i="20" s="1"/>
  <c r="GP29" i="13"/>
  <c r="K26" i="20" s="1"/>
  <c r="GP36" i="13"/>
  <c r="K33" i="20" s="1"/>
  <c r="GP20" i="13"/>
  <c r="K17" i="20" s="1"/>
  <c r="GP28" i="13"/>
  <c r="K25" i="20" s="1"/>
  <c r="GP41" i="13"/>
  <c r="K36" i="20" s="1"/>
  <c r="GP37" i="13"/>
  <c r="K34" i="20" s="1"/>
  <c r="GP13" i="13"/>
  <c r="K10" i="20" s="1"/>
  <c r="GP18" i="13"/>
  <c r="K15" i="20" s="1"/>
  <c r="GP9" i="13"/>
  <c r="K6" i="20" s="1"/>
  <c r="GP21" i="13"/>
  <c r="K18" i="20" s="1"/>
  <c r="GP7" i="13"/>
  <c r="K4" i="20" s="1"/>
  <c r="GK36" i="13"/>
  <c r="F33" i="20" s="1"/>
  <c r="GK13" i="13"/>
  <c r="F10" i="20" s="1"/>
  <c r="GK7" i="13"/>
  <c r="F4" i="20" s="1"/>
  <c r="GK17" i="13"/>
  <c r="F14" i="20" s="1"/>
  <c r="GK23" i="13"/>
  <c r="F20" i="20" s="1"/>
  <c r="GK11" i="13"/>
  <c r="F8" i="20" s="1"/>
  <c r="GK25" i="13"/>
  <c r="F22" i="20" s="1"/>
  <c r="GK18" i="13"/>
  <c r="F15" i="20" s="1"/>
  <c r="GK16" i="13"/>
  <c r="F13" i="20" s="1"/>
  <c r="GK34" i="13"/>
  <c r="F31" i="20" s="1"/>
  <c r="GK15" i="13"/>
  <c r="F12" i="20" s="1"/>
  <c r="GK41" i="13"/>
  <c r="F36" i="20" s="1"/>
  <c r="GK9" i="13"/>
  <c r="F6" i="20" s="1"/>
  <c r="GK31" i="13"/>
  <c r="F28" i="20" s="1"/>
  <c r="GK37" i="13"/>
  <c r="F34" i="20" s="1"/>
  <c r="GK32" i="13"/>
  <c r="F29" i="20" s="1"/>
  <c r="GK29" i="13"/>
  <c r="F26" i="20" s="1"/>
  <c r="GK28" i="13"/>
  <c r="F25" i="20" s="1"/>
  <c r="GK42" i="13"/>
  <c r="F37" i="20" s="1"/>
  <c r="GK27" i="13"/>
  <c r="F24" i="20" s="1"/>
  <c r="GK24" i="13"/>
  <c r="F21" i="20" s="1"/>
  <c r="GK40" i="13"/>
  <c r="F35" i="20" s="1"/>
  <c r="GK30" i="13"/>
  <c r="F27" i="20" s="1"/>
  <c r="GK12" i="13"/>
  <c r="F9" i="20" s="1"/>
  <c r="GK26" i="13"/>
  <c r="F23" i="20" s="1"/>
  <c r="GK21" i="13"/>
  <c r="F18" i="20" s="1"/>
  <c r="GK33" i="13"/>
  <c r="F30" i="20" s="1"/>
  <c r="GK19" i="13"/>
  <c r="F16" i="20" s="1"/>
  <c r="DF28" i="8"/>
  <c r="DF40" i="8"/>
  <c r="DF38" i="8"/>
  <c r="DF23" i="8"/>
  <c r="DF21" i="8"/>
  <c r="DF33" i="8"/>
  <c r="DF9" i="8"/>
  <c r="DF11" i="8"/>
  <c r="DF8" i="8"/>
  <c r="DF32" i="8"/>
  <c r="DF19" i="8"/>
  <c r="DF29" i="8"/>
  <c r="DF7" i="8"/>
  <c r="DF24" i="8"/>
  <c r="DF13" i="8"/>
  <c r="DF15" i="8"/>
  <c r="DF25" i="8"/>
  <c r="DF12" i="8"/>
  <c r="DF16" i="8"/>
  <c r="DF20" i="8"/>
  <c r="DF34" i="8"/>
  <c r="DF31" i="8"/>
  <c r="DF26" i="8"/>
  <c r="DF30" i="8"/>
  <c r="DF37" i="8"/>
  <c r="DF36" i="8"/>
  <c r="DF27" i="8"/>
  <c r="AN21" i="4"/>
  <c r="AR21" i="4" s="1"/>
  <c r="GP19" i="13"/>
  <c r="AN13" i="4"/>
  <c r="AR13" i="4" s="1"/>
  <c r="Y6" i="1"/>
  <c r="AD6" i="1" s="1"/>
  <c r="AO16" i="4"/>
  <c r="AO33" i="16"/>
  <c r="AR32" i="16"/>
  <c r="FF32" i="16" s="1"/>
  <c r="ET32" i="16"/>
  <c r="FH32" i="16" s="1"/>
  <c r="EQ33" i="16"/>
  <c r="FG30" i="16"/>
  <c r="DX30" i="16"/>
  <c r="EZ30" i="16" s="1"/>
  <c r="FX29" i="16"/>
  <c r="FP29" i="16"/>
  <c r="CJ32" i="16"/>
  <c r="CG33" i="16"/>
  <c r="BK32" i="16"/>
  <c r="BN31" i="16"/>
  <c r="DL31" i="16" s="1"/>
  <c r="DF32" i="16"/>
  <c r="DC33" i="16"/>
  <c r="AR7" i="7"/>
  <c r="AN7" i="7"/>
  <c r="AC8" i="7"/>
  <c r="W14" i="6"/>
  <c r="AC9" i="7"/>
  <c r="AC10" i="7" s="1"/>
  <c r="W15" i="6"/>
  <c r="AC23" i="7"/>
  <c r="W17" i="6"/>
  <c r="AD7" i="7"/>
  <c r="AE7" i="7"/>
  <c r="AF7" i="7"/>
  <c r="AM7" i="7" s="1"/>
  <c r="AO7" i="7" s="1"/>
  <c r="AG7" i="7"/>
  <c r="W9" i="6"/>
  <c r="GR19" i="13" l="1"/>
  <c r="K16" i="20"/>
  <c r="EY37" i="13"/>
  <c r="GR31" i="13"/>
  <c r="GH37" i="13"/>
  <c r="HJ37" i="13" s="1"/>
  <c r="HJ51" i="13" s="1"/>
  <c r="Q11" i="14" s="1"/>
  <c r="GR37" i="13"/>
  <c r="FF26" i="13"/>
  <c r="HG26" i="13" s="1"/>
  <c r="FX33" i="13"/>
  <c r="ET37" i="13"/>
  <c r="GR12" i="13"/>
  <c r="DS36" i="8"/>
  <c r="DS20" i="8"/>
  <c r="CZ29" i="8"/>
  <c r="GH23" i="13"/>
  <c r="HJ23" i="13" s="1"/>
  <c r="DS9" i="8"/>
  <c r="GH36" i="13"/>
  <c r="HJ36" i="13" s="1"/>
  <c r="HJ50" i="13" s="1"/>
  <c r="Q10" i="14" s="1"/>
  <c r="GR29" i="13"/>
  <c r="GR9" i="13"/>
  <c r="GH19" i="13"/>
  <c r="HJ19" i="13" s="1"/>
  <c r="AR9" i="4"/>
  <c r="DI15" i="8"/>
  <c r="DI8" i="8"/>
  <c r="GR17" i="13"/>
  <c r="GR25" i="13"/>
  <c r="FF34" i="13"/>
  <c r="HG34" i="13" s="1"/>
  <c r="FF16" i="13"/>
  <c r="HG16" i="13" s="1"/>
  <c r="DS30" i="8"/>
  <c r="AR26" i="4"/>
  <c r="FX9" i="13"/>
  <c r="HI9" i="13" s="1"/>
  <c r="FF20" i="13"/>
  <c r="HG20" i="13" s="1"/>
  <c r="FF25" i="13"/>
  <c r="HG25" i="13" s="1"/>
  <c r="DS38" i="8"/>
  <c r="GH30" i="13"/>
  <c r="HJ30" i="13" s="1"/>
  <c r="DG49" i="8"/>
  <c r="FF31" i="13"/>
  <c r="HG31" i="13" s="1"/>
  <c r="FX24" i="13"/>
  <c r="HI24" i="13" s="1"/>
  <c r="FX23" i="13"/>
  <c r="HI23" i="13" s="1"/>
  <c r="EW28" i="13"/>
  <c r="HF28" i="13" s="1"/>
  <c r="FF27" i="13"/>
  <c r="HG27" i="13" s="1"/>
  <c r="GH9" i="13"/>
  <c r="HJ9" i="13" s="1"/>
  <c r="CZ28" i="8"/>
  <c r="CZ38" i="8"/>
  <c r="FX27" i="13"/>
  <c r="HI27" i="13" s="1"/>
  <c r="DI30" i="8"/>
  <c r="EW25" i="13"/>
  <c r="HF25" i="13" s="1"/>
  <c r="AR22" i="4"/>
  <c r="GR15" i="13"/>
  <c r="EU37" i="13"/>
  <c r="GR42" i="13"/>
  <c r="FX25" i="13"/>
  <c r="HI25" i="13" s="1"/>
  <c r="GH33" i="13"/>
  <c r="HJ33" i="13" s="1"/>
  <c r="HJ49" i="13" s="1"/>
  <c r="Q9" i="14" s="1"/>
  <c r="EW33" i="13"/>
  <c r="HF33" i="13" s="1"/>
  <c r="HF49" i="13" s="1"/>
  <c r="M9" i="14" s="1"/>
  <c r="CZ39" i="8"/>
  <c r="DI39" i="8" s="1"/>
  <c r="FC37" i="13"/>
  <c r="FX29" i="13"/>
  <c r="HI29" i="13" s="1"/>
  <c r="DI37" i="8"/>
  <c r="DS7" i="8"/>
  <c r="GR27" i="13"/>
  <c r="GR23" i="13"/>
  <c r="GR41" i="13"/>
  <c r="EW40" i="13"/>
  <c r="HF40" i="13" s="1"/>
  <c r="HF52" i="13" s="1"/>
  <c r="M12" i="14" s="1"/>
  <c r="AR29" i="4"/>
  <c r="GD46" i="13"/>
  <c r="AR11" i="4"/>
  <c r="AR36" i="4" s="1"/>
  <c r="I15" i="6" s="1"/>
  <c r="T22" i="6" s="1"/>
  <c r="GR13" i="13"/>
  <c r="ES37" i="13"/>
  <c r="DS26" i="8"/>
  <c r="FO42" i="13"/>
  <c r="HH42" i="13" s="1"/>
  <c r="HH54" i="13" s="1"/>
  <c r="O14" i="14" s="1"/>
  <c r="FO31" i="13"/>
  <c r="HH31" i="13" s="1"/>
  <c r="DS19" i="8"/>
  <c r="FO24" i="13"/>
  <c r="HH24" i="13" s="1"/>
  <c r="AR17" i="4"/>
  <c r="I14" i="6"/>
  <c r="AS35" i="4"/>
  <c r="EW12" i="13"/>
  <c r="HF12" i="13" s="1"/>
  <c r="FF38" i="13"/>
  <c r="EZ37" i="13"/>
  <c r="CZ24" i="8"/>
  <c r="GR34" i="13"/>
  <c r="FO33" i="13"/>
  <c r="HH33" i="13" s="1"/>
  <c r="HH49" i="13" s="1"/>
  <c r="O9" i="14" s="1"/>
  <c r="HI33" i="13"/>
  <c r="FX15" i="13"/>
  <c r="GH41" i="13"/>
  <c r="HJ41" i="13" s="1"/>
  <c r="HJ53" i="13" s="1"/>
  <c r="Q13" i="14" s="1"/>
  <c r="FF15" i="13"/>
  <c r="HG15" i="13" s="1"/>
  <c r="FF9" i="13"/>
  <c r="HG9" i="13" s="1"/>
  <c r="DS17" i="8"/>
  <c r="DI17" i="8" s="1"/>
  <c r="CZ17" i="8" s="1"/>
  <c r="DI23" i="8"/>
  <c r="GH28" i="13"/>
  <c r="HJ28" i="13" s="1"/>
  <c r="FO40" i="13"/>
  <c r="HH40" i="13" s="1"/>
  <c r="HH52" i="13" s="1"/>
  <c r="O12" i="14" s="1"/>
  <c r="FO32" i="13"/>
  <c r="HH32" i="13" s="1"/>
  <c r="DS11" i="8"/>
  <c r="GR40" i="13"/>
  <c r="EW24" i="13"/>
  <c r="HF24" i="13" s="1"/>
  <c r="EW34" i="13"/>
  <c r="HF34" i="13" s="1"/>
  <c r="DS33" i="8"/>
  <c r="CZ23" i="8"/>
  <c r="CZ37" i="8"/>
  <c r="DI40" i="8"/>
  <c r="DI28" i="8"/>
  <c r="GA46" i="13"/>
  <c r="FX13" i="13"/>
  <c r="HI13" i="13" s="1"/>
  <c r="GH13" i="13"/>
  <c r="HJ13" i="13" s="1"/>
  <c r="FF13" i="13"/>
  <c r="HG13" i="13" s="1"/>
  <c r="DS34" i="8"/>
  <c r="DI13" i="8"/>
  <c r="DG50" i="8"/>
  <c r="FO9" i="13"/>
  <c r="HH9" i="13" s="1"/>
  <c r="FO34" i="13"/>
  <c r="HH34" i="13" s="1"/>
  <c r="DS23" i="8"/>
  <c r="EW31" i="13"/>
  <c r="HF31" i="13" s="1"/>
  <c r="GR16" i="13"/>
  <c r="CZ20" i="8"/>
  <c r="CZ36" i="8"/>
  <c r="DI36" i="8"/>
  <c r="GH40" i="13"/>
  <c r="HJ40" i="13" s="1"/>
  <c r="HJ52" i="13" s="1"/>
  <c r="Q12" i="14" s="1"/>
  <c r="FV53" i="13"/>
  <c r="GH16" i="13"/>
  <c r="HJ16" i="13" s="1"/>
  <c r="GF46" i="13"/>
  <c r="DI7" i="8"/>
  <c r="FX11" i="13"/>
  <c r="FF12" i="13"/>
  <c r="HG12" i="13" s="1"/>
  <c r="FF40" i="13"/>
  <c r="HG40" i="13" s="1"/>
  <c r="HG52" i="13" s="1"/>
  <c r="N12" i="14" s="1"/>
  <c r="DS13" i="8"/>
  <c r="DI19" i="8"/>
  <c r="GH34" i="13"/>
  <c r="HJ34" i="13" s="1"/>
  <c r="FO26" i="13"/>
  <c r="HH26" i="13" s="1"/>
  <c r="FO20" i="13"/>
  <c r="HH20" i="13" s="1"/>
  <c r="GR30" i="13"/>
  <c r="CZ7" i="8"/>
  <c r="EW27" i="13"/>
  <c r="HF27" i="13" s="1"/>
  <c r="EW29" i="13"/>
  <c r="HF29" i="13" s="1"/>
  <c r="CZ19" i="8"/>
  <c r="CZ13" i="8"/>
  <c r="CZ40" i="8"/>
  <c r="AR14" i="4"/>
  <c r="DI9" i="8"/>
  <c r="GH26" i="13"/>
  <c r="HJ26" i="13" s="1"/>
  <c r="DI26" i="8"/>
  <c r="FX20" i="13"/>
  <c r="HI20" i="13" s="1"/>
  <c r="GR7" i="13"/>
  <c r="FX34" i="13"/>
  <c r="HI34" i="13" s="1"/>
  <c r="FF30" i="13"/>
  <c r="HG30" i="13" s="1"/>
  <c r="FF36" i="13"/>
  <c r="HG36" i="13" s="1"/>
  <c r="HG50" i="13" s="1"/>
  <c r="N10" i="14" s="1"/>
  <c r="FF29" i="13"/>
  <c r="HG29" i="13" s="1"/>
  <c r="DS18" i="8"/>
  <c r="DI18" i="8" s="1"/>
  <c r="CZ18" i="8" s="1"/>
  <c r="DI33" i="8"/>
  <c r="CZ33" i="8" s="1"/>
  <c r="DI29" i="8"/>
  <c r="GH17" i="13"/>
  <c r="FO12" i="13"/>
  <c r="HH12" i="13" s="1"/>
  <c r="FO41" i="13"/>
  <c r="FO36" i="13"/>
  <c r="HH36" i="13" s="1"/>
  <c r="HH50" i="13" s="1"/>
  <c r="O10" i="14" s="1"/>
  <c r="DS16" i="8"/>
  <c r="EW16" i="13"/>
  <c r="HF16" i="13" s="1"/>
  <c r="EW9" i="13"/>
  <c r="HF9" i="13" s="1"/>
  <c r="DI32" i="8"/>
  <c r="DS32" i="8" s="1"/>
  <c r="CZ11" i="8"/>
  <c r="CZ27" i="8"/>
  <c r="CZ9" i="8"/>
  <c r="DI38" i="8"/>
  <c r="AR23" i="4"/>
  <c r="AR38" i="4" s="1"/>
  <c r="I17" i="6" s="1"/>
  <c r="T24" i="6" s="1"/>
  <c r="FX32" i="13"/>
  <c r="FO7" i="13"/>
  <c r="EW11" i="13"/>
  <c r="HF11" i="13" s="1"/>
  <c r="CZ16" i="8"/>
  <c r="FV52" i="13"/>
  <c r="FX42" i="13"/>
  <c r="HI42" i="13" s="1"/>
  <c r="HI54" i="13" s="1"/>
  <c r="P14" i="14" s="1"/>
  <c r="GR28" i="13"/>
  <c r="FX12" i="13"/>
  <c r="HI12" i="13" s="1"/>
  <c r="GH29" i="13"/>
  <c r="HJ29" i="13" s="1"/>
  <c r="FF11" i="13"/>
  <c r="HG11" i="13" s="1"/>
  <c r="FF23" i="13"/>
  <c r="HG23" i="13" s="1"/>
  <c r="AQ37" i="4"/>
  <c r="FD37" i="13"/>
  <c r="GH18" i="13"/>
  <c r="FO37" i="13"/>
  <c r="HH37" i="13" s="1"/>
  <c r="HH51" i="13" s="1"/>
  <c r="O11" i="14" s="1"/>
  <c r="FO27" i="13"/>
  <c r="HH27" i="13" s="1"/>
  <c r="EW19" i="13"/>
  <c r="HF19" i="13" s="1"/>
  <c r="EW13" i="13"/>
  <c r="HF13" i="13" s="1"/>
  <c r="CZ15" i="8"/>
  <c r="U21" i="6"/>
  <c r="O14" i="6"/>
  <c r="V21" i="6" s="1"/>
  <c r="FV51" i="13"/>
  <c r="GH11" i="13"/>
  <c r="HJ11" i="13" s="1"/>
  <c r="AQ38" i="4"/>
  <c r="DI27" i="8"/>
  <c r="FX36" i="13"/>
  <c r="HI36" i="13" s="1"/>
  <c r="HI50" i="13" s="1"/>
  <c r="P10" i="14" s="1"/>
  <c r="GR21" i="13"/>
  <c r="FX16" i="13"/>
  <c r="HI16" i="13" s="1"/>
  <c r="FF39" i="13"/>
  <c r="HG39" i="13" s="1"/>
  <c r="DS31" i="8"/>
  <c r="FX31" i="13"/>
  <c r="HI31" i="13" s="1"/>
  <c r="DI25" i="8"/>
  <c r="FO23" i="13"/>
  <c r="HH23" i="13" s="1"/>
  <c r="FO19" i="13"/>
  <c r="HH19" i="13" s="1"/>
  <c r="GR26" i="13"/>
  <c r="EW41" i="13"/>
  <c r="HF41" i="13" s="1"/>
  <c r="HF53" i="13" s="1"/>
  <c r="M13" i="14" s="1"/>
  <c r="EW36" i="13"/>
  <c r="HF36" i="13" s="1"/>
  <c r="HF50" i="13" s="1"/>
  <c r="M10" i="14" s="1"/>
  <c r="CZ26" i="8"/>
  <c r="CZ21" i="8"/>
  <c r="GR11" i="13"/>
  <c r="DI12" i="8"/>
  <c r="DS24" i="8"/>
  <c r="DI31" i="8"/>
  <c r="GH15" i="13"/>
  <c r="HJ15" i="13" s="1"/>
  <c r="DS27" i="8"/>
  <c r="FX30" i="13"/>
  <c r="HI30" i="13" s="1"/>
  <c r="FF32" i="13"/>
  <c r="HG32" i="13" s="1"/>
  <c r="FF7" i="13"/>
  <c r="DI16" i="8"/>
  <c r="GH7" i="13"/>
  <c r="ER37" i="13"/>
  <c r="FO21" i="13"/>
  <c r="FO28" i="13"/>
  <c r="HH28" i="13" s="1"/>
  <c r="EW39" i="13"/>
  <c r="HF39" i="13" s="1"/>
  <c r="EW42" i="13"/>
  <c r="HF42" i="13" s="1"/>
  <c r="HF54" i="13" s="1"/>
  <c r="M14" i="14" s="1"/>
  <c r="FO16" i="13"/>
  <c r="HH16" i="13" s="1"/>
  <c r="GH20" i="13"/>
  <c r="HJ20" i="13" s="1"/>
  <c r="CZ31" i="8"/>
  <c r="FX26" i="13"/>
  <c r="HI26" i="13" s="1"/>
  <c r="AQ36" i="4"/>
  <c r="AS36" i="4" s="1"/>
  <c r="EW23" i="13"/>
  <c r="GC46" i="13"/>
  <c r="GH24" i="13"/>
  <c r="HJ24" i="13" s="1"/>
  <c r="GH42" i="13"/>
  <c r="HJ42" i="13" s="1"/>
  <c r="HJ54" i="13" s="1"/>
  <c r="Q14" i="14" s="1"/>
  <c r="GR24" i="13"/>
  <c r="FX19" i="13"/>
  <c r="HI19" i="13" s="1"/>
  <c r="FF42" i="13"/>
  <c r="HG42" i="13" s="1"/>
  <c r="HG54" i="13" s="1"/>
  <c r="N14" i="14" s="1"/>
  <c r="FF19" i="13"/>
  <c r="HG19" i="13" s="1"/>
  <c r="DS21" i="8"/>
  <c r="GB46" i="13"/>
  <c r="DG51" i="8"/>
  <c r="FO25" i="13"/>
  <c r="HH25" i="13" s="1"/>
  <c r="FO13" i="13"/>
  <c r="HH13" i="13" s="1"/>
  <c r="DS37" i="8"/>
  <c r="DS12" i="8"/>
  <c r="EW17" i="13"/>
  <c r="HF17" i="13" s="1"/>
  <c r="FO29" i="13"/>
  <c r="HH29" i="13" s="1"/>
  <c r="DS29" i="8"/>
  <c r="CZ32" i="8"/>
  <c r="CZ12" i="8"/>
  <c r="GH27" i="13"/>
  <c r="HJ27" i="13" s="1"/>
  <c r="GH31" i="13"/>
  <c r="HJ31" i="13" s="1"/>
  <c r="GR33" i="13"/>
  <c r="FX40" i="13"/>
  <c r="HI40" i="13" s="1"/>
  <c r="HI52" i="13" s="1"/>
  <c r="P12" i="14" s="1"/>
  <c r="FA37" i="13"/>
  <c r="FX21" i="13"/>
  <c r="HI21" i="13" s="1"/>
  <c r="FF28" i="13"/>
  <c r="HG28" i="13" s="1"/>
  <c r="FF24" i="13"/>
  <c r="HG24" i="13" s="1"/>
  <c r="GR36" i="13"/>
  <c r="DI11" i="8"/>
  <c r="DI24" i="8"/>
  <c r="GH21" i="13"/>
  <c r="HJ21" i="13" s="1"/>
  <c r="DS40" i="8"/>
  <c r="FO30" i="13"/>
  <c r="HH30" i="13" s="1"/>
  <c r="DS15" i="8"/>
  <c r="EW30" i="13"/>
  <c r="HF30" i="13" s="1"/>
  <c r="EW32" i="13"/>
  <c r="HF32" i="13" s="1"/>
  <c r="EW7" i="13"/>
  <c r="HF7" i="13" s="1"/>
  <c r="AR19" i="4"/>
  <c r="DS39" i="8"/>
  <c r="CZ25" i="8"/>
  <c r="FX7" i="13"/>
  <c r="DS28" i="8"/>
  <c r="GH25" i="13"/>
  <c r="HJ25" i="13" s="1"/>
  <c r="GR32" i="13"/>
  <c r="FX37" i="13"/>
  <c r="HI37" i="13" s="1"/>
  <c r="HI51" i="13" s="1"/>
  <c r="P11" i="14" s="1"/>
  <c r="FX8" i="13"/>
  <c r="FF33" i="13"/>
  <c r="HG33" i="13" s="1"/>
  <c r="HG49" i="13" s="1"/>
  <c r="N9" i="14" s="1"/>
  <c r="DI34" i="8"/>
  <c r="DI21" i="8"/>
  <c r="GE46" i="13"/>
  <c r="FO15" i="13"/>
  <c r="HH15" i="13" s="1"/>
  <c r="FO11" i="13"/>
  <c r="HH11" i="13" s="1"/>
  <c r="DS25" i="8"/>
  <c r="EW15" i="13"/>
  <c r="HF15" i="13" s="1"/>
  <c r="EW38" i="13"/>
  <c r="EQ37" i="13"/>
  <c r="EW20" i="13"/>
  <c r="HF20" i="13" s="1"/>
  <c r="CZ30" i="8"/>
  <c r="CZ34" i="8"/>
  <c r="FX28" i="13"/>
  <c r="HI28" i="13" s="1"/>
  <c r="DI20" i="8"/>
  <c r="EW26" i="13"/>
  <c r="HF26" i="13" s="1"/>
  <c r="BK33" i="16"/>
  <c r="BN32" i="16"/>
  <c r="DL32" i="16" s="1"/>
  <c r="FX30" i="16"/>
  <c r="FP30" i="16"/>
  <c r="AR33" i="16"/>
  <c r="FF33" i="16" s="1"/>
  <c r="AO34" i="16"/>
  <c r="DC34" i="16"/>
  <c r="DF33" i="16"/>
  <c r="DX31" i="16"/>
  <c r="EZ31" i="16" s="1"/>
  <c r="FG31" i="16"/>
  <c r="CG34" i="16"/>
  <c r="CJ33" i="16"/>
  <c r="EQ34" i="16"/>
  <c r="ET33" i="16"/>
  <c r="FH33" i="16" s="1"/>
  <c r="AK7" i="7"/>
  <c r="AD23" i="7"/>
  <c r="AF23" i="7"/>
  <c r="AH23" i="7"/>
  <c r="AG23" i="7"/>
  <c r="AE23" i="7"/>
  <c r="AI23" i="7"/>
  <c r="AD9" i="7"/>
  <c r="AE9" i="7"/>
  <c r="AG9" i="7"/>
  <c r="AI9" i="7"/>
  <c r="AF9" i="7"/>
  <c r="AH9" i="7"/>
  <c r="AD8" i="7"/>
  <c r="AE8" i="7"/>
  <c r="AF8" i="7"/>
  <c r="AF10" i="7" s="1"/>
  <c r="AG8" i="7"/>
  <c r="AH8" i="7"/>
  <c r="AI8" i="7"/>
  <c r="T21" i="6"/>
  <c r="HF45" i="13" l="1"/>
  <c r="M5" i="14" s="1"/>
  <c r="HK41" i="13"/>
  <c r="HK53" i="13" s="1"/>
  <c r="R13" i="14" s="1"/>
  <c r="M36" i="20"/>
  <c r="AL36" i="20" s="1"/>
  <c r="HL41" i="13" s="1"/>
  <c r="HL53" i="13" s="1"/>
  <c r="S13" i="14" s="1"/>
  <c r="HK25" i="13"/>
  <c r="M22" i="20"/>
  <c r="AL22" i="20" s="1"/>
  <c r="HL25" i="13" s="1"/>
  <c r="HK17" i="13"/>
  <c r="M14" i="20"/>
  <c r="AL14" i="20" s="1"/>
  <c r="HL17" i="13" s="1"/>
  <c r="HK12" i="13"/>
  <c r="M9" i="20"/>
  <c r="AL9" i="20" s="1"/>
  <c r="HL12" i="13" s="1"/>
  <c r="HK24" i="13"/>
  <c r="M21" i="20"/>
  <c r="AL21" i="20" s="1"/>
  <c r="HL24" i="13" s="1"/>
  <c r="HK28" i="13"/>
  <c r="M25" i="20"/>
  <c r="AL25" i="20" s="1"/>
  <c r="HL28" i="13" s="1"/>
  <c r="HK11" i="13"/>
  <c r="M8" i="20"/>
  <c r="AL8" i="20" s="1"/>
  <c r="HL11" i="13" s="1"/>
  <c r="HK30" i="13"/>
  <c r="M27" i="20"/>
  <c r="AL27" i="20" s="1"/>
  <c r="HL30" i="13" s="1"/>
  <c r="HK40" i="13"/>
  <c r="HK52" i="13" s="1"/>
  <c r="R12" i="14" s="1"/>
  <c r="M35" i="20"/>
  <c r="AL35" i="20" s="1"/>
  <c r="HL40" i="13" s="1"/>
  <c r="HL52" i="13" s="1"/>
  <c r="S12" i="14" s="1"/>
  <c r="HK27" i="13"/>
  <c r="M24" i="20"/>
  <c r="AL24" i="20" s="1"/>
  <c r="HL27" i="13" s="1"/>
  <c r="HK21" i="13"/>
  <c r="M18" i="20"/>
  <c r="AL18" i="20" s="1"/>
  <c r="HL21" i="13" s="1"/>
  <c r="HK34" i="13"/>
  <c r="M31" i="20"/>
  <c r="AL31" i="20" s="1"/>
  <c r="HL34" i="13" s="1"/>
  <c r="HK9" i="13"/>
  <c r="M6" i="20"/>
  <c r="AL6" i="20" s="1"/>
  <c r="HL9" i="13" s="1"/>
  <c r="HK37" i="13"/>
  <c r="HK51" i="13" s="1"/>
  <c r="R11" i="14" s="1"/>
  <c r="M34" i="20"/>
  <c r="AL34" i="20" s="1"/>
  <c r="HL37" i="13" s="1"/>
  <c r="HL51" i="13" s="1"/>
  <c r="S11" i="14" s="1"/>
  <c r="HK13" i="13"/>
  <c r="M10" i="20"/>
  <c r="AL10" i="20" s="1"/>
  <c r="HL13" i="13" s="1"/>
  <c r="HK29" i="13"/>
  <c r="M26" i="20"/>
  <c r="AL26" i="20" s="1"/>
  <c r="HL29" i="13" s="1"/>
  <c r="HK15" i="13"/>
  <c r="M12" i="20"/>
  <c r="AL12" i="20" s="1"/>
  <c r="HL15" i="13" s="1"/>
  <c r="HK36" i="13"/>
  <c r="HK50" i="13" s="1"/>
  <c r="R10" i="14" s="1"/>
  <c r="M33" i="20"/>
  <c r="AL33" i="20" s="1"/>
  <c r="HL36" i="13" s="1"/>
  <c r="HL50" i="13" s="1"/>
  <c r="S10" i="14" s="1"/>
  <c r="HK31" i="13"/>
  <c r="M28" i="20"/>
  <c r="AL28" i="20" s="1"/>
  <c r="HL31" i="13" s="1"/>
  <c r="HK33" i="13"/>
  <c r="HK49" i="13" s="1"/>
  <c r="R9" i="14" s="1"/>
  <c r="M30" i="20"/>
  <c r="AL30" i="20" s="1"/>
  <c r="HL33" i="13" s="1"/>
  <c r="HK26" i="13"/>
  <c r="M23" i="20"/>
  <c r="AL23" i="20" s="1"/>
  <c r="HL26" i="13" s="1"/>
  <c r="HK16" i="13"/>
  <c r="M13" i="20"/>
  <c r="AL13" i="20" s="1"/>
  <c r="HL16" i="13" s="1"/>
  <c r="HK23" i="13"/>
  <c r="M20" i="20"/>
  <c r="AL20" i="20" s="1"/>
  <c r="HL23" i="13" s="1"/>
  <c r="HK7" i="13"/>
  <c r="HK45" i="13" s="1"/>
  <c r="R5" i="14" s="1"/>
  <c r="M4" i="20"/>
  <c r="HK32" i="13"/>
  <c r="M29" i="20"/>
  <c r="AL29" i="20" s="1"/>
  <c r="HL32" i="13" s="1"/>
  <c r="HK42" i="13"/>
  <c r="HK54" i="13" s="1"/>
  <c r="R14" i="14" s="1"/>
  <c r="M37" i="20"/>
  <c r="AL37" i="20" s="1"/>
  <c r="HL42" i="13" s="1"/>
  <c r="HL54" i="13" s="1"/>
  <c r="S14" i="14" s="1"/>
  <c r="HK19" i="13"/>
  <c r="M16" i="20"/>
  <c r="AL16" i="20" s="1"/>
  <c r="HL19" i="13" s="1"/>
  <c r="HJ46" i="13"/>
  <c r="Q6" i="14" s="1"/>
  <c r="FV54" i="13"/>
  <c r="HG46" i="13"/>
  <c r="N6" i="14" s="1"/>
  <c r="DG52" i="8"/>
  <c r="DS44" i="8"/>
  <c r="AR37" i="4"/>
  <c r="HH48" i="13"/>
  <c r="O8" i="14" s="1"/>
  <c r="I16" i="6"/>
  <c r="AR39" i="4"/>
  <c r="HG38" i="13"/>
  <c r="FF37" i="13"/>
  <c r="HG37" i="13" s="1"/>
  <c r="HG51" i="13" s="1"/>
  <c r="N11" i="14" s="1"/>
  <c r="DI51" i="8"/>
  <c r="DJ51" i="8" s="1"/>
  <c r="FX53" i="13"/>
  <c r="FY53" i="13" s="1"/>
  <c r="DI50" i="8"/>
  <c r="DJ50" i="8" s="1"/>
  <c r="AI10" i="7"/>
  <c r="HI11" i="13"/>
  <c r="HI46" i="13" s="1"/>
  <c r="P6" i="14" s="1"/>
  <c r="FX51" i="13"/>
  <c r="FY51" i="13" s="1"/>
  <c r="DI48" i="8"/>
  <c r="DI44" i="8"/>
  <c r="AG10" i="7"/>
  <c r="FF21" i="13"/>
  <c r="HH21" i="13"/>
  <c r="HI15" i="13"/>
  <c r="HI49" i="13"/>
  <c r="P9" i="14" s="1"/>
  <c r="CZ44" i="8"/>
  <c r="EW37" i="13"/>
  <c r="HF37" i="13" s="1"/>
  <c r="HF51" i="13" s="1"/>
  <c r="M11" i="14" s="1"/>
  <c r="HF38" i="13"/>
  <c r="HJ7" i="13"/>
  <c r="HJ45" i="13" s="1"/>
  <c r="Q5" i="14" s="1"/>
  <c r="HF46" i="13"/>
  <c r="M6" i="14" s="1"/>
  <c r="W21" i="6"/>
  <c r="HF23" i="13"/>
  <c r="HF48" i="13" s="1"/>
  <c r="M8" i="14" s="1"/>
  <c r="EW35" i="13"/>
  <c r="GR18" i="13"/>
  <c r="FX18" i="13"/>
  <c r="HJ18" i="13"/>
  <c r="HH7" i="13"/>
  <c r="HH45" i="13" s="1"/>
  <c r="O5" i="14" s="1"/>
  <c r="HH41" i="13"/>
  <c r="HH53" i="13" s="1"/>
  <c r="O13" i="14" s="1"/>
  <c r="FX41" i="13"/>
  <c r="HI41" i="13" s="1"/>
  <c r="HI53" i="13" s="1"/>
  <c r="P13" i="14" s="1"/>
  <c r="P14" i="6"/>
  <c r="AD10" i="7"/>
  <c r="L15" i="6"/>
  <c r="AQ39" i="4"/>
  <c r="HG7" i="13"/>
  <c r="HG45" i="13" s="1"/>
  <c r="N5" i="14" s="1"/>
  <c r="AS38" i="4"/>
  <c r="L17" i="6"/>
  <c r="HI32" i="13"/>
  <c r="HI48" i="13" s="1"/>
  <c r="P8" i="14" s="1"/>
  <c r="GH32" i="13"/>
  <c r="HJ32" i="13" s="1"/>
  <c r="HJ48" i="13" s="1"/>
  <c r="Q8" i="14" s="1"/>
  <c r="AE10" i="7"/>
  <c r="AM11" i="7"/>
  <c r="AM9" i="7"/>
  <c r="HH46" i="13"/>
  <c r="O6" i="14" s="1"/>
  <c r="HI7" i="13"/>
  <c r="HI45" i="13" s="1"/>
  <c r="P5" i="14" s="1"/>
  <c r="FX50" i="13"/>
  <c r="DI49" i="8"/>
  <c r="DJ49" i="8" s="1"/>
  <c r="HG48" i="13"/>
  <c r="N8" i="14" s="1"/>
  <c r="AS37" i="4"/>
  <c r="L16" i="6"/>
  <c r="HJ17" i="13"/>
  <c r="FX17" i="13"/>
  <c r="FX46" i="13" s="1"/>
  <c r="ET34" i="16"/>
  <c r="FH34" i="16" s="1"/>
  <c r="EQ35" i="16"/>
  <c r="CJ34" i="16"/>
  <c r="CG35" i="16"/>
  <c r="DF34" i="16"/>
  <c r="DC35" i="16"/>
  <c r="BK34" i="16"/>
  <c r="BN33" i="16"/>
  <c r="DL33" i="16" s="1"/>
  <c r="FP31" i="16"/>
  <c r="FX31" i="16"/>
  <c r="AR34" i="16"/>
  <c r="FF34" i="16" s="1"/>
  <c r="AO35" i="16"/>
  <c r="DX32" i="16"/>
  <c r="EZ32" i="16" s="1"/>
  <c r="FG32" i="16"/>
  <c r="K16" i="14"/>
  <c r="AR8" i="7"/>
  <c r="AN8" i="7"/>
  <c r="AH10" i="7"/>
  <c r="AR9" i="7"/>
  <c r="AN9" i="7"/>
  <c r="AK9" i="7"/>
  <c r="AM8" i="7"/>
  <c r="AO8" i="7" s="1"/>
  <c r="AK8" i="7"/>
  <c r="AN11" i="7"/>
  <c r="HK48" i="13" l="1"/>
  <c r="R8" i="14" s="1"/>
  <c r="HL46" i="13"/>
  <c r="S6" i="14" s="1"/>
  <c r="HL48" i="13"/>
  <c r="S8" i="14" s="1"/>
  <c r="HL49" i="13"/>
  <c r="S9" i="14" s="1"/>
  <c r="AL4" i="20"/>
  <c r="HL7" i="13" s="1"/>
  <c r="HL45" i="13" s="1"/>
  <c r="S5" i="14" s="1"/>
  <c r="HK46" i="13"/>
  <c r="R6" i="14" s="1"/>
  <c r="HK18" i="13"/>
  <c r="HK47" i="13" s="1"/>
  <c r="R7" i="14" s="1"/>
  <c r="M15" i="20"/>
  <c r="AL15" i="20" s="1"/>
  <c r="HL18" i="13" s="1"/>
  <c r="HJ47" i="13"/>
  <c r="Q7" i="14" s="1"/>
  <c r="FX52" i="13"/>
  <c r="FY52" i="13" s="1"/>
  <c r="O17" i="6"/>
  <c r="V24" i="6" s="1"/>
  <c r="U24" i="6"/>
  <c r="W24" i="6" s="1"/>
  <c r="FO18" i="13"/>
  <c r="HI18" i="13"/>
  <c r="FY50" i="13"/>
  <c r="U22" i="6"/>
  <c r="L13" i="6"/>
  <c r="O15" i="6"/>
  <c r="P17" i="6"/>
  <c r="EW21" i="13"/>
  <c r="HF21" i="13" s="1"/>
  <c r="HG21" i="13"/>
  <c r="AO9" i="7"/>
  <c r="FO17" i="13"/>
  <c r="HI17" i="13"/>
  <c r="GH46" i="13"/>
  <c r="T23" i="6"/>
  <c r="I13" i="6"/>
  <c r="AK10" i="7"/>
  <c r="O16" i="6"/>
  <c r="V23" i="6" s="1"/>
  <c r="U23" i="6"/>
  <c r="DI52" i="8"/>
  <c r="DJ48" i="8"/>
  <c r="DJ52" i="8" s="1"/>
  <c r="AO11" i="7"/>
  <c r="AS39" i="4"/>
  <c r="FX32" i="16"/>
  <c r="FP32" i="16"/>
  <c r="AR35" i="16"/>
  <c r="FF35" i="16" s="1"/>
  <c r="AO36" i="16"/>
  <c r="DX33" i="16"/>
  <c r="EZ33" i="16" s="1"/>
  <c r="FG33" i="16"/>
  <c r="BN34" i="16"/>
  <c r="DL34" i="16" s="1"/>
  <c r="BK35" i="16"/>
  <c r="DC36" i="16"/>
  <c r="DF35" i="16"/>
  <c r="CG36" i="16"/>
  <c r="CJ35" i="16"/>
  <c r="EQ36" i="16"/>
  <c r="ET35" i="16"/>
  <c r="FH35" i="16" s="1"/>
  <c r="FX54" i="13" l="1"/>
  <c r="HI47" i="13"/>
  <c r="P7" i="14" s="1"/>
  <c r="FY54" i="13"/>
  <c r="M39" i="20"/>
  <c r="L29" i="6"/>
  <c r="U26" i="6" s="1"/>
  <c r="U20" i="6"/>
  <c r="P16" i="6"/>
  <c r="I29" i="6"/>
  <c r="T20" i="6"/>
  <c r="HH17" i="13"/>
  <c r="FO46" i="13"/>
  <c r="HH18" i="13"/>
  <c r="FF18" i="13"/>
  <c r="O13" i="6"/>
  <c r="P13" i="6" s="1"/>
  <c r="V22" i="6"/>
  <c r="W22" i="6" s="1"/>
  <c r="P15" i="6"/>
  <c r="W23" i="6"/>
  <c r="BK36" i="16"/>
  <c r="BN35" i="16"/>
  <c r="DL35" i="16" s="1"/>
  <c r="ET36" i="16"/>
  <c r="FH36" i="16" s="1"/>
  <c r="EQ37" i="16"/>
  <c r="CG37" i="16"/>
  <c r="CJ36" i="16"/>
  <c r="DF36" i="16"/>
  <c r="DC37" i="16"/>
  <c r="DX34" i="16"/>
  <c r="EZ34" i="16" s="1"/>
  <c r="FG34" i="16"/>
  <c r="FX33" i="16"/>
  <c r="FP33" i="16"/>
  <c r="AO37" i="16"/>
  <c r="AR36" i="16"/>
  <c r="FF36" i="16" s="1"/>
  <c r="HH47" i="13" l="1"/>
  <c r="O7" i="14" s="1"/>
  <c r="O16" i="14" s="1"/>
  <c r="AC12" i="7"/>
  <c r="HG18" i="13"/>
  <c r="HG47" i="13" s="1"/>
  <c r="N7" i="14" s="1"/>
  <c r="EW18" i="13"/>
  <c r="FF46" i="13"/>
  <c r="T26" i="6"/>
  <c r="O29" i="6"/>
  <c r="V26" i="6" s="1"/>
  <c r="V20" i="6"/>
  <c r="W20" i="6" s="1"/>
  <c r="FX34" i="16"/>
  <c r="FP34" i="16"/>
  <c r="DF37" i="16"/>
  <c r="DC38" i="16"/>
  <c r="DF38" i="16" s="1"/>
  <c r="ET37" i="16"/>
  <c r="FH37" i="16" s="1"/>
  <c r="EQ38" i="16"/>
  <c r="ET38" i="16" s="1"/>
  <c r="FH38" i="16" s="1"/>
  <c r="BK37" i="16"/>
  <c r="BN36" i="16"/>
  <c r="DL36" i="16" s="1"/>
  <c r="AO38" i="16"/>
  <c r="AR38" i="16" s="1"/>
  <c r="FF38" i="16" s="1"/>
  <c r="AR37" i="16"/>
  <c r="FF37" i="16" s="1"/>
  <c r="CJ37" i="16"/>
  <c r="CG38" i="16"/>
  <c r="CJ38" i="16" s="1"/>
  <c r="FG35" i="16"/>
  <c r="DX35" i="16"/>
  <c r="EZ35" i="16" s="1"/>
  <c r="CA34" i="8"/>
  <c r="DH41" i="13"/>
  <c r="FF41" i="13" s="1"/>
  <c r="HG41" i="13" s="1"/>
  <c r="HG53" i="13" s="1"/>
  <c r="N13" i="14" s="1"/>
  <c r="CK24" i="16"/>
  <c r="DM24" i="16" s="1"/>
  <c r="CK22" i="16"/>
  <c r="DM22" i="16" s="1"/>
  <c r="CK19" i="16"/>
  <c r="DM19" i="16" s="1"/>
  <c r="CK20" i="16"/>
  <c r="DM20" i="16" s="1"/>
  <c r="CK18" i="16"/>
  <c r="DM18" i="16" s="1"/>
  <c r="CK17" i="16"/>
  <c r="DM17" i="16" s="1"/>
  <c r="CK21" i="16"/>
  <c r="DM21" i="16" s="1"/>
  <c r="P29" i="6" l="1"/>
  <c r="W26" i="6"/>
  <c r="HF18" i="13"/>
  <c r="HF47" i="13" s="1"/>
  <c r="M7" i="14" s="1"/>
  <c r="EW46" i="13"/>
  <c r="AI12" i="7"/>
  <c r="AG12" i="7"/>
  <c r="AG20" i="7" s="1"/>
  <c r="AI20" i="7"/>
  <c r="AD12" i="7"/>
  <c r="AD20" i="7" s="1"/>
  <c r="AE12" i="7"/>
  <c r="AE20" i="7" s="1"/>
  <c r="AH12" i="7"/>
  <c r="AH20" i="7" s="1"/>
  <c r="AF12" i="7"/>
  <c r="AF20" i="7" s="1"/>
  <c r="N16" i="14"/>
  <c r="FX35" i="16"/>
  <c r="FP35" i="16"/>
  <c r="BK38" i="16"/>
  <c r="BN38" i="16" s="1"/>
  <c r="DL38" i="16" s="1"/>
  <c r="BN37" i="16"/>
  <c r="DL37" i="16" s="1"/>
  <c r="FG36" i="16"/>
  <c r="DX36" i="16"/>
  <c r="EZ36" i="16" s="1"/>
  <c r="FJ17" i="16"/>
  <c r="DY17" i="16"/>
  <c r="FJ20" i="16"/>
  <c r="DY20" i="16"/>
  <c r="FJ22" i="16"/>
  <c r="DY22" i="16"/>
  <c r="L16" i="14"/>
  <c r="FJ21" i="16"/>
  <c r="DY21" i="16"/>
  <c r="FJ18" i="16"/>
  <c r="DY18" i="16"/>
  <c r="FJ19" i="16"/>
  <c r="DY19" i="16"/>
  <c r="FJ24" i="16"/>
  <c r="DY24" i="16"/>
  <c r="FQ24" i="16" l="1"/>
  <c r="M16" i="14"/>
  <c r="AK13" i="7"/>
  <c r="AK12" i="7"/>
  <c r="FP36" i="16"/>
  <c r="FX36" i="16"/>
  <c r="DX37" i="16"/>
  <c r="EZ37" i="16" s="1"/>
  <c r="FG37" i="16"/>
  <c r="DX38" i="16"/>
  <c r="EZ38" i="16" s="1"/>
  <c r="FG38" i="16"/>
  <c r="FX38" i="16" l="1"/>
  <c r="FP38" i="16"/>
  <c r="FX37" i="16"/>
  <c r="FP37" i="16"/>
  <c r="D47" i="16" l="1"/>
  <c r="I47" i="16"/>
  <c r="DK47" i="16" s="1"/>
  <c r="J47" i="16"/>
  <c r="GB47" i="16" s="1"/>
  <c r="D48" i="16"/>
  <c r="I48" i="16"/>
  <c r="DK48" i="16" s="1"/>
  <c r="J48" i="16"/>
  <c r="GB48" i="16" s="1"/>
  <c r="D49" i="16"/>
  <c r="I49" i="16"/>
  <c r="DK49" i="16" s="1"/>
  <c r="J49" i="16"/>
  <c r="GB49" i="16" s="1"/>
  <c r="D50" i="16"/>
  <c r="I50" i="16"/>
  <c r="DK50" i="16" s="1"/>
  <c r="J50" i="16"/>
  <c r="GB50" i="16" s="1"/>
  <c r="D51" i="16"/>
  <c r="I51" i="16"/>
  <c r="DK51" i="16" s="1"/>
  <c r="J51" i="16"/>
  <c r="GB51" i="16" s="1"/>
  <c r="D52" i="16"/>
  <c r="I52" i="16"/>
  <c r="DK52" i="16" s="1"/>
  <c r="J52" i="16"/>
  <c r="GB52" i="16" s="1"/>
  <c r="D53" i="16"/>
  <c r="I53" i="16"/>
  <c r="DK53" i="16" s="1"/>
  <c r="J53" i="16"/>
  <c r="GB53" i="16" s="1"/>
  <c r="D54" i="16"/>
  <c r="I54" i="16"/>
  <c r="DK54" i="16" s="1"/>
  <c r="J54" i="16"/>
  <c r="GB54" i="16" s="1"/>
  <c r="D55" i="16"/>
  <c r="I55" i="16"/>
  <c r="DK55" i="16" s="1"/>
  <c r="J55" i="16"/>
  <c r="GB55" i="16" s="1"/>
  <c r="D56" i="16"/>
  <c r="I56" i="16"/>
  <c r="DK56" i="16" s="1"/>
  <c r="J56" i="16"/>
  <c r="GB56" i="16" s="1"/>
  <c r="D57" i="16"/>
  <c r="I57" i="16"/>
  <c r="DK57" i="16" s="1"/>
  <c r="J57" i="16"/>
  <c r="D58" i="16"/>
  <c r="I58" i="16"/>
  <c r="DK58" i="16" s="1"/>
  <c r="J58" i="16"/>
  <c r="GB58" i="16" s="1"/>
  <c r="EC58" i="16" l="1"/>
  <c r="EP58" i="16" s="1"/>
  <c r="GB57" i="16"/>
  <c r="FM57" i="16"/>
  <c r="DX57" i="16"/>
  <c r="FM58" i="16"/>
  <c r="DX58" i="16"/>
  <c r="EZ58" i="16" s="1"/>
  <c r="FM56" i="16"/>
  <c r="DX56" i="16"/>
  <c r="ES58" i="16"/>
  <c r="FN58" i="16" s="1"/>
  <c r="ET58" i="16"/>
  <c r="FH58" i="16" s="1"/>
  <c r="AA58" i="16"/>
  <c r="AN58" i="16" s="1"/>
  <c r="AQ58" i="16" s="1"/>
  <c r="FL58" i="16" s="1"/>
  <c r="AA57" i="16"/>
  <c r="AN57" i="16" s="1"/>
  <c r="AQ57" i="16" s="1"/>
  <c r="FL57" i="16" s="1"/>
  <c r="AA56" i="16"/>
  <c r="AN56" i="16" s="1"/>
  <c r="AQ56" i="16" s="1"/>
  <c r="FL56" i="16" s="1"/>
  <c r="AA55" i="16"/>
  <c r="AN55" i="16" s="1"/>
  <c r="AQ55" i="16" s="1"/>
  <c r="FL55" i="16" s="1"/>
  <c r="AA54" i="16"/>
  <c r="AA53" i="16"/>
  <c r="AN53" i="16" s="1"/>
  <c r="AQ53" i="16" s="1"/>
  <c r="FL53" i="16" s="1"/>
  <c r="AA52" i="16"/>
  <c r="AN52" i="16" s="1"/>
  <c r="AQ52" i="16" s="1"/>
  <c r="FL52" i="16" s="1"/>
  <c r="AA51" i="16"/>
  <c r="AN51" i="16" s="1"/>
  <c r="AQ51" i="16" s="1"/>
  <c r="FL51" i="16" s="1"/>
  <c r="AA50" i="16"/>
  <c r="AN50" i="16" s="1"/>
  <c r="AQ50" i="16" s="1"/>
  <c r="FL50" i="16" s="1"/>
  <c r="AA49" i="16"/>
  <c r="AA48" i="16"/>
  <c r="AN48" i="16" s="1"/>
  <c r="AQ48" i="16" s="1"/>
  <c r="FL48" i="16" s="1"/>
  <c r="AA47" i="16"/>
  <c r="AN47" i="16" s="1"/>
  <c r="AQ47" i="16" s="1"/>
  <c r="FL47" i="16" s="1"/>
  <c r="FM55" i="16"/>
  <c r="DX55" i="16"/>
  <c r="FM54" i="16"/>
  <c r="DX54" i="16"/>
  <c r="EZ54" i="16" s="1"/>
  <c r="FM53" i="16"/>
  <c r="DX53" i="16"/>
  <c r="EZ53" i="16" s="1"/>
  <c r="FM52" i="16"/>
  <c r="DX52" i="16"/>
  <c r="EZ52" i="16" s="1"/>
  <c r="FM51" i="16"/>
  <c r="DX51" i="16"/>
  <c r="EZ51" i="16" s="1"/>
  <c r="FM50" i="16"/>
  <c r="DX50" i="16"/>
  <c r="EZ50" i="16" s="1"/>
  <c r="FM49" i="16"/>
  <c r="DX49" i="16"/>
  <c r="EZ49" i="16" s="1"/>
  <c r="FM48" i="16"/>
  <c r="DX48" i="16"/>
  <c r="EZ48" i="16" s="1"/>
  <c r="FM47" i="16"/>
  <c r="DX47" i="16"/>
  <c r="EZ47" i="16" s="1"/>
  <c r="FX52" i="16" l="1"/>
  <c r="FX58" i="16"/>
  <c r="FX57" i="16"/>
  <c r="FX54" i="16"/>
  <c r="FX48" i="16"/>
  <c r="FX47" i="16"/>
  <c r="FX53" i="16"/>
  <c r="FX55" i="16"/>
  <c r="FX56" i="16"/>
  <c r="FX49" i="16"/>
  <c r="FX50" i="16"/>
  <c r="FX51" i="16"/>
  <c r="EZ55" i="16"/>
  <c r="AN49" i="16"/>
  <c r="AQ49" i="16" s="1"/>
  <c r="FL49" i="16" s="1"/>
  <c r="AO49" i="16"/>
  <c r="AN54" i="16"/>
  <c r="AQ54" i="16" s="1"/>
  <c r="FL54" i="16" s="1"/>
  <c r="AO54" i="16"/>
  <c r="AO55" i="16" l="1"/>
  <c r="AO58" i="16"/>
  <c r="AR58" i="16" s="1"/>
  <c r="FF58" i="16" s="1"/>
  <c r="AO57" i="16"/>
  <c r="AO56" i="16"/>
  <c r="AO45" i="16"/>
  <c r="AR45" i="16" s="1"/>
  <c r="FF45" i="16" s="1"/>
  <c r="AO48" i="16"/>
  <c r="AR48" i="16" s="1"/>
  <c r="FF48" i="16" s="1"/>
  <c r="AO53" i="16"/>
  <c r="AR53" i="16" s="1"/>
  <c r="FF53" i="16" s="1"/>
  <c r="AO51" i="16"/>
  <c r="AR51" i="16" s="1"/>
  <c r="FF51" i="16" s="1"/>
  <c r="AO52" i="16"/>
  <c r="AR52" i="16" s="1"/>
  <c r="FF52" i="16" s="1"/>
  <c r="AO47" i="16"/>
  <c r="AR47" i="16" s="1"/>
  <c r="FF47" i="16" s="1"/>
  <c r="AO46" i="16"/>
  <c r="AR46" i="16" s="1"/>
  <c r="FF46" i="16" s="1"/>
  <c r="AR49" i="16"/>
  <c r="FF49" i="16" s="1"/>
  <c r="AO50" i="16"/>
  <c r="AR50" i="16" s="1"/>
  <c r="FF50" i="16" s="1"/>
  <c r="AR54" i="16"/>
  <c r="FF54" i="16" s="1"/>
  <c r="EZ57" i="16"/>
  <c r="EZ56" i="16"/>
  <c r="AR55" i="16" l="1"/>
  <c r="FF55" i="16" s="1"/>
  <c r="FP49" i="16"/>
  <c r="FP47" i="16"/>
  <c r="FP51" i="16"/>
  <c r="FP48" i="16"/>
  <c r="FP54" i="16"/>
  <c r="FP50" i="16"/>
  <c r="FP46" i="16"/>
  <c r="FP52" i="16"/>
  <c r="FP53" i="16"/>
  <c r="FP45" i="16"/>
  <c r="FP55" i="16" l="1"/>
  <c r="AR56" i="16"/>
  <c r="FF56" i="16" s="1"/>
  <c r="AR57" i="16" l="1"/>
  <c r="FF57" i="16" s="1"/>
  <c r="FP56" i="16"/>
  <c r="FP57" i="16" l="1"/>
  <c r="FP58" i="16" l="1"/>
  <c r="EM20" i="13"/>
  <c r="CY20" i="13"/>
  <c r="CZ20" i="13" s="1"/>
  <c r="GQ20" i="13" s="1"/>
  <c r="L17" i="20" s="1"/>
  <c r="EH20" i="13" l="1"/>
  <c r="AH17" i="20"/>
  <c r="W17" i="20"/>
  <c r="AH39" i="20" l="1"/>
  <c r="AJ17" i="20"/>
  <c r="AK17" i="20" s="1"/>
  <c r="AL17" i="20" s="1"/>
  <c r="AL39" i="20" l="1"/>
  <c r="HL20" i="13"/>
  <c r="HL47" i="13" s="1"/>
  <c r="S7" i="14" s="1"/>
  <c r="P25" i="14" s="1" a="1"/>
  <c r="S25" i="14" l="1"/>
  <c r="R5" i="16" s="1"/>
  <c r="CQ34" i="16" s="1"/>
  <c r="DD34" i="16" s="1"/>
  <c r="V27" i="14"/>
  <c r="U7" i="16" s="1"/>
  <c r="X28" i="14"/>
  <c r="W8" i="16" s="1"/>
  <c r="U31" i="14"/>
  <c r="T11" i="16" s="1"/>
  <c r="X30" i="14"/>
  <c r="W10" i="16" s="1"/>
  <c r="V26" i="14"/>
  <c r="U6" i="16" s="1"/>
  <c r="W31" i="14"/>
  <c r="V11" i="16" s="1"/>
  <c r="Y27" i="14"/>
  <c r="X7" i="16" s="1"/>
  <c r="R27" i="14"/>
  <c r="Q7" i="16" s="1"/>
  <c r="BU44" i="16" s="1"/>
  <c r="CH44" i="16" s="1"/>
  <c r="Y29" i="14"/>
  <c r="X9" i="16" s="1"/>
  <c r="U25" i="14"/>
  <c r="T5" i="16" s="1"/>
  <c r="EE34" i="16" s="1"/>
  <c r="ER34" i="16" s="1"/>
  <c r="Q30" i="14"/>
  <c r="P10" i="16" s="1"/>
  <c r="AY59" i="16" s="1"/>
  <c r="BL59" i="16" s="1"/>
  <c r="T26" i="14"/>
  <c r="S6" i="16" s="1"/>
  <c r="Y28" i="14"/>
  <c r="X8" i="16" s="1"/>
  <c r="Q31" i="14"/>
  <c r="P11" i="16" s="1"/>
  <c r="AY64" i="16" s="1"/>
  <c r="BL64" i="16" s="1"/>
  <c r="BO64" i="16" s="1"/>
  <c r="X27" i="14"/>
  <c r="W7" i="16" s="1"/>
  <c r="S26" i="14"/>
  <c r="R6" i="16" s="1"/>
  <c r="CQ39" i="16" s="1"/>
  <c r="DD39" i="16" s="1"/>
  <c r="W28" i="14"/>
  <c r="V8" i="16" s="1"/>
  <c r="S30" i="14"/>
  <c r="R10" i="16" s="1"/>
  <c r="CQ59" i="16" s="1"/>
  <c r="DD59" i="16" s="1"/>
  <c r="W30" i="14"/>
  <c r="V10" i="16" s="1"/>
  <c r="T25" i="14"/>
  <c r="S5" i="16" s="1"/>
  <c r="Q28" i="14"/>
  <c r="P8" i="16" s="1"/>
  <c r="AY49" i="16" s="1"/>
  <c r="BL49" i="16" s="1"/>
  <c r="U28" i="14"/>
  <c r="T8" i="16" s="1"/>
  <c r="T29" i="14"/>
  <c r="S9" i="16" s="1"/>
  <c r="T28" i="14"/>
  <c r="S8" i="16" s="1"/>
  <c r="R28" i="14"/>
  <c r="Q8" i="16" s="1"/>
  <c r="BU49" i="16" s="1"/>
  <c r="CH49" i="16" s="1"/>
  <c r="S31" i="14"/>
  <c r="R11" i="16" s="1"/>
  <c r="CQ64" i="16" s="1"/>
  <c r="DD64" i="16" s="1"/>
  <c r="DG64" i="16" s="1"/>
  <c r="Q27" i="14"/>
  <c r="P7" i="16" s="1"/>
  <c r="AY44" i="16" s="1"/>
  <c r="BL44" i="16" s="1"/>
  <c r="U30" i="14"/>
  <c r="T10" i="16" s="1"/>
  <c r="X31" i="14"/>
  <c r="W11" i="16" s="1"/>
  <c r="Y26" i="14"/>
  <c r="X6" i="16" s="1"/>
  <c r="X26" i="14"/>
  <c r="W6" i="16" s="1"/>
  <c r="W27" i="14"/>
  <c r="V7" i="16" s="1"/>
  <c r="S29" i="14"/>
  <c r="R9" i="16" s="1"/>
  <c r="CQ54" i="16" s="1"/>
  <c r="DD54" i="16" s="1"/>
  <c r="U26" i="14"/>
  <c r="T6" i="16" s="1"/>
  <c r="EE39" i="16" s="1"/>
  <c r="ER39" i="16" s="1"/>
  <c r="Q26" i="14"/>
  <c r="P6" i="16" s="1"/>
  <c r="AY39" i="16" s="1"/>
  <c r="BL39" i="16" s="1"/>
  <c r="S28" i="14"/>
  <c r="R8" i="16" s="1"/>
  <c r="CQ49" i="16" s="1"/>
  <c r="DD49" i="16" s="1"/>
  <c r="U29" i="14"/>
  <c r="T9" i="16" s="1"/>
  <c r="V25" i="14"/>
  <c r="U5" i="16" s="1"/>
  <c r="V28" i="14"/>
  <c r="U8" i="16" s="1"/>
  <c r="X29" i="14"/>
  <c r="W9" i="16" s="1"/>
  <c r="Q29" i="14"/>
  <c r="P9" i="16" s="1"/>
  <c r="AY54" i="16" s="1"/>
  <c r="BL54" i="16" s="1"/>
  <c r="Y25" i="14"/>
  <c r="X5" i="16" s="1"/>
  <c r="R31" i="14"/>
  <c r="Q11" i="16" s="1"/>
  <c r="BU64" i="16" s="1"/>
  <c r="CH64" i="16" s="1"/>
  <c r="CK64" i="16" s="1"/>
  <c r="V31" i="14"/>
  <c r="U11" i="16" s="1"/>
  <c r="R25" i="14"/>
  <c r="Q5" i="16" s="1"/>
  <c r="BU34" i="16" s="1"/>
  <c r="CH34" i="16" s="1"/>
  <c r="W26" i="14"/>
  <c r="V6" i="16" s="1"/>
  <c r="P26" i="14"/>
  <c r="O6" i="16" s="1"/>
  <c r="AC39" i="16" s="1"/>
  <c r="AP39" i="16" s="1"/>
  <c r="P25" i="14"/>
  <c r="O5" i="16" s="1"/>
  <c r="AC34" i="16" s="1"/>
  <c r="AP34" i="16" s="1"/>
  <c r="P30" i="14"/>
  <c r="O10" i="16" s="1"/>
  <c r="AC59" i="16" s="1"/>
  <c r="AP59" i="16" s="1"/>
  <c r="W29" i="14"/>
  <c r="V9" i="16" s="1"/>
  <c r="U27" i="14"/>
  <c r="T7" i="16" s="1"/>
  <c r="V29" i="14"/>
  <c r="U9" i="16" s="1"/>
  <c r="T27" i="14"/>
  <c r="S7" i="16" s="1"/>
  <c r="Y31" i="14"/>
  <c r="X11" i="16" s="1"/>
  <c r="P31" i="14"/>
  <c r="O11" i="16" s="1"/>
  <c r="AC64" i="16" s="1"/>
  <c r="AP64" i="16" s="1"/>
  <c r="AS64" i="16" s="1"/>
  <c r="FI64" i="16" s="1"/>
  <c r="R26" i="14"/>
  <c r="Q6" i="16" s="1"/>
  <c r="BU39" i="16" s="1"/>
  <c r="CH39" i="16" s="1"/>
  <c r="Y30" i="14"/>
  <c r="X10" i="16" s="1"/>
  <c r="S27" i="14"/>
  <c r="R7" i="16" s="1"/>
  <c r="CQ44" i="16" s="1"/>
  <c r="DD44" i="16" s="1"/>
  <c r="P28" i="14"/>
  <c r="O8" i="16" s="1"/>
  <c r="AC49" i="16" s="1"/>
  <c r="AP49" i="16" s="1"/>
  <c r="P27" i="14"/>
  <c r="O7" i="16" s="1"/>
  <c r="AC44" i="16" s="1"/>
  <c r="AP44" i="16" s="1"/>
  <c r="T31" i="14"/>
  <c r="S11" i="16" s="1"/>
  <c r="R30" i="14"/>
  <c r="Q10" i="16" s="1"/>
  <c r="BU59" i="16" s="1"/>
  <c r="CH59" i="16" s="1"/>
  <c r="R29" i="14"/>
  <c r="Q9" i="16" s="1"/>
  <c r="BU54" i="16" s="1"/>
  <c r="CH54" i="16" s="1"/>
  <c r="T30" i="14"/>
  <c r="S10" i="16" s="1"/>
  <c r="Q25" i="14"/>
  <c r="P5" i="16" s="1"/>
  <c r="AY34" i="16" s="1"/>
  <c r="BL34" i="16" s="1"/>
  <c r="V30" i="14"/>
  <c r="U10" i="16" s="1"/>
  <c r="X25" i="14"/>
  <c r="W5" i="16" s="1"/>
  <c r="W25" i="14"/>
  <c r="V5" i="16" s="1"/>
  <c r="P29" i="14"/>
  <c r="O9" i="16" s="1"/>
  <c r="AC54" i="16" s="1"/>
  <c r="AP54" i="16" s="1"/>
  <c r="FS17" i="16"/>
  <c r="FS18" i="16"/>
  <c r="FS19" i="16"/>
  <c r="FS20" i="16"/>
  <c r="FS21" i="16"/>
  <c r="FS22" i="16"/>
  <c r="FS23" i="16"/>
  <c r="FS24" i="16"/>
  <c r="FS25" i="16"/>
  <c r="FS26" i="16"/>
  <c r="FS27" i="16"/>
  <c r="FS28" i="16"/>
  <c r="FS29" i="16"/>
  <c r="FS30" i="16"/>
  <c r="FS31" i="16"/>
  <c r="FS32" i="16"/>
  <c r="FS33" i="16"/>
  <c r="FS34" i="16"/>
  <c r="FS35" i="16"/>
  <c r="FS36" i="16"/>
  <c r="FS37" i="16"/>
  <c r="FS38" i="16"/>
  <c r="FS39" i="16"/>
  <c r="FS40" i="16"/>
  <c r="FS41" i="16"/>
  <c r="FS42" i="16"/>
  <c r="FS43" i="16"/>
  <c r="FS44" i="16"/>
  <c r="FS45" i="16"/>
  <c r="FS46" i="16"/>
  <c r="FS47" i="16"/>
  <c r="FS48" i="16"/>
  <c r="FS49" i="16"/>
  <c r="FS50" i="16"/>
  <c r="FS51" i="16"/>
  <c r="FS52" i="16"/>
  <c r="FS53" i="16"/>
  <c r="FS54" i="16"/>
  <c r="FS55" i="16"/>
  <c r="FS56" i="16"/>
  <c r="FS57" i="16"/>
  <c r="FS58" i="16"/>
  <c r="FS59" i="16"/>
  <c r="FS60" i="16"/>
  <c r="FS61" i="16"/>
  <c r="FS62" i="16"/>
  <c r="FS63" i="16"/>
  <c r="FS64" i="16"/>
  <c r="FS65" i="16"/>
  <c r="EU39" i="16" l="1"/>
  <c r="FK39" i="16" s="1"/>
  <c r="AP53" i="16"/>
  <c r="AS53" i="16" s="1"/>
  <c r="FI53" i="16" s="1"/>
  <c r="AP52" i="16"/>
  <c r="AS52" i="16" s="1"/>
  <c r="FI52" i="16" s="1"/>
  <c r="AP51" i="16"/>
  <c r="AS51" i="16" s="1"/>
  <c r="FI51" i="16" s="1"/>
  <c r="AS49" i="16"/>
  <c r="FI49" i="16" s="1"/>
  <c r="AP50" i="16"/>
  <c r="AS50" i="16" s="1"/>
  <c r="FI50" i="16" s="1"/>
  <c r="AP40" i="16"/>
  <c r="AS40" i="16" s="1"/>
  <c r="FI40" i="16" s="1"/>
  <c r="AS39" i="16"/>
  <c r="FI39" i="16" s="1"/>
  <c r="AP41" i="16"/>
  <c r="AS41" i="16" s="1"/>
  <c r="FI41" i="16" s="1"/>
  <c r="AP43" i="16"/>
  <c r="AS43" i="16" s="1"/>
  <c r="FI43" i="16" s="1"/>
  <c r="AP42" i="16"/>
  <c r="AS42" i="16" s="1"/>
  <c r="FI42" i="16" s="1"/>
  <c r="BL36" i="16"/>
  <c r="BO36" i="16" s="1"/>
  <c r="BL43" i="16"/>
  <c r="BO43" i="16" s="1"/>
  <c r="BL42" i="16"/>
  <c r="BO42" i="16" s="1"/>
  <c r="BL41" i="16"/>
  <c r="BO41" i="16" s="1"/>
  <c r="BO39" i="16"/>
  <c r="BL40" i="16"/>
  <c r="BO40" i="16" s="1"/>
  <c r="BO59" i="16"/>
  <c r="BL61" i="16"/>
  <c r="BO61" i="16" s="1"/>
  <c r="BL63" i="16"/>
  <c r="BO63" i="16" s="1"/>
  <c r="BL60" i="16"/>
  <c r="BO60" i="16" s="1"/>
  <c r="BL62" i="16"/>
  <c r="BO62" i="16" s="1"/>
  <c r="AP58" i="16"/>
  <c r="AS58" i="16" s="1"/>
  <c r="FI58" i="16" s="1"/>
  <c r="AP57" i="16"/>
  <c r="AS57" i="16" s="1"/>
  <c r="FI57" i="16" s="1"/>
  <c r="AP56" i="16"/>
  <c r="AS56" i="16" s="1"/>
  <c r="FI56" i="16" s="1"/>
  <c r="AP55" i="16"/>
  <c r="AS55" i="16" s="1"/>
  <c r="FI55" i="16" s="1"/>
  <c r="AS54" i="16"/>
  <c r="FI54" i="16" s="1"/>
  <c r="CK34" i="16"/>
  <c r="CH68" i="16"/>
  <c r="CH25" i="16" s="1"/>
  <c r="CH35" i="16"/>
  <c r="CK35" i="16" s="1"/>
  <c r="CH37" i="16"/>
  <c r="CK37" i="16" s="1"/>
  <c r="CH36" i="16"/>
  <c r="CK36" i="16" s="1"/>
  <c r="CH38" i="16"/>
  <c r="CK38" i="16" s="1"/>
  <c r="DD57" i="16"/>
  <c r="DG57" i="16" s="1"/>
  <c r="DD58" i="16"/>
  <c r="DG58" i="16" s="1"/>
  <c r="DG54" i="16"/>
  <c r="DD55" i="16"/>
  <c r="DG55" i="16" s="1"/>
  <c r="DD56" i="16"/>
  <c r="DG56" i="16" s="1"/>
  <c r="BO49" i="16"/>
  <c r="BL51" i="16"/>
  <c r="BO51" i="16" s="1"/>
  <c r="BL53" i="16"/>
  <c r="BO53" i="16" s="1"/>
  <c r="BL52" i="16"/>
  <c r="BO52" i="16" s="1"/>
  <c r="CK44" i="16"/>
  <c r="CH46" i="16"/>
  <c r="CK46" i="16" s="1"/>
  <c r="CH45" i="16"/>
  <c r="CK45" i="16" s="1"/>
  <c r="CH47" i="16"/>
  <c r="CK47" i="16" s="1"/>
  <c r="CH48" i="16"/>
  <c r="CK48" i="16" s="1"/>
  <c r="EU34" i="16"/>
  <c r="FK34" i="16" s="1"/>
  <c r="ER35" i="16"/>
  <c r="EU35" i="16" s="1"/>
  <c r="FK35" i="16" s="1"/>
  <c r="ER67" i="16"/>
  <c r="ER25" i="16" s="1"/>
  <c r="ER37" i="16"/>
  <c r="EU37" i="16" s="1"/>
  <c r="FK37" i="16" s="1"/>
  <c r="ER36" i="16"/>
  <c r="EU36" i="16" s="1"/>
  <c r="FK36" i="16" s="1"/>
  <c r="ER38" i="16"/>
  <c r="EU38" i="16" s="1"/>
  <c r="FK38" i="16" s="1"/>
  <c r="CH43" i="16"/>
  <c r="CK43" i="16" s="1"/>
  <c r="CH42" i="16"/>
  <c r="CK42" i="16" s="1"/>
  <c r="CH41" i="16"/>
  <c r="CK41" i="16" s="1"/>
  <c r="CK39" i="16"/>
  <c r="CH40" i="16"/>
  <c r="CK40" i="16" s="1"/>
  <c r="DD61" i="16"/>
  <c r="DG61" i="16" s="1"/>
  <c r="DD62" i="16"/>
  <c r="DG62" i="16" s="1"/>
  <c r="DD60" i="16"/>
  <c r="DG60" i="16" s="1"/>
  <c r="DD63" i="16"/>
  <c r="DG63" i="16" s="1"/>
  <c r="DG59" i="16"/>
  <c r="BL68" i="16"/>
  <c r="BL25" i="16" s="1"/>
  <c r="BL38" i="16"/>
  <c r="BO38" i="16" s="1"/>
  <c r="BO34" i="16"/>
  <c r="BL37" i="16"/>
  <c r="BO37" i="16" s="1"/>
  <c r="BL35" i="16"/>
  <c r="BO35" i="16" s="1"/>
  <c r="BL50" i="16"/>
  <c r="BO50" i="16" s="1"/>
  <c r="BL56" i="16"/>
  <c r="BO56" i="16" s="1"/>
  <c r="BL55" i="16"/>
  <c r="BO55" i="16" s="1"/>
  <c r="BL58" i="16"/>
  <c r="BO58" i="16" s="1"/>
  <c r="BL57" i="16"/>
  <c r="BO57" i="16" s="1"/>
  <c r="BO54" i="16"/>
  <c r="EE59" i="16"/>
  <c r="ER59" i="16" s="1"/>
  <c r="DG39" i="16"/>
  <c r="DD43" i="16"/>
  <c r="DG43" i="16" s="1"/>
  <c r="DD42" i="16"/>
  <c r="DG42" i="16" s="1"/>
  <c r="DD40" i="16"/>
  <c r="DG40" i="16" s="1"/>
  <c r="DD41" i="16"/>
  <c r="DG41" i="16" s="1"/>
  <c r="CK54" i="16"/>
  <c r="CH56" i="16"/>
  <c r="CK56" i="16" s="1"/>
  <c r="CH55" i="16"/>
  <c r="CK55" i="16" s="1"/>
  <c r="CH57" i="16"/>
  <c r="CK57" i="16" s="1"/>
  <c r="CH58" i="16"/>
  <c r="CK58" i="16" s="1"/>
  <c r="EE64" i="16"/>
  <c r="ER64" i="16" s="1"/>
  <c r="EU64" i="16" s="1"/>
  <c r="FK64" i="16" s="1"/>
  <c r="CK59" i="16"/>
  <c r="CH61" i="16"/>
  <c r="CK61" i="16" s="1"/>
  <c r="CH60" i="16"/>
  <c r="CK60" i="16" s="1"/>
  <c r="CH63" i="16"/>
  <c r="CK63" i="16" s="1"/>
  <c r="CH62" i="16"/>
  <c r="CK62" i="16" s="1"/>
  <c r="DM64" i="16"/>
  <c r="EE44" i="16"/>
  <c r="ER44" i="16" s="1"/>
  <c r="ER41" i="16" s="1"/>
  <c r="EU41" i="16" s="1"/>
  <c r="FK41" i="16" s="1"/>
  <c r="AP61" i="16"/>
  <c r="AS61" i="16" s="1"/>
  <c r="FI61" i="16" s="1"/>
  <c r="AP60" i="16"/>
  <c r="AS60" i="16" s="1"/>
  <c r="FI60" i="16" s="1"/>
  <c r="AP63" i="16"/>
  <c r="AS63" i="16" s="1"/>
  <c r="FI63" i="16" s="1"/>
  <c r="AP62" i="16"/>
  <c r="AS62" i="16" s="1"/>
  <c r="FI62" i="16" s="1"/>
  <c r="AS59" i="16"/>
  <c r="FI59" i="16" s="1"/>
  <c r="EE54" i="16"/>
  <c r="ER54" i="16" s="1"/>
  <c r="CH52" i="16"/>
  <c r="CK52" i="16" s="1"/>
  <c r="CK49" i="16"/>
  <c r="CH51" i="16"/>
  <c r="CK51" i="16" s="1"/>
  <c r="CH53" i="16"/>
  <c r="CK53" i="16" s="1"/>
  <c r="CH50" i="16"/>
  <c r="CK50" i="16" s="1"/>
  <c r="DD48" i="16"/>
  <c r="DG48" i="16" s="1"/>
  <c r="DD47" i="16"/>
  <c r="DG47" i="16" s="1"/>
  <c r="DD45" i="16"/>
  <c r="DG45" i="16" s="1"/>
  <c r="DG44" i="16"/>
  <c r="DD46" i="16"/>
  <c r="DG46" i="16" s="1"/>
  <c r="EE49" i="16"/>
  <c r="ER49" i="16" s="1"/>
  <c r="BO44" i="16"/>
  <c r="BL47" i="16"/>
  <c r="BO47" i="16" s="1"/>
  <c r="BL46" i="16"/>
  <c r="BO46" i="16" s="1"/>
  <c r="BL45" i="16"/>
  <c r="BO45" i="16" s="1"/>
  <c r="BL48" i="16"/>
  <c r="BO48" i="16" s="1"/>
  <c r="AS44" i="16"/>
  <c r="FI44" i="16" s="1"/>
  <c r="AP45" i="16"/>
  <c r="AS45" i="16" s="1"/>
  <c r="FI45" i="16" s="1"/>
  <c r="AP46" i="16"/>
  <c r="AS46" i="16" s="1"/>
  <c r="FI46" i="16" s="1"/>
  <c r="AP47" i="16"/>
  <c r="AS47" i="16" s="1"/>
  <c r="FI47" i="16" s="1"/>
  <c r="AP48" i="16"/>
  <c r="AS48" i="16" s="1"/>
  <c r="FI48" i="16" s="1"/>
  <c r="AP68" i="16"/>
  <c r="AP25" i="16" s="1"/>
  <c r="AP38" i="16"/>
  <c r="AS38" i="16" s="1"/>
  <c r="FI38" i="16" s="1"/>
  <c r="AP36" i="16"/>
  <c r="AS36" i="16" s="1"/>
  <c r="FI36" i="16" s="1"/>
  <c r="AS34" i="16"/>
  <c r="FI34" i="16" s="1"/>
  <c r="AP35" i="16"/>
  <c r="AS35" i="16" s="1"/>
  <c r="FI35" i="16" s="1"/>
  <c r="AP37" i="16"/>
  <c r="AS37" i="16" s="1"/>
  <c r="FI37" i="16" s="1"/>
  <c r="DG49" i="16"/>
  <c r="DD50" i="16"/>
  <c r="DG50" i="16" s="1"/>
  <c r="DD52" i="16"/>
  <c r="DG52" i="16" s="1"/>
  <c r="DD53" i="16"/>
  <c r="DG53" i="16" s="1"/>
  <c r="DD51" i="16"/>
  <c r="DG51" i="16" s="1"/>
  <c r="DD67" i="16"/>
  <c r="DD25" i="16" s="1"/>
  <c r="DD36" i="16"/>
  <c r="DG36" i="16" s="1"/>
  <c r="DG34" i="16"/>
  <c r="DD37" i="16"/>
  <c r="DG37" i="16" s="1"/>
  <c r="DD38" i="16"/>
  <c r="DG38" i="16" s="1"/>
  <c r="DD35" i="16"/>
  <c r="DG35" i="16" s="1"/>
  <c r="DM46" i="16" l="1"/>
  <c r="DM37" i="16"/>
  <c r="DY37" i="16" s="1"/>
  <c r="FA37" i="16" s="1"/>
  <c r="DM61" i="16"/>
  <c r="FJ61" i="16" s="1"/>
  <c r="DM49" i="16"/>
  <c r="FJ49" i="16" s="1"/>
  <c r="DM53" i="16"/>
  <c r="FJ53" i="16" s="1"/>
  <c r="DM40" i="16"/>
  <c r="FJ40" i="16" s="1"/>
  <c r="DM47" i="16"/>
  <c r="FJ47" i="16" s="1"/>
  <c r="DM45" i="16"/>
  <c r="FJ45" i="16" s="1"/>
  <c r="DM41" i="16"/>
  <c r="DY41" i="16" s="1"/>
  <c r="DM54" i="16"/>
  <c r="FJ54" i="16" s="1"/>
  <c r="DM48" i="16"/>
  <c r="DY48" i="16" s="1"/>
  <c r="DM57" i="16"/>
  <c r="DY57" i="16" s="1"/>
  <c r="DM34" i="16"/>
  <c r="DM63" i="16"/>
  <c r="BL26" i="16"/>
  <c r="BO25" i="16"/>
  <c r="DM52" i="16"/>
  <c r="DM59" i="16"/>
  <c r="CH26" i="16"/>
  <c r="CK25" i="16"/>
  <c r="ER50" i="16"/>
  <c r="EU50" i="16" s="1"/>
  <c r="FK50" i="16" s="1"/>
  <c r="EU49" i="16"/>
  <c r="FK49" i="16" s="1"/>
  <c r="ER51" i="16"/>
  <c r="EU51" i="16" s="1"/>
  <c r="FK51" i="16" s="1"/>
  <c r="ER53" i="16"/>
  <c r="EU53" i="16" s="1"/>
  <c r="FK53" i="16" s="1"/>
  <c r="ER52" i="16"/>
  <c r="EU52" i="16" s="1"/>
  <c r="FK52" i="16" s="1"/>
  <c r="ER22" i="16"/>
  <c r="EU22" i="16" s="1"/>
  <c r="EU25" i="16"/>
  <c r="ER17" i="16"/>
  <c r="EU17" i="16" s="1"/>
  <c r="FK17" i="16" s="1"/>
  <c r="ER18" i="16"/>
  <c r="EU18" i="16" s="1"/>
  <c r="ER19" i="16"/>
  <c r="EU19" i="16" s="1"/>
  <c r="ER20" i="16"/>
  <c r="EU20" i="16" s="1"/>
  <c r="ER26" i="16"/>
  <c r="ER21" i="16"/>
  <c r="EU21" i="16" s="1"/>
  <c r="ER23" i="16"/>
  <c r="EU23" i="16" s="1"/>
  <c r="DM51" i="16"/>
  <c r="DM39" i="16"/>
  <c r="FJ46" i="16"/>
  <c r="DY46" i="16"/>
  <c r="ER61" i="16"/>
  <c r="EU61" i="16" s="1"/>
  <c r="FK61" i="16" s="1"/>
  <c r="ER60" i="16"/>
  <c r="EU60" i="16" s="1"/>
  <c r="FK60" i="16" s="1"/>
  <c r="ER62" i="16"/>
  <c r="EU62" i="16" s="1"/>
  <c r="FK62" i="16" s="1"/>
  <c r="ER63" i="16"/>
  <c r="EU63" i="16" s="1"/>
  <c r="FK63" i="16" s="1"/>
  <c r="EU59" i="16"/>
  <c r="FK59" i="16" s="1"/>
  <c r="DD26" i="16"/>
  <c r="DG25" i="16"/>
  <c r="DM44" i="16"/>
  <c r="DM58" i="16"/>
  <c r="DM42" i="16"/>
  <c r="FJ37" i="16"/>
  <c r="DM55" i="16"/>
  <c r="DM43" i="16"/>
  <c r="ER57" i="16"/>
  <c r="EU57" i="16" s="1"/>
  <c r="FK57" i="16" s="1"/>
  <c r="ER58" i="16"/>
  <c r="EU58" i="16" s="1"/>
  <c r="FK58" i="16" s="1"/>
  <c r="ER55" i="16"/>
  <c r="EU55" i="16" s="1"/>
  <c r="FK55" i="16" s="1"/>
  <c r="EU54" i="16"/>
  <c r="FK54" i="16" s="1"/>
  <c r="ER56" i="16"/>
  <c r="EU56" i="16" s="1"/>
  <c r="FK56" i="16" s="1"/>
  <c r="DM56" i="16"/>
  <c r="DM36" i="16"/>
  <c r="ER48" i="16"/>
  <c r="EU48" i="16" s="1"/>
  <c r="FK48" i="16" s="1"/>
  <c r="ER46" i="16"/>
  <c r="EU46" i="16" s="1"/>
  <c r="FK46" i="16" s="1"/>
  <c r="ER45" i="16"/>
  <c r="EU45" i="16" s="1"/>
  <c r="FK45" i="16" s="1"/>
  <c r="EU44" i="16"/>
  <c r="FK44" i="16" s="1"/>
  <c r="ER47" i="16"/>
  <c r="EU47" i="16" s="1"/>
  <c r="FK47" i="16" s="1"/>
  <c r="DM50" i="16"/>
  <c r="ER42" i="16"/>
  <c r="EU42" i="16" s="1"/>
  <c r="FK42" i="16" s="1"/>
  <c r="AS25" i="16"/>
  <c r="FI25" i="16" s="1"/>
  <c r="AP26" i="16"/>
  <c r="FJ64" i="16"/>
  <c r="DY64" i="16"/>
  <c r="FA64" i="16" s="1"/>
  <c r="DM35" i="16"/>
  <c r="DM62" i="16"/>
  <c r="ER43" i="16"/>
  <c r="EU43" i="16" s="1"/>
  <c r="FK43" i="16" s="1"/>
  <c r="DM38" i="16"/>
  <c r="DM60" i="16"/>
  <c r="ER40" i="16"/>
  <c r="EU40" i="16" s="1"/>
  <c r="FK40" i="16" s="1"/>
  <c r="FR58" i="16"/>
  <c r="FR52" i="16"/>
  <c r="FR46" i="16"/>
  <c r="FR40" i="16"/>
  <c r="FR34" i="16"/>
  <c r="FR28" i="16"/>
  <c r="FR22" i="16"/>
  <c r="FR59" i="16"/>
  <c r="FR47" i="16"/>
  <c r="FR41" i="16"/>
  <c r="FR35" i="16"/>
  <c r="FR29" i="16"/>
  <c r="FR23" i="16"/>
  <c r="FR64" i="16"/>
  <c r="FR60" i="16"/>
  <c r="FR54" i="16"/>
  <c r="FR48" i="16"/>
  <c r="FR42" i="16"/>
  <c r="FR36" i="16"/>
  <c r="FR30" i="16"/>
  <c r="FR24" i="16"/>
  <c r="FR65" i="16"/>
  <c r="FR18" i="16"/>
  <c r="FR61" i="16"/>
  <c r="FR55" i="16"/>
  <c r="FR49" i="16"/>
  <c r="FR43" i="16"/>
  <c r="FR37" i="16"/>
  <c r="FR31" i="16"/>
  <c r="FR25" i="16"/>
  <c r="FR19" i="16"/>
  <c r="FR53" i="16"/>
  <c r="FR62" i="16"/>
  <c r="FR56" i="16"/>
  <c r="FR50" i="16"/>
  <c r="FR44" i="16"/>
  <c r="FR38" i="16"/>
  <c r="FR32" i="16"/>
  <c r="FR26" i="16"/>
  <c r="FR20" i="16"/>
  <c r="FR63" i="16"/>
  <c r="FR57" i="16"/>
  <c r="FR51" i="16"/>
  <c r="FR45" i="16"/>
  <c r="FR39" i="16"/>
  <c r="FR33" i="16"/>
  <c r="FR27" i="16"/>
  <c r="FR21" i="16"/>
  <c r="FR17" i="16"/>
  <c r="FA48" i="16" l="1"/>
  <c r="DY61" i="16"/>
  <c r="DY49" i="16"/>
  <c r="FA49" i="16" s="1"/>
  <c r="DY53" i="16"/>
  <c r="FA53" i="16" s="1"/>
  <c r="FQ53" i="16"/>
  <c r="FV53" i="16" s="1"/>
  <c r="FQ47" i="16"/>
  <c r="FV47" i="16" s="1"/>
  <c r="FQ61" i="16"/>
  <c r="FV61" i="16" s="1"/>
  <c r="DY54" i="16"/>
  <c r="FA54" i="16" s="1"/>
  <c r="FJ57" i="16"/>
  <c r="FJ48" i="16"/>
  <c r="DY45" i="16"/>
  <c r="DY47" i="16"/>
  <c r="FA47" i="16" s="1"/>
  <c r="FJ41" i="16"/>
  <c r="DY40" i="16"/>
  <c r="FA40" i="16" s="1"/>
  <c r="DY39" i="16"/>
  <c r="FA39" i="16" s="1"/>
  <c r="FJ39" i="16"/>
  <c r="FJ51" i="16"/>
  <c r="DY51" i="16"/>
  <c r="FA51" i="16" s="1"/>
  <c r="DY63" i="16"/>
  <c r="FA63" i="16" s="1"/>
  <c r="FJ63" i="16"/>
  <c r="DY62" i="16"/>
  <c r="FA62" i="16" s="1"/>
  <c r="FJ62" i="16"/>
  <c r="DY36" i="16"/>
  <c r="FA36" i="16" s="1"/>
  <c r="FJ36" i="16"/>
  <c r="FK23" i="16"/>
  <c r="FA22" i="16"/>
  <c r="FJ34" i="16"/>
  <c r="DY34" i="16"/>
  <c r="FA34" i="16" s="1"/>
  <c r="FJ50" i="16"/>
  <c r="DY50" i="16"/>
  <c r="FA50" i="16" s="1"/>
  <c r="FK21" i="16"/>
  <c r="FA20" i="16"/>
  <c r="FA46" i="16"/>
  <c r="EU26" i="16"/>
  <c r="FK26" i="16" s="1"/>
  <c r="ER27" i="16"/>
  <c r="FA61" i="16"/>
  <c r="BO26" i="16"/>
  <c r="BL27" i="16"/>
  <c r="FA45" i="16"/>
  <c r="FJ60" i="16"/>
  <c r="DY60" i="16"/>
  <c r="FA60" i="16" s="1"/>
  <c r="FQ64" i="16"/>
  <c r="FV64" i="16" s="1"/>
  <c r="FJ56" i="16"/>
  <c r="DY56" i="16"/>
  <c r="FA56" i="16" s="1"/>
  <c r="FJ58" i="16"/>
  <c r="DY58" i="16"/>
  <c r="FA58" i="16" s="1"/>
  <c r="FK20" i="16"/>
  <c r="FA19" i="16"/>
  <c r="FQ49" i="16"/>
  <c r="DY35" i="16"/>
  <c r="FA35" i="16" s="1"/>
  <c r="FJ35" i="16"/>
  <c r="FQ37" i="16"/>
  <c r="FA57" i="16"/>
  <c r="FK19" i="16"/>
  <c r="FA18" i="16"/>
  <c r="FJ43" i="16"/>
  <c r="DY43" i="16"/>
  <c r="FA43" i="16" s="1"/>
  <c r="FK18" i="16"/>
  <c r="FA17" i="16"/>
  <c r="DY38" i="16"/>
  <c r="FA38" i="16" s="1"/>
  <c r="FJ38" i="16"/>
  <c r="AS26" i="16"/>
  <c r="FI26" i="16" s="1"/>
  <c r="AP27" i="16"/>
  <c r="FJ44" i="16"/>
  <c r="DY44" i="16"/>
  <c r="FA44" i="16" s="1"/>
  <c r="FQ17" i="16"/>
  <c r="DY59" i="16"/>
  <c r="FA59" i="16" s="1"/>
  <c r="FJ59" i="16"/>
  <c r="FQ46" i="16"/>
  <c r="FQ45" i="16"/>
  <c r="FJ42" i="16"/>
  <c r="DY42" i="16"/>
  <c r="FA42" i="16" s="1"/>
  <c r="FA41" i="16"/>
  <c r="FK25" i="16"/>
  <c r="FA24" i="16"/>
  <c r="DM25" i="16"/>
  <c r="FJ52" i="16"/>
  <c r="DY52" i="16"/>
  <c r="FA52" i="16" s="1"/>
  <c r="FQ40" i="16"/>
  <c r="FV40" i="16" s="1"/>
  <c r="FJ55" i="16"/>
  <c r="DY55" i="16"/>
  <c r="FA55" i="16" s="1"/>
  <c r="DG26" i="16"/>
  <c r="DD27" i="16"/>
  <c r="FQ54" i="16"/>
  <c r="FK22" i="16"/>
  <c r="FA21" i="16"/>
  <c r="CH27" i="16"/>
  <c r="CK26" i="16"/>
  <c r="FU21" i="16"/>
  <c r="FU42" i="16"/>
  <c r="FU28" i="16"/>
  <c r="FU31" i="16"/>
  <c r="FU57" i="16"/>
  <c r="FU44" i="16"/>
  <c r="FU20" i="16"/>
  <c r="FU61" i="16"/>
  <c r="FU48" i="16"/>
  <c r="FU37" i="16"/>
  <c r="FU50" i="16"/>
  <c r="FU33" i="16"/>
  <c r="FU40" i="16"/>
  <c r="FU24" i="16"/>
  <c r="FV24" i="16"/>
  <c r="FU46" i="16"/>
  <c r="FU27" i="16"/>
  <c r="FU56" i="16"/>
  <c r="FU43" i="16"/>
  <c r="FU35" i="16"/>
  <c r="FU17" i="16"/>
  <c r="FU64" i="16"/>
  <c r="FU59" i="16"/>
  <c r="FU52" i="16"/>
  <c r="FU54" i="16"/>
  <c r="FU26" i="16"/>
  <c r="FU47" i="16"/>
  <c r="FU49" i="16"/>
  <c r="FU29" i="16"/>
  <c r="FU18" i="16"/>
  <c r="FU39" i="16"/>
  <c r="FU60" i="16"/>
  <c r="FU45" i="16"/>
  <c r="FU32" i="16"/>
  <c r="FU53" i="16"/>
  <c r="FU51" i="16"/>
  <c r="FU38" i="16"/>
  <c r="FU19" i="16"/>
  <c r="FU55" i="16"/>
  <c r="FU36" i="16"/>
  <c r="FU23" i="16"/>
  <c r="FU22" i="16"/>
  <c r="FU58" i="16"/>
  <c r="FU25" i="16"/>
  <c r="FU63" i="16"/>
  <c r="FU34" i="16"/>
  <c r="FU41" i="16"/>
  <c r="FU62" i="16"/>
  <c r="FU30" i="16"/>
  <c r="FQ41" i="16" l="1"/>
  <c r="FQ48" i="16"/>
  <c r="FV48" i="16" s="1"/>
  <c r="FQ57" i="16"/>
  <c r="FV57" i="16" s="1"/>
  <c r="DM26" i="16"/>
  <c r="DY26" i="16" s="1"/>
  <c r="FV37" i="16"/>
  <c r="FV46" i="16"/>
  <c r="FV17" i="16"/>
  <c r="FV41" i="16"/>
  <c r="FV49" i="16"/>
  <c r="FV45" i="16"/>
  <c r="FQ58" i="16"/>
  <c r="FQ18" i="16"/>
  <c r="BL28" i="16"/>
  <c r="BO27" i="16"/>
  <c r="FQ21" i="16"/>
  <c r="FQ34" i="16"/>
  <c r="FQ51" i="16"/>
  <c r="FQ39" i="16"/>
  <c r="FQ60" i="16"/>
  <c r="FQ42" i="16"/>
  <c r="AP28" i="16"/>
  <c r="AS27" i="16"/>
  <c r="FI27" i="16" s="1"/>
  <c r="FQ43" i="16"/>
  <c r="FQ19" i="16"/>
  <c r="FQ20" i="16"/>
  <c r="FQ36" i="16"/>
  <c r="FQ55" i="16"/>
  <c r="FQ52" i="16"/>
  <c r="FQ56" i="16"/>
  <c r="FQ62" i="16"/>
  <c r="DG27" i="16"/>
  <c r="DD28" i="16"/>
  <c r="FV54" i="16"/>
  <c r="CH28" i="16"/>
  <c r="CK27" i="16"/>
  <c r="FJ25" i="16"/>
  <c r="DY25" i="16"/>
  <c r="FA25" i="16" s="1"/>
  <c r="FQ23" i="16"/>
  <c r="FQ59" i="16"/>
  <c r="FQ50" i="16"/>
  <c r="FQ44" i="16"/>
  <c r="FQ63" i="16"/>
  <c r="FQ35" i="16"/>
  <c r="EU27" i="16"/>
  <c r="FK27" i="16" s="1"/>
  <c r="ER28" i="16"/>
  <c r="FQ22" i="16"/>
  <c r="FQ38" i="16"/>
  <c r="FJ26" i="16" l="1"/>
  <c r="AP29" i="16"/>
  <c r="AS28" i="16"/>
  <c r="FI28" i="16" s="1"/>
  <c r="FV58" i="16"/>
  <c r="FV59" i="16"/>
  <c r="FV60" i="16"/>
  <c r="FV56" i="16"/>
  <c r="FQ25" i="16"/>
  <c r="FV36" i="16"/>
  <c r="FV20" i="16"/>
  <c r="FV42" i="16"/>
  <c r="CH29" i="16"/>
  <c r="CK28" i="16"/>
  <c r="FV62" i="16"/>
  <c r="FV43" i="16"/>
  <c r="FQ26" i="16"/>
  <c r="FV39" i="16"/>
  <c r="FV52" i="16"/>
  <c r="FA26" i="16"/>
  <c r="FV35" i="16"/>
  <c r="FV44" i="16"/>
  <c r="DG28" i="16"/>
  <c r="DD29" i="16"/>
  <c r="EU28" i="16"/>
  <c r="FK28" i="16" s="1"/>
  <c r="ER29" i="16"/>
  <c r="FV55" i="16"/>
  <c r="DM27" i="16"/>
  <c r="FV22" i="16"/>
  <c r="FV50" i="16"/>
  <c r="FV19" i="16"/>
  <c r="FV34" i="16"/>
  <c r="BL29" i="16"/>
  <c r="BO28" i="16"/>
  <c r="FV18" i="16"/>
  <c r="FV63" i="16"/>
  <c r="FV38" i="16"/>
  <c r="FV51" i="16"/>
  <c r="FV23" i="16"/>
  <c r="FV21" i="16"/>
  <c r="DM28" i="16" l="1"/>
  <c r="FJ28" i="16" s="1"/>
  <c r="EU29" i="16"/>
  <c r="FK29" i="16" s="1"/>
  <c r="ER30" i="16"/>
  <c r="AP30" i="16"/>
  <c r="AS29" i="16"/>
  <c r="FI29" i="16" s="1"/>
  <c r="FV26" i="16"/>
  <c r="DY27" i="16"/>
  <c r="FA27" i="16" s="1"/>
  <c r="FJ27" i="16"/>
  <c r="FV25" i="16"/>
  <c r="CH30" i="16"/>
  <c r="CK29" i="16"/>
  <c r="DY28" i="16"/>
  <c r="DD30" i="16"/>
  <c r="DG29" i="16"/>
  <c r="BO29" i="16"/>
  <c r="BL30" i="16"/>
  <c r="FQ28" i="16" l="1"/>
  <c r="FV28" i="16" s="1"/>
  <c r="DM29" i="16"/>
  <c r="DY29" i="16" s="1"/>
  <c r="FA28" i="16"/>
  <c r="CH31" i="16"/>
  <c r="CK30" i="16"/>
  <c r="FQ27" i="16"/>
  <c r="EU30" i="16"/>
  <c r="FK30" i="16" s="1"/>
  <c r="ER31" i="16"/>
  <c r="BO30" i="16"/>
  <c r="BL31" i="16"/>
  <c r="AP31" i="16"/>
  <c r="AS30" i="16"/>
  <c r="FI30" i="16" s="1"/>
  <c r="FJ29" i="16"/>
  <c r="DG30" i="16"/>
  <c r="DD31" i="16"/>
  <c r="FA29" i="16" l="1"/>
  <c r="BL32" i="16"/>
  <c r="BO31" i="16"/>
  <c r="CK31" i="16"/>
  <c r="CH32" i="16"/>
  <c r="DM30" i="16"/>
  <c r="DD32" i="16"/>
  <c r="DG31" i="16"/>
  <c r="FQ29" i="16"/>
  <c r="AP32" i="16"/>
  <c r="AS31" i="16"/>
  <c r="FI31" i="16" s="1"/>
  <c r="EU31" i="16"/>
  <c r="FK31" i="16" s="1"/>
  <c r="ER32" i="16"/>
  <c r="FV27" i="16"/>
  <c r="CH33" i="16" l="1"/>
  <c r="CK33" i="16" s="1"/>
  <c r="CK32" i="16"/>
  <c r="BO32" i="16"/>
  <c r="BL33" i="16"/>
  <c r="BO33" i="16" s="1"/>
  <c r="AP33" i="16"/>
  <c r="AS33" i="16" s="1"/>
  <c r="FI33" i="16" s="1"/>
  <c r="AS32" i="16"/>
  <c r="FI32" i="16" s="1"/>
  <c r="FV29" i="16"/>
  <c r="DG32" i="16"/>
  <c r="DD33" i="16"/>
  <c r="DG33" i="16" s="1"/>
  <c r="ER33" i="16"/>
  <c r="EU33" i="16" s="1"/>
  <c r="FK33" i="16" s="1"/>
  <c r="EU32" i="16"/>
  <c r="FK32" i="16" s="1"/>
  <c r="FJ30" i="16"/>
  <c r="DY30" i="16"/>
  <c r="FA30" i="16" s="1"/>
  <c r="DM31" i="16"/>
  <c r="FQ30" i="16" l="1"/>
  <c r="DM33" i="16"/>
  <c r="DM32" i="16"/>
  <c r="FJ31" i="16"/>
  <c r="DY31" i="16"/>
  <c r="FA31" i="16" s="1"/>
  <c r="FV30" i="16" l="1"/>
  <c r="FJ32" i="16"/>
  <c r="DY32" i="16"/>
  <c r="FA32" i="16" s="1"/>
  <c r="FQ31" i="16"/>
  <c r="FJ33" i="16"/>
  <c r="DY33" i="16"/>
  <c r="FA33" i="16" s="1"/>
  <c r="FV31" i="16" l="1"/>
  <c r="FQ32" i="16"/>
  <c r="FQ33" i="16"/>
  <c r="FV33" i="16" l="1"/>
  <c r="FV3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 Belzer</author>
  </authors>
  <commentList>
    <comment ref="AA5" authorId="0" shapeId="0" xr:uid="{00000000-0006-0000-0400-000001000000}">
      <text>
        <r>
          <rPr>
            <b/>
            <sz val="8"/>
            <color indexed="81"/>
            <rFont val="Tahoma"/>
            <family val="2"/>
          </rPr>
          <t>D. Belzer:</t>
        </r>
        <r>
          <rPr>
            <sz val="8"/>
            <color indexed="81"/>
            <rFont val="Tahoma"/>
            <family val="2"/>
          </rPr>
          <t xml:space="preserve">
Excludes 715.9 billion cu. Ft of gas produced and consumed in same plant</t>
        </r>
      </text>
    </comment>
    <comment ref="AA7" authorId="0" shapeId="0" xr:uid="{00000000-0006-0000-0400-000002000000}">
      <text>
        <r>
          <rPr>
            <b/>
            <sz val="8"/>
            <color indexed="81"/>
            <rFont val="Tahoma"/>
            <family val="2"/>
          </rPr>
          <t>D. Belzer:</t>
        </r>
        <r>
          <rPr>
            <sz val="8"/>
            <color indexed="81"/>
            <rFont val="Tahoma"/>
            <family val="2"/>
          </rPr>
          <t xml:space="preserve">
Excludes the 123.9 billion cu. Ft. of residue gas reported and produced and consumed in same plant</t>
        </r>
      </text>
    </comment>
    <comment ref="AR15" authorId="0" shapeId="0" xr:uid="{00000000-0006-0000-0400-000003000000}">
      <text>
        <r>
          <rPr>
            <b/>
            <sz val="8"/>
            <color indexed="81"/>
            <rFont val="Tahoma"/>
            <family val="2"/>
          </rPr>
          <t>D. Belzer:</t>
        </r>
        <r>
          <rPr>
            <sz val="8"/>
            <color indexed="81"/>
            <rFont val="Tahoma"/>
            <family val="2"/>
          </rPr>
          <t xml:space="preserve">
In 1992, cost of fuels for silver mining was about 5% of that used in gold mining.  At most, silver mining currently uses 7-10% of energy used in gold mining
</t>
        </r>
      </text>
    </comment>
    <comment ref="AR16" authorId="0" shapeId="0" xr:uid="{00000000-0006-0000-0400-000004000000}">
      <text>
        <r>
          <rPr>
            <b/>
            <sz val="8"/>
            <color indexed="81"/>
            <rFont val="Tahoma"/>
            <family val="2"/>
          </rPr>
          <t>D. Belzer:</t>
        </r>
        <r>
          <rPr>
            <sz val="8"/>
            <color indexed="81"/>
            <rFont val="Tahoma"/>
            <family val="2"/>
          </rPr>
          <t xml:space="preserve">
In 1992, distillate cost was only 25% of total fuel cost.  Assume same ratio currently, and that price of other fuels is equal to distillate.
</t>
        </r>
      </text>
    </comment>
    <comment ref="AR17" authorId="0" shapeId="0" xr:uid="{00000000-0006-0000-0400-000005000000}">
      <text>
        <r>
          <rPr>
            <b/>
            <sz val="8"/>
            <color indexed="81"/>
            <rFont val="Tahoma"/>
            <family val="2"/>
          </rPr>
          <t>D. Belzer:</t>
        </r>
        <r>
          <rPr>
            <sz val="8"/>
            <color indexed="81"/>
            <rFont val="Tahoma"/>
            <family val="2"/>
          </rPr>
          <t xml:space="preserve">
Factored up by 30% based upon CM 1992</t>
        </r>
      </text>
    </comment>
    <comment ref="P28" authorId="0" shapeId="0" xr:uid="{00000000-0006-0000-0400-000006000000}">
      <text>
        <r>
          <rPr>
            <b/>
            <sz val="8"/>
            <color indexed="81"/>
            <rFont val="Tahoma"/>
            <family val="2"/>
          </rPr>
          <t>D. Belzer:</t>
        </r>
        <r>
          <rPr>
            <sz val="8"/>
            <color indexed="81"/>
            <rFont val="Tahoma"/>
            <family val="2"/>
          </rPr>
          <t xml:space="preserve">
Extrapolated by electricity consumption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 Belzer</author>
    <author>Belzer, David B</author>
  </authors>
  <commentList>
    <comment ref="AW7" authorId="0" shapeId="0" xr:uid="{00000000-0006-0000-0500-000001000000}">
      <text>
        <r>
          <rPr>
            <b/>
            <sz val="8"/>
            <color indexed="81"/>
            <rFont val="Tahoma"/>
            <family val="2"/>
          </rPr>
          <t>D. Belzer:</t>
        </r>
        <r>
          <rPr>
            <sz val="8"/>
            <color indexed="81"/>
            <rFont val="Tahoma"/>
            <family val="2"/>
          </rPr>
          <t xml:space="preserve">
Excludes 715.9 billion cu. Ft of gas produced and consumed in same plant</t>
        </r>
      </text>
    </comment>
    <comment ref="BJ7" authorId="1" shapeId="0" xr:uid="{00000000-0006-0000-0500-000002000000}">
      <text>
        <r>
          <rPr>
            <b/>
            <sz val="8"/>
            <color indexed="81"/>
            <rFont val="Tahoma"/>
            <family val="2"/>
          </rPr>
          <t>Belzer, David B:</t>
        </r>
        <r>
          <rPr>
            <sz val="8"/>
            <color indexed="81"/>
            <rFont val="Tahoma"/>
            <family val="2"/>
          </rPr>
          <t xml:space="preserve">
Set to approx. 50% of of 1997 value, cost ratio of around 0.15 is unreasonable
</t>
        </r>
      </text>
    </comment>
    <comment ref="AW9" authorId="0" shapeId="0" xr:uid="{00000000-0006-0000-0500-000003000000}">
      <text>
        <r>
          <rPr>
            <b/>
            <sz val="8"/>
            <color indexed="81"/>
            <rFont val="Tahoma"/>
            <family val="2"/>
          </rPr>
          <t>D. Belzer:</t>
        </r>
        <r>
          <rPr>
            <sz val="8"/>
            <color indexed="81"/>
            <rFont val="Tahoma"/>
            <family val="2"/>
          </rPr>
          <t xml:space="preserve">
Excludes the 123.9 billion cu. Ft. of residue gas reported and produced and consumed in same plant</t>
        </r>
      </text>
    </comment>
    <comment ref="AE13" authorId="1" shapeId="0" xr:uid="{00000000-0006-0000-0500-000004000000}">
      <text>
        <r>
          <rPr>
            <b/>
            <sz val="8"/>
            <color indexed="81"/>
            <rFont val="Tahoma"/>
            <family val="2"/>
          </rPr>
          <t>Belzer, David B:</t>
        </r>
        <r>
          <rPr>
            <sz val="8"/>
            <color indexed="81"/>
            <rFont val="Tahoma"/>
            <family val="2"/>
          </rPr>
          <t xml:space="preserve">
Ratio to 1997 based on production of Anthrcite in table 7.2 of AER
</t>
        </r>
      </text>
    </comment>
    <comment ref="AO13" authorId="1" shapeId="0" xr:uid="{00000000-0006-0000-0500-000005000000}">
      <text>
        <r>
          <rPr>
            <b/>
            <sz val="8"/>
            <color indexed="81"/>
            <rFont val="Tahoma"/>
            <family val="2"/>
          </rPr>
          <t>Belzer, David B:</t>
        </r>
        <r>
          <rPr>
            <sz val="8"/>
            <color indexed="81"/>
            <rFont val="Tahoma"/>
            <family val="2"/>
          </rPr>
          <t xml:space="preserve">
Ratio to 1997 based on production of Anthrcite in table 7.2 of AER
</t>
        </r>
      </text>
    </comment>
    <comment ref="BJ13" authorId="1" shapeId="0" xr:uid="{00000000-0006-0000-0500-000006000000}">
      <text>
        <r>
          <rPr>
            <b/>
            <sz val="8"/>
            <color indexed="81"/>
            <rFont val="Tahoma"/>
            <family val="2"/>
          </rPr>
          <t>Belzer, David B:</t>
        </r>
        <r>
          <rPr>
            <sz val="8"/>
            <color indexed="81"/>
            <rFont val="Tahoma"/>
            <family val="2"/>
          </rPr>
          <t xml:space="preserve">
Ratio by production, see distillate
</t>
        </r>
      </text>
    </comment>
    <comment ref="AN15" authorId="1" shapeId="0" xr:uid="{00000000-0006-0000-0500-000007000000}">
      <text>
        <r>
          <rPr>
            <b/>
            <sz val="8"/>
            <color indexed="81"/>
            <rFont val="Tahoma"/>
            <family val="2"/>
          </rPr>
          <t>Belzer, David B:</t>
        </r>
        <r>
          <rPr>
            <sz val="8"/>
            <color indexed="81"/>
            <rFont val="Tahoma"/>
            <family val="2"/>
          </rPr>
          <t xml:space="preserve">
computed as residual, after assuming value for gasoline
</t>
        </r>
      </text>
    </comment>
    <comment ref="BU17" authorId="1" shapeId="0" xr:uid="{00000000-0006-0000-0500-000008000000}">
      <text>
        <r>
          <rPr>
            <b/>
            <sz val="8"/>
            <color indexed="81"/>
            <rFont val="Tahoma"/>
            <family val="2"/>
          </rPr>
          <t>Belzer, David B:</t>
        </r>
        <r>
          <rPr>
            <sz val="8"/>
            <color indexed="81"/>
            <rFont val="Tahoma"/>
            <family val="2"/>
          </rPr>
          <t xml:space="preserve">
assume 75% resid, 25% gasoline</t>
        </r>
      </text>
    </comment>
    <comment ref="DI17" authorId="0" shapeId="0" xr:uid="{00000000-0006-0000-0500-000009000000}">
      <text>
        <r>
          <rPr>
            <b/>
            <sz val="8"/>
            <color indexed="81"/>
            <rFont val="Tahoma"/>
            <family val="2"/>
          </rPr>
          <t>D. Belzer:</t>
        </r>
        <r>
          <rPr>
            <sz val="8"/>
            <color indexed="81"/>
            <rFont val="Tahoma"/>
            <family val="2"/>
          </rPr>
          <t xml:space="preserve">
Use ratio of production worker hours to extrapolate 2007 fuel use to 2002
</t>
        </r>
      </text>
    </comment>
    <comment ref="CZ18" authorId="0" shapeId="0" xr:uid="{00000000-0006-0000-0500-00000A000000}">
      <text>
        <r>
          <rPr>
            <b/>
            <sz val="8"/>
            <color indexed="81"/>
            <rFont val="Tahoma"/>
            <family val="2"/>
          </rPr>
          <t>D. Belzer:</t>
        </r>
        <r>
          <rPr>
            <sz val="8"/>
            <color indexed="81"/>
            <rFont val="Tahoma"/>
            <family val="2"/>
          </rPr>
          <t xml:space="preserve">
Use ratio of production worker hours to extrapolate 2007 fuel use to 2002
</t>
        </r>
      </text>
    </comment>
    <comment ref="DI18" authorId="0" shapeId="0" xr:uid="{00000000-0006-0000-0500-00000B000000}">
      <text>
        <r>
          <rPr>
            <b/>
            <sz val="8"/>
            <color indexed="81"/>
            <rFont val="Tahoma"/>
            <family val="2"/>
          </rPr>
          <t>D. Belzer:</t>
        </r>
        <r>
          <rPr>
            <sz val="8"/>
            <color indexed="81"/>
            <rFont val="Tahoma"/>
            <family val="2"/>
          </rPr>
          <t xml:space="preserve">
Use ratio of production worker hours to extrapolate 2007 fuel use to 2002
</t>
        </r>
      </text>
    </comment>
    <comment ref="U31" authorId="0" shapeId="0" xr:uid="{00000000-0006-0000-0500-00000C000000}">
      <text>
        <r>
          <rPr>
            <b/>
            <sz val="8"/>
            <color indexed="81"/>
            <rFont val="Tahoma"/>
            <family val="2"/>
          </rPr>
          <t>D. Belzer:</t>
        </r>
        <r>
          <rPr>
            <sz val="8"/>
            <color indexed="81"/>
            <rFont val="Tahoma"/>
            <family val="2"/>
          </rPr>
          <t xml:space="preserve">
Extrapolated by annual hours of production workers, Table 3.
</t>
        </r>
      </text>
    </comment>
    <comment ref="AO32" authorId="1" shapeId="0" xr:uid="{00000000-0006-0000-0500-00000D000000}">
      <text>
        <r>
          <rPr>
            <b/>
            <sz val="8"/>
            <color indexed="81"/>
            <rFont val="Tahoma"/>
            <family val="2"/>
          </rPr>
          <t>Belzer, David B:</t>
        </r>
        <r>
          <rPr>
            <sz val="8"/>
            <color indexed="81"/>
            <rFont val="Tahoma"/>
            <family val="2"/>
          </rPr>
          <t xml:space="preserve">
extrapolate from 1997 with annual hours
</t>
        </r>
      </text>
    </comment>
    <comment ref="DS32" authorId="1" shapeId="0" xr:uid="{00000000-0006-0000-0500-00000E000000}">
      <text>
        <r>
          <rPr>
            <b/>
            <sz val="8"/>
            <color indexed="81"/>
            <rFont val="Tahoma"/>
            <family val="2"/>
          </rPr>
          <t>Belzer, David B:</t>
        </r>
        <r>
          <rPr>
            <sz val="8"/>
            <color indexed="81"/>
            <rFont val="Tahoma"/>
            <family val="2"/>
          </rPr>
          <t xml:space="preserve">
developed overall price index to go from 2002 to 2007.  Wgts based on value shares for 2002
</t>
        </r>
      </text>
    </comment>
    <comment ref="CZ33" authorId="0" shapeId="0" xr:uid="{00000000-0006-0000-0500-00000F000000}">
      <text>
        <r>
          <rPr>
            <b/>
            <sz val="8"/>
            <color indexed="81"/>
            <rFont val="Tahoma"/>
            <family val="2"/>
          </rPr>
          <t>D. Belzer:</t>
        </r>
        <r>
          <rPr>
            <sz val="8"/>
            <color indexed="81"/>
            <rFont val="Tahoma"/>
            <family val="2"/>
          </rPr>
          <t xml:space="preserve">
Use ratio of production worker hours to extrapolate 2007 fuel use to 2002
</t>
        </r>
      </text>
    </comment>
    <comment ref="CB36" authorId="1" shapeId="0" xr:uid="{00000000-0006-0000-0500-000010000000}">
      <text>
        <r>
          <rPr>
            <b/>
            <sz val="8"/>
            <color indexed="81"/>
            <rFont val="Tahoma"/>
            <family val="2"/>
          </rPr>
          <t>Belzer, David B:</t>
        </r>
        <r>
          <rPr>
            <sz val="8"/>
            <color indexed="81"/>
            <rFont val="Tahoma"/>
            <family val="2"/>
          </rPr>
          <t xml:space="preserve">
Adjusted upward by 5000 to account for values in 2002 report
</t>
        </r>
      </text>
    </comment>
    <comment ref="DI39" authorId="1" shapeId="0" xr:uid="{00000000-0006-0000-0500-000011000000}">
      <text>
        <r>
          <rPr>
            <b/>
            <sz val="8"/>
            <color indexed="81"/>
            <rFont val="Tahoma"/>
            <family val="2"/>
          </rPr>
          <t>Belzer, David B:</t>
        </r>
        <r>
          <rPr>
            <sz val="8"/>
            <color indexed="81"/>
            <rFont val="Tahoma"/>
            <family val="2"/>
          </rPr>
          <t xml:space="preserve">
extrapolated by hours
</t>
        </r>
      </text>
    </comment>
    <comment ref="CB40" authorId="1" shapeId="0" xr:uid="{00000000-0006-0000-0500-000012000000}">
      <text>
        <r>
          <rPr>
            <b/>
            <sz val="8"/>
            <color indexed="81"/>
            <rFont val="Tahoma"/>
            <family val="2"/>
          </rPr>
          <t>Belzer, David B:</t>
        </r>
        <r>
          <rPr>
            <sz val="8"/>
            <color indexed="81"/>
            <rFont val="Tahoma"/>
            <family val="2"/>
          </rPr>
          <t xml:space="preserve">
Adjusted upward by 1000 to account for 2002 revision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author>
    <author>David</author>
    <author>D. Belzer</author>
    <author>Belzer, David B</author>
  </authors>
  <commentList>
    <comment ref="EL3" authorId="0" shapeId="0" xr:uid="{00000000-0006-0000-0600-000001000000}">
      <text>
        <r>
          <rPr>
            <b/>
            <sz val="9"/>
            <color indexed="81"/>
            <rFont val="Tahoma"/>
            <family val="2"/>
          </rPr>
          <t>d belzer:  Total of Major Fuels only</t>
        </r>
        <r>
          <rPr>
            <sz val="9"/>
            <color indexed="81"/>
            <rFont val="Tahoma"/>
            <family val="2"/>
          </rPr>
          <t xml:space="preserve">
</t>
        </r>
      </text>
    </comment>
    <comment ref="AY4" authorId="1" shapeId="0" xr:uid="{D9D29403-E5A9-4991-80A7-CC722D5D6BEA}">
      <text>
        <r>
          <rPr>
            <b/>
            <sz val="9"/>
            <color indexed="81"/>
            <rFont val="Tahoma"/>
            <family val="2"/>
          </rPr>
          <t>David:</t>
        </r>
        <r>
          <rPr>
            <sz val="9"/>
            <color indexed="81"/>
            <rFont val="Tahoma"/>
            <family val="2"/>
          </rPr>
          <t xml:space="preserve">
In these cells, we have a "price relative" The price in current census vs. last census.  It is used to adjust the cost data from one census to the next, and the result is used to extrapolate the last reported quantity value</t>
        </r>
      </text>
    </comment>
    <comment ref="BS7" authorId="2" shapeId="0" xr:uid="{00000000-0006-0000-0600-000002000000}">
      <text>
        <r>
          <rPr>
            <b/>
            <sz val="8"/>
            <color indexed="81"/>
            <rFont val="Tahoma"/>
            <family val="2"/>
          </rPr>
          <t>D. Belzer:</t>
        </r>
        <r>
          <rPr>
            <sz val="8"/>
            <color indexed="81"/>
            <rFont val="Tahoma"/>
            <family val="2"/>
          </rPr>
          <t xml:space="preserve">
Excludes 715.9 billion cu. Ft of gas produced and consumed in same plant</t>
        </r>
      </text>
    </comment>
    <comment ref="CI7" authorId="3" shapeId="0" xr:uid="{00000000-0006-0000-0600-000003000000}">
      <text>
        <r>
          <rPr>
            <b/>
            <sz val="8"/>
            <color indexed="81"/>
            <rFont val="Tahoma"/>
            <family val="2"/>
          </rPr>
          <t>Belzer, David B:</t>
        </r>
        <r>
          <rPr>
            <sz val="8"/>
            <color indexed="81"/>
            <rFont val="Tahoma"/>
            <family val="2"/>
          </rPr>
          <t xml:space="preserve">
Set to approx. 50% of of 1997 value, cost ratio of around 0.15 is unreasonable
</t>
        </r>
      </text>
    </comment>
    <comment ref="BS9" authorId="2" shapeId="0" xr:uid="{00000000-0006-0000-0600-000004000000}">
      <text>
        <r>
          <rPr>
            <b/>
            <sz val="8"/>
            <color indexed="81"/>
            <rFont val="Tahoma"/>
            <family val="2"/>
          </rPr>
          <t>D. Belzer:</t>
        </r>
        <r>
          <rPr>
            <sz val="8"/>
            <color indexed="81"/>
            <rFont val="Tahoma"/>
            <family val="2"/>
          </rPr>
          <t xml:space="preserve">
Excludes the 123.9 billion cu. Ft. of residue gas reported and produced and consumed in same plant</t>
        </r>
      </text>
    </comment>
    <comment ref="CZ11" authorId="0" shapeId="0" xr:uid="{00000000-0006-0000-0600-000005000000}">
      <text>
        <r>
          <rPr>
            <b/>
            <sz val="9"/>
            <color indexed="81"/>
            <rFont val="Tahoma"/>
            <family val="2"/>
          </rPr>
          <t>d belzer:  use coal price rather than LPG, coal has a disclosure symbol in main table</t>
        </r>
        <r>
          <rPr>
            <sz val="9"/>
            <color indexed="81"/>
            <rFont val="Tahoma"/>
            <family val="2"/>
          </rPr>
          <t xml:space="preserve">
</t>
        </r>
      </text>
    </comment>
    <comment ref="AU13" authorId="3" shapeId="0" xr:uid="{00000000-0006-0000-0600-000006000000}">
      <text>
        <r>
          <rPr>
            <b/>
            <sz val="8"/>
            <color indexed="81"/>
            <rFont val="Tahoma"/>
            <family val="2"/>
          </rPr>
          <t>Belzer, David B:</t>
        </r>
        <r>
          <rPr>
            <sz val="8"/>
            <color indexed="81"/>
            <rFont val="Tahoma"/>
            <family val="2"/>
          </rPr>
          <t xml:space="preserve">
Ratio to 1997 based on production of Anthrcite in table 7.2 of AER
</t>
        </r>
      </text>
    </comment>
    <comment ref="BH13" authorId="3" shapeId="0" xr:uid="{00000000-0006-0000-0600-000007000000}">
      <text>
        <r>
          <rPr>
            <b/>
            <sz val="8"/>
            <color indexed="81"/>
            <rFont val="Tahoma"/>
            <family val="2"/>
          </rPr>
          <t>Belzer, David B:</t>
        </r>
        <r>
          <rPr>
            <sz val="8"/>
            <color indexed="81"/>
            <rFont val="Tahoma"/>
            <family val="2"/>
          </rPr>
          <t xml:space="preserve">
Ratio to 1997 based on production of Anthrcite in table 7.2 of AER
</t>
        </r>
      </text>
    </comment>
    <comment ref="CI13" authorId="3" shapeId="0" xr:uid="{00000000-0006-0000-0600-000008000000}">
      <text>
        <r>
          <rPr>
            <b/>
            <sz val="8"/>
            <color indexed="81"/>
            <rFont val="Tahoma"/>
            <family val="2"/>
          </rPr>
          <t>Belzer, David B:</t>
        </r>
        <r>
          <rPr>
            <sz val="8"/>
            <color indexed="81"/>
            <rFont val="Tahoma"/>
            <family val="2"/>
          </rPr>
          <t xml:space="preserve">
Ratio by production, see distillate
</t>
        </r>
      </text>
    </comment>
    <comment ref="CZ13" authorId="0" shapeId="0" xr:uid="{00000000-0006-0000-0600-000009000000}">
      <text>
        <r>
          <rPr>
            <b/>
            <sz val="9"/>
            <color indexed="81"/>
            <rFont val="Tahoma"/>
            <family val="2"/>
          </rPr>
          <t>d belzer:  use coal price rather than LPG, coal has a disclosure symbol in main table</t>
        </r>
        <r>
          <rPr>
            <sz val="9"/>
            <color indexed="81"/>
            <rFont val="Tahoma"/>
            <family val="2"/>
          </rPr>
          <t xml:space="preserve">
</t>
        </r>
      </text>
    </comment>
    <comment ref="V15" authorId="0" shapeId="0" xr:uid="{00000000-0006-0000-0600-00000A000000}">
      <text>
        <r>
          <rPr>
            <b/>
            <sz val="9"/>
            <color indexed="81"/>
            <rFont val="Tahoma"/>
            <family val="2"/>
          </rPr>
          <t xml:space="preserve">d belzer:  Unfortunately, disclosure issue for 2012.  No significant decline in employment.  Rough estimate based on 2002, 2007 values
</t>
        </r>
        <r>
          <rPr>
            <sz val="9"/>
            <color indexed="81"/>
            <rFont val="Tahoma"/>
            <family val="2"/>
          </rPr>
          <t xml:space="preserve">
</t>
        </r>
      </text>
    </comment>
    <comment ref="BG15" authorId="3" shapeId="0" xr:uid="{00000000-0006-0000-0600-00000B000000}">
      <text>
        <r>
          <rPr>
            <b/>
            <sz val="8"/>
            <color indexed="81"/>
            <rFont val="Tahoma"/>
            <family val="2"/>
          </rPr>
          <t>Belzer, David B:</t>
        </r>
        <r>
          <rPr>
            <sz val="8"/>
            <color indexed="81"/>
            <rFont val="Tahoma"/>
            <family val="2"/>
          </rPr>
          <t xml:space="preserve">
computed as residual, after assuming value for gasoline
</t>
        </r>
      </text>
    </comment>
    <comment ref="EM15" authorId="0" shapeId="0" xr:uid="{00000000-0006-0000-0600-00000C000000}">
      <text>
        <r>
          <rPr>
            <b/>
            <sz val="9"/>
            <color indexed="81"/>
            <rFont val="Tahoma"/>
            <family val="2"/>
          </rPr>
          <t xml:space="preserve">d belzer:  derived from individual fuels - total not disclosed
</t>
        </r>
        <r>
          <rPr>
            <sz val="9"/>
            <color indexed="81"/>
            <rFont val="Tahoma"/>
            <family val="2"/>
          </rPr>
          <t xml:space="preserve">
</t>
        </r>
      </text>
    </comment>
    <comment ref="CZ16" authorId="0" shapeId="0" xr:uid="{00000000-0006-0000-0600-00000D000000}">
      <text>
        <r>
          <rPr>
            <b/>
            <sz val="9"/>
            <color indexed="81"/>
            <rFont val="Tahoma"/>
            <family val="2"/>
          </rPr>
          <t>d belzer:  use coal price rather than LPG, coal has a disclosure symbol in main table</t>
        </r>
        <r>
          <rPr>
            <sz val="9"/>
            <color indexed="81"/>
            <rFont val="Tahoma"/>
            <family val="2"/>
          </rPr>
          <t xml:space="preserve">
</t>
        </r>
      </text>
    </comment>
    <comment ref="CM17" authorId="0" shapeId="0" xr:uid="{00000000-0006-0000-0600-00000E000000}">
      <text>
        <r>
          <rPr>
            <b/>
            <sz val="9"/>
            <color indexed="81"/>
            <rFont val="Tahoma"/>
            <family val="2"/>
          </rPr>
          <t xml:space="preserve">d_belzer  rough estimate based on other mining sectors
</t>
        </r>
        <r>
          <rPr>
            <sz val="9"/>
            <color indexed="81"/>
            <rFont val="Tahoma"/>
            <family val="2"/>
          </rPr>
          <t xml:space="preserve">
</t>
        </r>
      </text>
    </comment>
    <comment ref="CX17" authorId="3" shapeId="0" xr:uid="{00000000-0006-0000-0600-00000F000000}">
      <text>
        <r>
          <rPr>
            <b/>
            <sz val="8"/>
            <color indexed="81"/>
            <rFont val="Tahoma"/>
            <family val="2"/>
          </rPr>
          <t>Belzer, David B:</t>
        </r>
        <r>
          <rPr>
            <sz val="8"/>
            <color indexed="81"/>
            <rFont val="Tahoma"/>
            <family val="2"/>
          </rPr>
          <t xml:space="preserve">
assume 75% resid, 25% gasoline</t>
        </r>
      </text>
    </comment>
    <comment ref="FF17" authorId="3" shapeId="0" xr:uid="{00000000-0006-0000-0600-000010000000}">
      <text>
        <r>
          <rPr>
            <b/>
            <sz val="8"/>
            <color indexed="81"/>
            <rFont val="Tahoma"/>
            <family val="2"/>
          </rPr>
          <t>Belzer, David B:</t>
        </r>
        <r>
          <rPr>
            <sz val="8"/>
            <color indexed="81"/>
            <rFont val="Tahoma"/>
            <family val="2"/>
          </rPr>
          <t xml:space="preserve">
extrapolated by deflated value of total fuel purchases, using deflator for distillate.</t>
        </r>
      </text>
    </comment>
    <comment ref="FX17" authorId="2" shapeId="0" xr:uid="{00000000-0006-0000-0600-000011000000}">
      <text>
        <r>
          <rPr>
            <b/>
            <sz val="8"/>
            <color indexed="81"/>
            <rFont val="Tahoma"/>
            <family val="2"/>
          </rPr>
          <t>D. Belzer:</t>
        </r>
        <r>
          <rPr>
            <sz val="8"/>
            <color indexed="81"/>
            <rFont val="Tahoma"/>
            <family val="2"/>
          </rPr>
          <t xml:space="preserve">
Use ratio of production worker hours to extrapolate 2007 fuel use to 2002
</t>
        </r>
      </text>
    </comment>
    <comment ref="EW18" authorId="2" shapeId="0" xr:uid="{00000000-0006-0000-0600-000012000000}">
      <text>
        <r>
          <rPr>
            <b/>
            <sz val="8"/>
            <color indexed="81"/>
            <rFont val="Tahoma"/>
            <family val="2"/>
          </rPr>
          <t>D. Belzer:</t>
        </r>
        <r>
          <rPr>
            <sz val="8"/>
            <color indexed="81"/>
            <rFont val="Tahoma"/>
            <family val="2"/>
          </rPr>
          <t xml:space="preserve">
Extrapolated from 1992 via total cost of fuels, using deflator of 1.15</t>
        </r>
      </text>
    </comment>
    <comment ref="FF18" authorId="2" shapeId="0" xr:uid="{00000000-0006-0000-0600-000013000000}">
      <text>
        <r>
          <rPr>
            <b/>
            <sz val="8"/>
            <color indexed="81"/>
            <rFont val="Tahoma"/>
            <family val="2"/>
          </rPr>
          <t>D. Belzer:</t>
        </r>
        <r>
          <rPr>
            <sz val="8"/>
            <color indexed="81"/>
            <rFont val="Tahoma"/>
            <family val="2"/>
          </rPr>
          <t xml:space="preserve">
Extrapolated from 1997 via total cost of fuels, using deflator of 1.15
</t>
        </r>
      </text>
    </comment>
    <comment ref="FO18" authorId="2" shapeId="0" xr:uid="{00000000-0006-0000-0600-000014000000}">
      <text>
        <r>
          <rPr>
            <b/>
            <sz val="8"/>
            <color indexed="81"/>
            <rFont val="Tahoma"/>
            <family val="2"/>
          </rPr>
          <t>D. Belzer:</t>
        </r>
        <r>
          <rPr>
            <sz val="8"/>
            <color indexed="81"/>
            <rFont val="Tahoma"/>
            <family val="2"/>
          </rPr>
          <t xml:space="preserve">
Use ratio of production worker hours to extrapolate 2007 fuel use to 2002
</t>
        </r>
      </text>
    </comment>
    <comment ref="FX18" authorId="2" shapeId="0" xr:uid="{00000000-0006-0000-0600-000015000000}">
      <text>
        <r>
          <rPr>
            <b/>
            <sz val="8"/>
            <color indexed="81"/>
            <rFont val="Tahoma"/>
            <family val="2"/>
          </rPr>
          <t>D. Belzer:</t>
        </r>
        <r>
          <rPr>
            <sz val="8"/>
            <color indexed="81"/>
            <rFont val="Tahoma"/>
            <family val="2"/>
          </rPr>
          <t xml:space="preserve">
Use ratio of production worker hours to extrapolate 2007 fuel use to 2002
</t>
        </r>
      </text>
    </comment>
    <comment ref="GR18" authorId="0" shapeId="0" xr:uid="{00000000-0006-0000-0600-000016000000}">
      <text>
        <r>
          <rPr>
            <b/>
            <sz val="9"/>
            <color indexed="81"/>
            <rFont val="Tahoma"/>
            <family val="2"/>
          </rPr>
          <t xml:space="preserve">d belzer:  fuel quantity extrapolated by total electricity between 2007 and 2012
</t>
        </r>
        <r>
          <rPr>
            <sz val="9"/>
            <color indexed="81"/>
            <rFont val="Tahoma"/>
            <family val="2"/>
          </rPr>
          <t xml:space="preserve">
  </t>
        </r>
      </text>
    </comment>
    <comment ref="BL19" authorId="0" shapeId="0" xr:uid="{00000000-0006-0000-0600-000017000000}">
      <text>
        <r>
          <rPr>
            <b/>
            <sz val="9"/>
            <color indexed="81"/>
            <rFont val="Tahoma"/>
            <family val="2"/>
          </rPr>
          <t xml:space="preserve">d belzer:  use aggregate cost per barrel
 </t>
        </r>
      </text>
    </comment>
    <comment ref="DD19" authorId="3" shapeId="0" xr:uid="{00000000-0006-0000-0600-000018000000}">
      <text>
        <r>
          <rPr>
            <b/>
            <sz val="8"/>
            <color indexed="81"/>
            <rFont val="Tahoma"/>
            <family val="2"/>
          </rPr>
          <t>Belzer, David B:</t>
        </r>
        <r>
          <rPr>
            <sz val="8"/>
            <color indexed="81"/>
            <rFont val="Tahoma"/>
            <family val="2"/>
          </rPr>
          <t xml:space="preserve">
Not clear how to distribute the non-disclosed fuels, so assume same overall price as those reported
</t>
        </r>
      </text>
    </comment>
    <comment ref="V20" authorId="0" shapeId="0" xr:uid="{00000000-0006-0000-0600-000019000000}">
      <text>
        <r>
          <rPr>
            <b/>
            <sz val="9"/>
            <color indexed="81"/>
            <rFont val="Tahoma"/>
            <family val="2"/>
          </rPr>
          <t xml:space="preserve">d belzer:  Unfortunately, disclosure issue for 2012.  No significant decline in employment.  Rough estimate based on 2002, 2007 values
</t>
        </r>
        <r>
          <rPr>
            <sz val="9"/>
            <color indexed="81"/>
            <rFont val="Tahoma"/>
            <family val="2"/>
          </rPr>
          <t xml:space="preserve">
</t>
        </r>
      </text>
    </comment>
    <comment ref="EM20" authorId="0" shapeId="0" xr:uid="{00000000-0006-0000-0600-00001A000000}">
      <text>
        <r>
          <rPr>
            <b/>
            <sz val="9"/>
            <color indexed="81"/>
            <rFont val="Tahoma"/>
            <family val="2"/>
          </rPr>
          <t xml:space="preserve">d belzer:  derived from individual fuels - total not disclosed
</t>
        </r>
        <r>
          <rPr>
            <sz val="9"/>
            <color indexed="81"/>
            <rFont val="Tahoma"/>
            <family val="2"/>
          </rPr>
          <t xml:space="preserve">
</t>
        </r>
      </text>
    </comment>
    <comment ref="GK20" authorId="0" shapeId="0" xr:uid="{00000000-0006-0000-0600-00001B000000}">
      <text>
        <r>
          <rPr>
            <b/>
            <sz val="9"/>
            <color indexed="81"/>
            <rFont val="Tahoma"/>
            <family val="2"/>
          </rPr>
          <t>d belzer:  Set equal to 2007 value.  Check employment for 2007</t>
        </r>
        <r>
          <rPr>
            <sz val="9"/>
            <color indexed="81"/>
            <rFont val="Tahoma"/>
            <family val="2"/>
          </rPr>
          <t xml:space="preserve">
</t>
        </r>
      </text>
    </comment>
    <comment ref="GR20" authorId="0" shapeId="0" xr:uid="{00000000-0006-0000-0600-00001C000000}">
      <text>
        <r>
          <rPr>
            <b/>
            <sz val="9"/>
            <color indexed="81"/>
            <rFont val="Tahoma"/>
            <family val="2"/>
          </rPr>
          <t>d belzer:  Set equal to 2007 value.  Check employment for 2007</t>
        </r>
        <r>
          <rPr>
            <sz val="9"/>
            <color indexed="81"/>
            <rFont val="Tahoma"/>
            <family val="2"/>
          </rPr>
          <t xml:space="preserve">
</t>
        </r>
      </text>
    </comment>
    <comment ref="EM21" authorId="0" shapeId="0" xr:uid="{00000000-0006-0000-0600-00001D000000}">
      <text>
        <r>
          <rPr>
            <b/>
            <sz val="9"/>
            <color indexed="81"/>
            <rFont val="Tahoma"/>
            <family val="2"/>
          </rPr>
          <t xml:space="preserve">d belzer:  derived from individual fuels - total not disclosed
</t>
        </r>
        <r>
          <rPr>
            <sz val="9"/>
            <color indexed="81"/>
            <rFont val="Tahoma"/>
            <family val="2"/>
          </rPr>
          <t xml:space="preserve">
</t>
        </r>
      </text>
    </comment>
    <comment ref="EW21" authorId="2" shapeId="0" xr:uid="{00000000-0006-0000-0600-00001E000000}">
      <text>
        <r>
          <rPr>
            <b/>
            <sz val="8"/>
            <color indexed="81"/>
            <rFont val="Tahoma"/>
            <family val="2"/>
          </rPr>
          <t>D. Belzer:</t>
        </r>
        <r>
          <rPr>
            <sz val="8"/>
            <color indexed="81"/>
            <rFont val="Tahoma"/>
            <family val="2"/>
          </rPr>
          <t xml:space="preserve">
Extrapolated from 1992 via total cost of fuels, using deflator of 1.15
</t>
        </r>
      </text>
    </comment>
    <comment ref="FF21" authorId="2" shapeId="0" xr:uid="{00000000-0006-0000-0600-00001F000000}">
      <text>
        <r>
          <rPr>
            <b/>
            <sz val="8"/>
            <color indexed="81"/>
            <rFont val="Tahoma"/>
            <family val="2"/>
          </rPr>
          <t>D. Belzer:</t>
        </r>
        <r>
          <rPr>
            <sz val="8"/>
            <color indexed="81"/>
            <rFont val="Tahoma"/>
            <family val="2"/>
          </rPr>
          <t xml:space="preserve">
Extrapolated from 1997 via total cost of fuels, using deflator of 1.2
</t>
        </r>
      </text>
    </comment>
    <comment ref="DJ29" authorId="3" shapeId="0" xr:uid="{00000000-0006-0000-0600-000020000000}">
      <text>
        <r>
          <rPr>
            <b/>
            <sz val="8"/>
            <color indexed="81"/>
            <rFont val="Tahoma"/>
            <family val="2"/>
          </rPr>
          <t>Belzer, David B:</t>
        </r>
        <r>
          <rPr>
            <sz val="8"/>
            <color indexed="81"/>
            <rFont val="Tahoma"/>
            <family val="2"/>
          </rPr>
          <t xml:space="preserve">
Decision to not try to include coal, as there was no coal reported in later years</t>
        </r>
      </text>
    </comment>
    <comment ref="AF31" authorId="2" shapeId="0" xr:uid="{00000000-0006-0000-0600-000021000000}">
      <text>
        <r>
          <rPr>
            <b/>
            <sz val="8"/>
            <color indexed="81"/>
            <rFont val="Tahoma"/>
            <family val="2"/>
          </rPr>
          <t>D. Belzer:</t>
        </r>
        <r>
          <rPr>
            <sz val="8"/>
            <color indexed="81"/>
            <rFont val="Tahoma"/>
            <family val="2"/>
          </rPr>
          <t xml:space="preserve">
Extrapolated by annual hours of production workers, Table 3.
</t>
        </r>
      </text>
    </comment>
    <comment ref="AY31" authorId="0" shapeId="0" xr:uid="{00000000-0006-0000-0600-000022000000}">
      <text>
        <r>
          <rPr>
            <b/>
            <sz val="9"/>
            <color indexed="81"/>
            <rFont val="Tahoma"/>
            <family val="2"/>
          </rPr>
          <t xml:space="preserve">d belzer:  use aggregate cost per barrel
 </t>
        </r>
      </text>
    </comment>
    <comment ref="BH32" authorId="3" shapeId="0" xr:uid="{00000000-0006-0000-0600-000023000000}">
      <text>
        <r>
          <rPr>
            <b/>
            <sz val="8"/>
            <color indexed="81"/>
            <rFont val="Tahoma"/>
            <family val="2"/>
          </rPr>
          <t>Belzer, David B:</t>
        </r>
        <r>
          <rPr>
            <sz val="8"/>
            <color indexed="81"/>
            <rFont val="Tahoma"/>
            <family val="2"/>
          </rPr>
          <t xml:space="preserve">
extrapolate from 1997 with annual hours
</t>
        </r>
      </text>
    </comment>
    <comment ref="GH32" authorId="3" shapeId="0" xr:uid="{00000000-0006-0000-0600-000024000000}">
      <text>
        <r>
          <rPr>
            <b/>
            <sz val="8"/>
            <color indexed="81"/>
            <rFont val="Tahoma"/>
            <family val="2"/>
          </rPr>
          <t>Belzer, David B:</t>
        </r>
        <r>
          <rPr>
            <sz val="8"/>
            <color indexed="81"/>
            <rFont val="Tahoma"/>
            <family val="2"/>
          </rPr>
          <t xml:space="preserve">
developed overall price index to go from 2002 to 2007.  Wgts based on value shares for 2002
</t>
        </r>
      </text>
    </comment>
    <comment ref="HC32" authorId="0" shapeId="0" xr:uid="{00000000-0006-0000-0600-000025000000}">
      <text>
        <r>
          <rPr>
            <b/>
            <sz val="9"/>
            <color indexed="81"/>
            <rFont val="Tahoma"/>
            <family val="2"/>
          </rPr>
          <t xml:space="preserve">d belzer:  Disclosures for last three sectors in 2123.  Extrapolate electricity by number of employees, 2012/2002
</t>
        </r>
        <r>
          <rPr>
            <sz val="9"/>
            <color indexed="81"/>
            <rFont val="Tahoma"/>
            <family val="2"/>
          </rPr>
          <t xml:space="preserve">
</t>
        </r>
      </text>
    </comment>
    <comment ref="FO33" authorId="2" shapeId="0" xr:uid="{00000000-0006-0000-0600-000026000000}">
      <text>
        <r>
          <rPr>
            <b/>
            <sz val="8"/>
            <color indexed="81"/>
            <rFont val="Tahoma"/>
            <family val="2"/>
          </rPr>
          <t>D. Belzer:</t>
        </r>
        <r>
          <rPr>
            <sz val="8"/>
            <color indexed="81"/>
            <rFont val="Tahoma"/>
            <family val="2"/>
          </rPr>
          <t xml:space="preserve">
Use ratio of production worker hours to extrapolate 2007 fuel use to 2002
</t>
        </r>
      </text>
    </comment>
    <comment ref="DT36" authorId="3" shapeId="0" xr:uid="{00000000-0006-0000-0600-000027000000}">
      <text>
        <r>
          <rPr>
            <b/>
            <sz val="8"/>
            <color indexed="81"/>
            <rFont val="Tahoma"/>
            <family val="2"/>
          </rPr>
          <t>Belzer, David B:</t>
        </r>
        <r>
          <rPr>
            <sz val="8"/>
            <color indexed="81"/>
            <rFont val="Tahoma"/>
            <family val="2"/>
          </rPr>
          <t xml:space="preserve">
Adjusted upward by 5000 to account for values in 2002 report
</t>
        </r>
      </text>
    </comment>
    <comment ref="FX41" authorId="3" shapeId="0" xr:uid="{00000000-0006-0000-0600-000028000000}">
      <text>
        <r>
          <rPr>
            <b/>
            <sz val="8"/>
            <color indexed="81"/>
            <rFont val="Tahoma"/>
            <family val="2"/>
          </rPr>
          <t>Belzer, David B:</t>
        </r>
        <r>
          <rPr>
            <sz val="8"/>
            <color indexed="81"/>
            <rFont val="Tahoma"/>
            <family val="2"/>
          </rPr>
          <t xml:space="preserve">
extrapolated by hours
</t>
        </r>
      </text>
    </comment>
    <comment ref="DT42" authorId="3" shapeId="0" xr:uid="{00000000-0006-0000-0600-000029000000}">
      <text>
        <r>
          <rPr>
            <b/>
            <sz val="8"/>
            <color indexed="81"/>
            <rFont val="Tahoma"/>
            <family val="2"/>
          </rPr>
          <t>Belzer, David B:</t>
        </r>
        <r>
          <rPr>
            <sz val="8"/>
            <color indexed="81"/>
            <rFont val="Tahoma"/>
            <family val="2"/>
          </rPr>
          <t xml:space="preserve">
Adjusted upward by 1000 to account for 2002 revision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AH12" authorId="0" shapeId="0" xr:uid="{85FEF0E6-C22A-49B5-8F5F-83834AB372C5}">
      <text>
        <r>
          <rPr>
            <b/>
            <sz val="9"/>
            <color indexed="81"/>
            <rFont val="Tahoma"/>
            <family val="2"/>
          </rPr>
          <t>David:</t>
        </r>
        <r>
          <rPr>
            <sz val="9"/>
            <color indexed="81"/>
            <rFont val="Tahoma"/>
            <family val="2"/>
          </rPr>
          <t xml:space="preserve">
Derived from sum of the published fuels in 2012 see worksheet Data 1987-2012
</t>
        </r>
      </text>
    </comment>
    <comment ref="AK13" authorId="0" shapeId="0" xr:uid="{012BEDE0-422E-46DB-B97D-5DEA2409598D}">
      <text>
        <r>
          <rPr>
            <b/>
            <sz val="9"/>
            <color indexed="81"/>
            <rFont val="Tahoma"/>
            <family val="2"/>
          </rPr>
          <t>David:</t>
        </r>
        <r>
          <rPr>
            <sz val="9"/>
            <color indexed="81"/>
            <rFont val="Tahoma"/>
            <family val="2"/>
          </rPr>
          <t xml:space="preserve">
Approximately equal to multiplier for electricity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author>
    <author>Belzer, David B</author>
    <author>david</author>
  </authors>
  <commentList>
    <comment ref="FN16" authorId="0" shapeId="0" xr:uid="{7BB968FD-8127-40EC-90C0-C0AC2253E852}">
      <text>
        <r>
          <rPr>
            <b/>
            <sz val="9"/>
            <color indexed="81"/>
            <rFont val="Tahoma"/>
            <family val="2"/>
          </rPr>
          <t>David:</t>
        </r>
        <r>
          <rPr>
            <sz val="9"/>
            <color indexed="81"/>
            <rFont val="Tahoma"/>
            <family val="2"/>
          </rPr>
          <t xml:space="preserve">
This series is based on the BLS gross output series.  It seemed more consistent with the high level petroleum drilling activity in the early 1980s.  See graphic to the right.  The two series are very close since about 2006
</t>
        </r>
      </text>
    </comment>
    <comment ref="AW17" authorId="1" shapeId="0" xr:uid="{00000000-0006-0000-0A00-000001000000}">
      <text>
        <r>
          <rPr>
            <b/>
            <sz val="8"/>
            <color indexed="81"/>
            <rFont val="Tahoma"/>
            <family val="2"/>
          </rPr>
          <t>Belzer, David B:</t>
        </r>
        <r>
          <rPr>
            <sz val="8"/>
            <color indexed="81"/>
            <rFont val="Tahoma"/>
            <family val="2"/>
          </rPr>
          <t xml:space="preserve">
Use total production from Table 7.1 in AER to extrapolate 1972 output back to 1970 and 1971
</t>
        </r>
      </text>
    </comment>
    <comment ref="CQ17" authorId="1" shapeId="0" xr:uid="{00000000-0006-0000-0A00-000002000000}">
      <text>
        <r>
          <rPr>
            <b/>
            <sz val="8"/>
            <color indexed="81"/>
            <rFont val="Tahoma"/>
            <family val="2"/>
          </rPr>
          <t>Belzer, David B:</t>
        </r>
        <r>
          <rPr>
            <sz val="8"/>
            <color indexed="81"/>
            <rFont val="Tahoma"/>
            <family val="2"/>
          </rPr>
          <t xml:space="preserve">
Adjust by 10% to account for discontinuity from other chemical and fertilizer mining, going from SIC to NAICS in 1997
</t>
        </r>
      </text>
    </comment>
    <comment ref="DM17" authorId="1" shapeId="0" xr:uid="{00000000-0006-0000-0A00-000003000000}">
      <text>
        <r>
          <rPr>
            <b/>
            <sz val="8"/>
            <color indexed="81"/>
            <rFont val="Tahoma"/>
            <family val="2"/>
          </rPr>
          <t>Belzer, David B:</t>
        </r>
        <r>
          <rPr>
            <sz val="8"/>
            <color indexed="81"/>
            <rFont val="Tahoma"/>
            <family val="2"/>
          </rPr>
          <t xml:space="preserve">
Adjust by 10% to account for discontinuity from other chemical and fertilizer mining, going from SIC to NAICS in 1997
</t>
        </r>
      </text>
    </comment>
    <comment ref="EC17" authorId="2" shapeId="0" xr:uid="{00000000-0006-0000-0A00-000004000000}">
      <text>
        <r>
          <rPr>
            <b/>
            <sz val="9"/>
            <color indexed="81"/>
            <rFont val="Tahoma"/>
            <family val="2"/>
          </rPr>
          <t>d belzer:</t>
        </r>
        <r>
          <rPr>
            <sz val="9"/>
            <color indexed="81"/>
            <rFont val="Tahoma"/>
            <family val="2"/>
          </rPr>
          <t xml:space="preserve">
see BLS outputs spreadsheet, worksheet compare_213</t>
        </r>
      </text>
    </comment>
    <comment ref="EE17" authorId="1" shapeId="0" xr:uid="{00000000-0006-0000-0A00-000005000000}">
      <text>
        <r>
          <rPr>
            <b/>
            <sz val="8"/>
            <color indexed="81"/>
            <rFont val="Tahoma"/>
            <family val="2"/>
          </rPr>
          <t>Belzer, David B:</t>
        </r>
        <r>
          <rPr>
            <sz val="8"/>
            <color indexed="81"/>
            <rFont val="Tahoma"/>
            <family val="2"/>
          </rPr>
          <t xml:space="preserve">
Adjust by 10% to account for discontinuity from other chemical and fertilizer mining, going from SIC to NAICS in 1997
</t>
        </r>
      </text>
    </comment>
    <comment ref="FA17" authorId="1" shapeId="0" xr:uid="{00000000-0006-0000-0A00-000006000000}">
      <text>
        <r>
          <rPr>
            <b/>
            <sz val="8"/>
            <color indexed="81"/>
            <rFont val="Tahoma"/>
            <family val="2"/>
          </rPr>
          <t>Belzer, David B:</t>
        </r>
        <r>
          <rPr>
            <sz val="8"/>
            <color indexed="81"/>
            <rFont val="Tahoma"/>
            <family val="2"/>
          </rPr>
          <t xml:space="preserve">
Adjust by 10% to account for discontinuity from other chemical and fertilizer mining, going from SIC to NAICS in 1997
</t>
        </r>
      </text>
    </comment>
    <comment ref="AO24" authorId="0" shapeId="0" xr:uid="{B19FB255-06FF-4E3C-A68E-73B8CF85E94B}">
      <text>
        <r>
          <rPr>
            <b/>
            <sz val="9"/>
            <color indexed="81"/>
            <rFont val="Tahoma"/>
            <family val="2"/>
          </rPr>
          <t>David:</t>
        </r>
        <r>
          <rPr>
            <sz val="9"/>
            <color indexed="81"/>
            <rFont val="Tahoma"/>
            <family val="2"/>
          </rPr>
          <t xml:space="preserve">
The intensities were set to a constant value from 1970 to 1977.  The substantial increase in fuel consumption over this period appeared inconsistent with output measures for this sector D.B. 3/14/2020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K14" authorId="0" shapeId="0" xr:uid="{831B0BF6-9EB2-44A0-B8A5-8EDE1749E6A7}">
      <text>
        <r>
          <rPr>
            <b/>
            <sz val="9"/>
            <color indexed="81"/>
            <rFont val="Tahoma"/>
            <family val="2"/>
          </rPr>
          <t>D. Belzer  - sum of BLS estimates comparable to BEA gross output estimate in column N</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david</author>
  </authors>
  <commentList>
    <comment ref="G13" authorId="0" shapeId="0" xr:uid="{00000000-0006-0000-0D00-000001000000}">
      <text>
        <r>
          <rPr>
            <b/>
            <sz val="9"/>
            <color indexed="81"/>
            <rFont val="Tahoma"/>
            <family val="2"/>
          </rPr>
          <t xml:space="preserve">d_belzer:  extrapolated with gasoline price from Table 9.7 in MER (latest Aug 2016)
</t>
        </r>
        <r>
          <rPr>
            <sz val="9"/>
            <color indexed="81"/>
            <rFont val="Tahoma"/>
            <family val="2"/>
          </rPr>
          <t xml:space="preserve">
</t>
        </r>
      </text>
    </comment>
    <comment ref="O13" authorId="0" shapeId="0" xr:uid="{00000000-0006-0000-0D00-000002000000}">
      <text>
        <r>
          <rPr>
            <b/>
            <sz val="9"/>
            <color indexed="81"/>
            <rFont val="Tahoma"/>
            <family val="2"/>
          </rPr>
          <t>d belzer:  Extrapolated with Refiner price to End Users, Table 9.7 in MER</t>
        </r>
        <r>
          <rPr>
            <sz val="9"/>
            <color indexed="81"/>
            <rFont val="Tahoma"/>
            <family val="2"/>
          </rPr>
          <t xml:space="preserve">
</t>
        </r>
      </text>
    </comment>
    <comment ref="G14" authorId="0" shapeId="0" xr:uid="{B13EAFBA-1155-4CFF-9D8E-5C67EE2FD7E1}">
      <text>
        <r>
          <rPr>
            <b/>
            <sz val="9"/>
            <color indexed="81"/>
            <rFont val="Tahoma"/>
            <family val="2"/>
          </rPr>
          <t xml:space="preserve">d_belzer:  extrapolated with gasoline price from Table 9.7 in MER (latest Nov. 2019)
</t>
        </r>
        <r>
          <rPr>
            <sz val="9"/>
            <color indexed="81"/>
            <rFont val="Tahoma"/>
            <family val="2"/>
          </rPr>
          <t xml:space="preserve">
</t>
        </r>
      </text>
    </comment>
    <comment ref="O14" authorId="0" shapeId="0" xr:uid="{043614A3-0A39-4FCA-BC10-4ED8DA4565D1}">
      <text>
        <r>
          <rPr>
            <b/>
            <sz val="9"/>
            <color indexed="81"/>
            <rFont val="Tahoma"/>
            <family val="2"/>
          </rPr>
          <t>d belzer:  Extrapolated with Refiner price to End Users, Table 9.7 in MER</t>
        </r>
        <r>
          <rPr>
            <sz val="9"/>
            <color indexed="81"/>
            <rFont val="Tahoma"/>
            <family val="2"/>
          </rPr>
          <t xml:space="preserve">
</t>
        </r>
      </text>
    </comment>
  </commentList>
</comments>
</file>

<file path=xl/sharedStrings.xml><?xml version="1.0" encoding="utf-8"?>
<sst xmlns="http://schemas.openxmlformats.org/spreadsheetml/2006/main" count="1677" uniqueCount="508">
  <si>
    <t>Employees</t>
  </si>
  <si>
    <t xml:space="preserve"> Establishments</t>
  </si>
  <si>
    <t>Coal</t>
  </si>
  <si>
    <t>Average 1997:2002</t>
  </si>
  <si>
    <t xml:space="preserve"> Th. S. tons</t>
  </si>
  <si>
    <t>Bituminous, underground</t>
  </si>
  <si>
    <t>Distillate</t>
  </si>
  <si>
    <t>Th. Barrels</t>
  </si>
  <si>
    <t xml:space="preserve"> Residual</t>
  </si>
  <si>
    <t>Gas</t>
  </si>
  <si>
    <t>bil. Cu ft.</t>
  </si>
  <si>
    <t>Gasoline</t>
  </si>
  <si>
    <t>mil. Gal.</t>
  </si>
  <si>
    <t>Undistributed</t>
  </si>
  <si>
    <t>est. %</t>
  </si>
  <si>
    <t>Bituminous, surface</t>
  </si>
  <si>
    <t>Anthracite</t>
  </si>
  <si>
    <t>Copper &amp; Nickel</t>
  </si>
  <si>
    <t>Iron Ore</t>
  </si>
  <si>
    <t>Gold Ore</t>
  </si>
  <si>
    <t>Silver Ore</t>
  </si>
  <si>
    <t>Potash, Soda, &amp; Borate</t>
  </si>
  <si>
    <t>Lead &amp; Zinc Ore</t>
  </si>
  <si>
    <t>Uranium/Radium/Vanadium</t>
  </si>
  <si>
    <t>Phosphate Rock</t>
  </si>
  <si>
    <t>Dimension Stone Mining</t>
  </si>
  <si>
    <t>Crushed and Broken Limestone</t>
  </si>
  <si>
    <t>Other Chem. &amp; Fertilizer Minerals</t>
  </si>
  <si>
    <t>All Other Nonmetallic Minerals</t>
  </si>
  <si>
    <t>Crushed and Broken Granite</t>
  </si>
  <si>
    <t>Kaolin &amp; Ball Clay</t>
  </si>
  <si>
    <t xml:space="preserve">All Other Metal Ores </t>
  </si>
  <si>
    <t>short ton</t>
  </si>
  <si>
    <t>Census Unit</t>
  </si>
  <si>
    <t>Std. Unit</t>
  </si>
  <si>
    <t xml:space="preserve"> Tbtu/Census Unit</t>
  </si>
  <si>
    <t xml:space="preserve"> Th. Sh. Tons</t>
  </si>
  <si>
    <t>MMBtu/unit</t>
  </si>
  <si>
    <t>barrel</t>
  </si>
  <si>
    <t xml:space="preserve"> Th. Barrels</t>
  </si>
  <si>
    <t>Residual</t>
  </si>
  <si>
    <t>cu. ft.</t>
  </si>
  <si>
    <t>million gallons</t>
  </si>
  <si>
    <t>bil. Cu. Ft.</t>
  </si>
  <si>
    <t>Conv. Factor:</t>
  </si>
  <si>
    <t xml:space="preserve"> Coal</t>
  </si>
  <si>
    <t xml:space="preserve"> Distillate</t>
  </si>
  <si>
    <t xml:space="preserve"> Gas</t>
  </si>
  <si>
    <t xml:space="preserve"> Total</t>
  </si>
  <si>
    <t>Crude Petroleum and Nat. Gas</t>
  </si>
  <si>
    <t>Natural Gas Liquid Extraction</t>
  </si>
  <si>
    <t xml:space="preserve">   (natural gas liquids - SIC basis, 1312)</t>
  </si>
  <si>
    <t xml:space="preserve">    Crude Petroleum/Gas</t>
  </si>
  <si>
    <t xml:space="preserve">    Metal mining</t>
  </si>
  <si>
    <t xml:space="preserve">    Non-metallic mineral mining</t>
  </si>
  <si>
    <t xml:space="preserve">    Coal Mining</t>
  </si>
  <si>
    <t xml:space="preserve">              </t>
  </si>
  <si>
    <t>Total</t>
  </si>
  <si>
    <t>Electricity</t>
  </si>
  <si>
    <t>Thou. kWh</t>
  </si>
  <si>
    <t xml:space="preserve"> Electricity</t>
  </si>
  <si>
    <t>kWh</t>
  </si>
  <si>
    <t>Th. kWh</t>
  </si>
  <si>
    <t xml:space="preserve"> Total Fuel</t>
  </si>
  <si>
    <t xml:space="preserve">  Fuel</t>
  </si>
  <si>
    <t xml:space="preserve">  Total</t>
  </si>
  <si>
    <t>Other Crushed and Broken Stone</t>
  </si>
  <si>
    <t>PNNL Estimate</t>
  </si>
  <si>
    <t>Construction Sand and Gravel</t>
  </si>
  <si>
    <t>Industrial Sand Mining</t>
  </si>
  <si>
    <t>Chemicals</t>
  </si>
  <si>
    <t xml:space="preserve">               Total Heat and Power</t>
  </si>
  <si>
    <t xml:space="preserve">                   Separations</t>
  </si>
  <si>
    <t>Petroleum Refining</t>
  </si>
  <si>
    <t xml:space="preserve">Mining </t>
  </si>
  <si>
    <t xml:space="preserve">      Petroleum and Natural Gas</t>
  </si>
  <si>
    <t xml:space="preserve">      Non-metallic Minerals</t>
  </si>
  <si>
    <t xml:space="preserve">      Metals</t>
  </si>
  <si>
    <t xml:space="preserve">      Coal </t>
  </si>
  <si>
    <t>Estimated Current Energy Consumption (Tbtu)</t>
  </si>
  <si>
    <t>(Trillion Btu)</t>
  </si>
  <si>
    <t>Glass</t>
  </si>
  <si>
    <t>Total Distillation (Chemicals</t>
  </si>
  <si>
    <t xml:space="preserve"> and Petroleum Refining), 1992</t>
  </si>
  <si>
    <t xml:space="preserve">     Cryogenic</t>
  </si>
  <si>
    <t>U. S. Manufacturing</t>
  </si>
  <si>
    <t xml:space="preserve">    Process Energy Use</t>
  </si>
  <si>
    <t xml:space="preserve">                   (estimated 95% to distillation)</t>
  </si>
  <si>
    <t>By Process</t>
  </si>
  <si>
    <t>Distributed</t>
  </si>
  <si>
    <t xml:space="preserve"> Total Fuel Cost</t>
  </si>
  <si>
    <t>Industrial Sector</t>
  </si>
  <si>
    <t xml:space="preserve">  Average 1998,2002</t>
  </si>
  <si>
    <t xml:space="preserve">  Fuels</t>
  </si>
  <si>
    <t>Electricity Distribution Losses</t>
  </si>
  <si>
    <t xml:space="preserve">  Mining</t>
  </si>
  <si>
    <t xml:space="preserve">  Manufacturing</t>
  </si>
  <si>
    <t xml:space="preserve">     Petroleum and Coal Products</t>
  </si>
  <si>
    <t xml:space="preserve">     Chemicals</t>
  </si>
  <si>
    <t xml:space="preserve">     Paper</t>
  </si>
  <si>
    <t xml:space="preserve">     Iron and Steel Mills</t>
  </si>
  <si>
    <t xml:space="preserve">     Other manufacturing</t>
  </si>
  <si>
    <t xml:space="preserve"> Losses to Sales</t>
  </si>
  <si>
    <t xml:space="preserve">  Other Industrial</t>
  </si>
  <si>
    <t xml:space="preserve">  Feedstock Use</t>
  </si>
  <si>
    <t xml:space="preserve">    Crude Petroleum/Natural Gas</t>
  </si>
  <si>
    <t xml:space="preserve">    Metal Mining</t>
  </si>
  <si>
    <t xml:space="preserve">    Non-metallic Mineral Mining</t>
  </si>
  <si>
    <t>Electrical System Energy Losses</t>
  </si>
  <si>
    <t>Sources:</t>
  </si>
  <si>
    <t xml:space="preserve">  2)  Mining:  1997 and 2002 Economic Census</t>
  </si>
  <si>
    <r>
      <t xml:space="preserve">  3)  Manufacturing: 1998 and 2002 (preliminary) </t>
    </r>
    <r>
      <rPr>
        <i/>
        <sz val="10"/>
        <rFont val="Arial"/>
        <family val="2"/>
      </rPr>
      <t>Manufacturing Energy Consumption Survey</t>
    </r>
  </si>
  <si>
    <r>
      <t xml:space="preserve">  1)  Industrial Sector:  </t>
    </r>
    <r>
      <rPr>
        <i/>
        <sz val="10"/>
        <rFont val="Arial"/>
        <family val="2"/>
      </rPr>
      <t>Annual Energy Review 2003.</t>
    </r>
  </si>
  <si>
    <r>
      <t xml:space="preserve">  Other Industrial</t>
    </r>
    <r>
      <rPr>
        <vertAlign val="superscript"/>
        <sz val="10"/>
        <rFont val="Arial"/>
        <family val="2"/>
      </rPr>
      <t>a</t>
    </r>
  </si>
  <si>
    <t xml:space="preserve">      from data provided by energy suppliers (utilities) to industrial customers.  Mining and</t>
  </si>
  <si>
    <t xml:space="preserve">      Energy consumption is calculated as a residual.  Total industrial energy use is compiled </t>
  </si>
  <si>
    <t xml:space="preserve"> a)  Other industrial includes agriculture, construction, and water and sewage treatment plants. </t>
  </si>
  <si>
    <t xml:space="preserve">      manufacturing energy use is collected from firms using energy.  Additional work is required</t>
  </si>
  <si>
    <t xml:space="preserve">      to reconcile these sources and develop a consistent breakdown of industrial energy</t>
  </si>
  <si>
    <t xml:space="preserve">      consumption.</t>
  </si>
  <si>
    <t>Note:</t>
  </si>
  <si>
    <t xml:space="preserve"> Industrial Energy Consumption by Major Sub-sectors</t>
  </si>
  <si>
    <t xml:space="preserve">  Mining (1997 &amp; 2002)</t>
  </si>
  <si>
    <t xml:space="preserve"> (Average of 1998 and 2002 Consumption, Trillion Btu)</t>
  </si>
  <si>
    <t>Manufacturing</t>
  </si>
  <si>
    <t>Purchased Fuel</t>
  </si>
  <si>
    <t>Losses</t>
  </si>
  <si>
    <t>Boiler Losses</t>
  </si>
  <si>
    <t xml:space="preserve">  CHP</t>
  </si>
  <si>
    <t xml:space="preserve"> Fuel for Process</t>
  </si>
  <si>
    <t xml:space="preserve"> Input Fuel</t>
  </si>
  <si>
    <t xml:space="preserve"> Fuel not in boiler</t>
  </si>
  <si>
    <t xml:space="preserve"> Facilities</t>
  </si>
  <si>
    <t xml:space="preserve"> Steam Produced</t>
  </si>
  <si>
    <t xml:space="preserve"> Steam</t>
  </si>
  <si>
    <t xml:space="preserve"> Heat+Steam</t>
  </si>
  <si>
    <t>Calc H+S</t>
  </si>
  <si>
    <t>Distribution Loss</t>
  </si>
  <si>
    <t xml:space="preserve"> Fuel for Boilers</t>
  </si>
  <si>
    <t>Steam Produced</t>
  </si>
  <si>
    <t xml:space="preserve">  Applied to Process</t>
  </si>
  <si>
    <t xml:space="preserve">   Steel</t>
  </si>
  <si>
    <t xml:space="preserve">   Chemicals</t>
  </si>
  <si>
    <t xml:space="preserve"> Fired Heaters</t>
  </si>
  <si>
    <t xml:space="preserve">   Plastics and Rubber Products</t>
  </si>
  <si>
    <t xml:space="preserve">   Petroleum Refining</t>
  </si>
  <si>
    <t xml:space="preserve"> Distribution Losses</t>
  </si>
  <si>
    <t>Purchased Fuels</t>
  </si>
  <si>
    <t>Transport</t>
  </si>
  <si>
    <t xml:space="preserve"> Used as Steam </t>
  </si>
  <si>
    <t>Electricity Generation</t>
  </si>
  <si>
    <t>Cooling</t>
  </si>
  <si>
    <t>Motor-Driven</t>
  </si>
  <si>
    <t>Facility, Transport, Cooling, Motor-Driven</t>
  </si>
  <si>
    <t xml:space="preserve">   Estimated Distribution of Uses of Purchased Fuels </t>
  </si>
  <si>
    <t xml:space="preserve">                   (Trillion Btu)</t>
  </si>
  <si>
    <t xml:space="preserve">   Other Manufacturing</t>
  </si>
  <si>
    <t xml:space="preserve"> Used in Fired Heaters and Other Equipment</t>
  </si>
  <si>
    <t>Mining</t>
  </si>
  <si>
    <t>Source:  Based upon Energy Footprints for Total Manufacturing, Chemicals, Petroleum Refining, and Mining</t>
  </si>
  <si>
    <t>Mining (excluding crude petrol./nat. gas)</t>
  </si>
  <si>
    <t>http://www.eere.energy.gov/industry/energy_systems/footprints.html</t>
  </si>
  <si>
    <t>Energy Footments developed by Industrial Technologies Program, downloadable from:</t>
  </si>
  <si>
    <t>Heat and Power</t>
  </si>
  <si>
    <t>Feedstocks</t>
  </si>
  <si>
    <t xml:space="preserve">  Coal, Petroleum, Natural Gas</t>
  </si>
  <si>
    <t>Cost</t>
  </si>
  <si>
    <t>Tot. cost -2007</t>
  </si>
  <si>
    <t>Other fuel 2007</t>
  </si>
  <si>
    <t>Clay</t>
  </si>
  <si>
    <t>NAICS Code</t>
  </si>
  <si>
    <t>Quantity</t>
  </si>
  <si>
    <t>Total, wo Servf</t>
  </si>
  <si>
    <t xml:space="preserve"> Unit Cost</t>
  </si>
  <si>
    <t>Table 7.9  Coal Prices, 1949-2010</t>
  </si>
  <si>
    <t>                    (Dollars per Short Ton)</t>
  </si>
  <si>
    <t>Year</t>
  </si>
  <si>
    <t>Bituminous Coal</t>
  </si>
  <si>
    <t>Subbituminous Coal</t>
  </si>
  <si>
    <r>
      <t>Lignite </t>
    </r>
    <r>
      <rPr>
        <vertAlign val="superscript"/>
        <sz val="5"/>
        <color indexed="8"/>
        <rFont val="Arial"/>
        <family val="2"/>
      </rPr>
      <t>1</t>
    </r>
  </si>
  <si>
    <r>
      <t>Nominal </t>
    </r>
    <r>
      <rPr>
        <vertAlign val="superscript"/>
        <sz val="5"/>
        <color indexed="8"/>
        <rFont val="Arial"/>
        <family val="2"/>
      </rPr>
      <t>2</t>
    </r>
  </si>
  <si>
    <r>
      <t>Real </t>
    </r>
    <r>
      <rPr>
        <vertAlign val="superscript"/>
        <sz val="5"/>
        <color indexed="8"/>
        <rFont val="Arial"/>
        <family val="2"/>
      </rPr>
      <t>3</t>
    </r>
  </si>
  <si>
    <t>[4]</t>
  </si>
  <si>
    <t>[R]</t>
  </si>
  <si>
    <r>
      <t>2010</t>
    </r>
    <r>
      <rPr>
        <vertAlign val="superscript"/>
        <sz val="5"/>
        <color indexed="8"/>
        <rFont val="Arial"/>
        <family val="2"/>
      </rPr>
      <t>E</t>
    </r>
  </si>
  <si>
    <r>
      <t>1</t>
    </r>
    <r>
      <rPr>
        <sz val="7"/>
        <color indexed="8"/>
        <rFont val="Arial"/>
        <family val="2"/>
      </rPr>
      <t>Because of withholding to protect company confidentiality, lignite prices exclude Texas for 1955-1977</t>
    </r>
  </si>
  <si>
    <t>R=Revised.  E=Estimate.  </t>
  </si>
  <si>
    <t>and Montana for 1974-1978.  As a result, lignite prices for 1974-1977 are for North Dakota only.</t>
  </si>
  <si>
    <r>
      <t>2</t>
    </r>
    <r>
      <rPr>
        <sz val="7"/>
        <color indexed="8"/>
        <rFont val="Arial"/>
        <family val="2"/>
      </rPr>
      <t>See "Nominal Dollars" in Glossary.</t>
    </r>
  </si>
  <si>
    <t>Note:  Prices are free-on-board (F.O.B.) rail/barge prices, which are the F.O.B. prices of coal at the point</t>
  </si>
  <si>
    <t>of first sale, excluding freight or shipping and insurance costs.  For 1949-2000, prices are for open market</t>
  </si>
  <si>
    <t>and captive coal sales; for 2001-2007, prices are for open market coal sales; for 2008 forward, prices are</t>
  </si>
  <si>
    <t>for open market and captive coal sales.  See "Captive Coal," "Free on Board (F.O.B.)," and "Open Market</t>
  </si>
  <si>
    <t>Coal" in Glossary.</t>
  </si>
  <si>
    <r>
      <t>3</t>
    </r>
    <r>
      <rPr>
        <sz val="7"/>
        <color indexed="8"/>
        <rFont val="Arial"/>
        <family val="2"/>
      </rPr>
      <t>In chained (2005) dollars, calculated by using gross domestic product implicit price deflators in Table</t>
    </r>
  </si>
  <si>
    <t>Web Page:  For related information, see http://www.eia.gov/coal/.</t>
  </si>
  <si>
    <t>D1.  See "Chained Dollars" in Glossary.</t>
  </si>
  <si>
    <r>
      <t>4</t>
    </r>
    <r>
      <rPr>
        <sz val="7"/>
        <color indexed="8"/>
        <rFont val="Arial"/>
        <family val="2"/>
      </rPr>
      <t>Through 1978, subbituminous coal is included in "Bituminous Coal."</t>
    </r>
  </si>
  <si>
    <r>
      <t>Sources:  </t>
    </r>
    <r>
      <rPr>
        <sz val="7"/>
        <color indexed="8"/>
        <rFont val="Symbol"/>
        <family val="1"/>
        <charset val="2"/>
      </rPr>
      <t>·</t>
    </r>
    <r>
      <rPr>
        <sz val="7"/>
        <color indexed="8"/>
        <rFont val="Arial"/>
        <family val="2"/>
      </rPr>
      <t>  1949-1975Bureau of Mines (BOM), </t>
    </r>
    <r>
      <rPr>
        <i/>
        <sz val="7"/>
        <color indexed="8"/>
        <rFont val="Arial"/>
        <family val="2"/>
      </rPr>
      <t>Minerals Yearbook.  </t>
    </r>
    <r>
      <rPr>
        <sz val="7"/>
        <color indexed="8"/>
        <rFont val="Symbol"/>
        <family val="1"/>
        <charset val="2"/>
      </rPr>
      <t>·</t>
    </r>
    <r>
      <rPr>
        <sz val="7"/>
        <color indexed="8"/>
        <rFont val="Arial"/>
        <family val="2"/>
      </rPr>
      <t>  1976U.S. Energy Information</t>
    </r>
  </si>
  <si>
    <r>
      <t>Administration (EIA), Energy Data Report, </t>
    </r>
    <r>
      <rPr>
        <i/>
        <sz val="7"/>
        <color indexed="8"/>
        <rFont val="Arial"/>
        <family val="2"/>
      </rPr>
      <t>CoalBituminous and Lignite in 1976, </t>
    </r>
    <r>
      <rPr>
        <sz val="7"/>
        <color indexed="8"/>
        <rFont val="Arial"/>
        <family val="2"/>
      </rPr>
      <t>and BOM, </t>
    </r>
    <r>
      <rPr>
        <i/>
        <sz val="7"/>
        <color indexed="8"/>
        <rFont val="Arial"/>
        <family val="2"/>
      </rPr>
      <t>Minerals</t>
    </r>
  </si>
  <si>
    <r>
      <t>Yearbook.  </t>
    </r>
    <r>
      <rPr>
        <sz val="7"/>
        <color indexed="8"/>
        <rFont val="Symbol"/>
        <family val="1"/>
        <charset val="2"/>
      </rPr>
      <t>·</t>
    </r>
    <r>
      <rPr>
        <sz val="7"/>
        <color indexed="8"/>
        <rFont val="Arial"/>
        <family val="2"/>
      </rPr>
      <t>  1977 and 1978EIA, Energy Data Reports, </t>
    </r>
    <r>
      <rPr>
        <i/>
        <sz val="7"/>
        <color indexed="8"/>
        <rFont val="Arial"/>
        <family val="2"/>
      </rPr>
      <t>Bituminous Coal and Lignite Production and</t>
    </r>
  </si>
  <si>
    <r>
      <t>Mine Operations, </t>
    </r>
    <r>
      <rPr>
        <sz val="7"/>
        <color indexed="8"/>
        <rFont val="Arial"/>
        <family val="2"/>
      </rPr>
      <t>and </t>
    </r>
    <r>
      <rPr>
        <i/>
        <sz val="7"/>
        <color indexed="8"/>
        <rFont val="Arial"/>
        <family val="2"/>
      </rPr>
      <t>CoalPennsylvania Anthracite.  </t>
    </r>
    <r>
      <rPr>
        <sz val="7"/>
        <color indexed="8"/>
        <rFont val="Symbol"/>
        <family val="1"/>
        <charset val="2"/>
      </rPr>
      <t>·</t>
    </r>
    <r>
      <rPr>
        <sz val="7"/>
        <color indexed="8"/>
        <rFont val="Arial"/>
        <family val="2"/>
      </rPr>
      <t>  1979EIA, </t>
    </r>
    <r>
      <rPr>
        <i/>
        <sz val="7"/>
        <color indexed="8"/>
        <rFont val="Arial"/>
        <family val="2"/>
      </rPr>
      <t>Coal Production, </t>
    </r>
    <r>
      <rPr>
        <sz val="7"/>
        <color indexed="8"/>
        <rFont val="Arial"/>
        <family val="2"/>
      </rPr>
      <t>and Energy Data</t>
    </r>
  </si>
  <si>
    <r>
      <t>Report, </t>
    </r>
    <r>
      <rPr>
        <i/>
        <sz val="7"/>
        <color indexed="8"/>
        <rFont val="Arial"/>
        <family val="2"/>
      </rPr>
      <t>CoalPennsylvania Anthracite.  </t>
    </r>
    <r>
      <rPr>
        <sz val="7"/>
        <color indexed="8"/>
        <rFont val="Symbol"/>
        <family val="1"/>
        <charset val="2"/>
      </rPr>
      <t>·</t>
    </r>
    <r>
      <rPr>
        <sz val="7"/>
        <color indexed="8"/>
        <rFont val="Arial"/>
        <family val="2"/>
      </rPr>
      <t>  1980-1992EIA, </t>
    </r>
    <r>
      <rPr>
        <i/>
        <sz val="7"/>
        <color indexed="8"/>
        <rFont val="Arial"/>
        <family val="2"/>
      </rPr>
      <t>Coal Production, </t>
    </r>
    <r>
      <rPr>
        <sz val="7"/>
        <color indexed="8"/>
        <rFont val="Arial"/>
        <family val="2"/>
      </rPr>
      <t>annual reports.</t>
    </r>
  </si>
  <si>
    <r>
      <t>·</t>
    </r>
    <r>
      <rPr>
        <sz val="7"/>
        <color indexed="8"/>
        <rFont val="Arial"/>
        <family val="2"/>
      </rPr>
      <t>  1993-2000EIA, </t>
    </r>
    <r>
      <rPr>
        <i/>
        <sz val="7"/>
        <color indexed="8"/>
        <rFont val="Arial"/>
        <family val="2"/>
      </rPr>
      <t>Coal Industry Annual, </t>
    </r>
    <r>
      <rPr>
        <sz val="7"/>
        <color indexed="8"/>
        <rFont val="Arial"/>
        <family val="2"/>
      </rPr>
      <t>annual reports and unpublished revisions.  </t>
    </r>
    <r>
      <rPr>
        <sz val="7"/>
        <color indexed="8"/>
        <rFont val="Symbol"/>
        <family val="1"/>
        <charset val="2"/>
      </rPr>
      <t>·</t>
    </r>
    <r>
      <rPr>
        <sz val="7"/>
        <color indexed="8"/>
        <rFont val="Arial"/>
        <family val="2"/>
      </rPr>
      <t>  2001-2009EIA,</t>
    </r>
  </si>
  <si>
    <r>
      <t>Annual Coal Report, </t>
    </r>
    <r>
      <rPr>
        <sz val="7"/>
        <color indexed="8"/>
        <rFont val="Arial"/>
        <family val="2"/>
      </rPr>
      <t>annual reports.  </t>
    </r>
    <r>
      <rPr>
        <sz val="7"/>
        <color indexed="8"/>
        <rFont val="Symbol"/>
        <family val="1"/>
        <charset val="2"/>
      </rPr>
      <t>·</t>
    </r>
    <r>
      <rPr>
        <sz val="7"/>
        <color indexed="8"/>
        <rFont val="Arial"/>
        <family val="2"/>
      </rPr>
      <t>  2010EIA, Form EIA-7A, "Coal Production Report," and U.S.</t>
    </r>
  </si>
  <si>
    <t>Department of Labor, Mine Safety and Health Administration, Form 7000-2, "Quarterly Mine Employment</t>
  </si>
  <si>
    <t>and Coal Production Report."</t>
  </si>
  <si>
    <t xml:space="preserve"> $/ton</t>
  </si>
  <si>
    <t>Price relative</t>
  </si>
  <si>
    <t>$ /Gallon</t>
  </si>
  <si>
    <t>Diesel</t>
  </si>
  <si>
    <t>Fuel Oil</t>
  </si>
  <si>
    <t>$ /gallon</t>
  </si>
  <si>
    <t>Table 6.8  Natural Gas Prices by Sector, 1967-2010</t>
  </si>
  <si>
    <t>                     (Dollars per Thousand Cubic Feet, Except as Noted)</t>
  </si>
  <si>
    <t>Residential Sector</t>
  </si>
  <si>
    <r>
      <t>Commercial Sector </t>
    </r>
    <r>
      <rPr>
        <vertAlign val="superscript"/>
        <sz val="5"/>
        <color indexed="8"/>
        <rFont val="Arial"/>
        <family val="2"/>
      </rPr>
      <t>1</t>
    </r>
  </si>
  <si>
    <r>
      <t>Industrial Sector </t>
    </r>
    <r>
      <rPr>
        <vertAlign val="superscript"/>
        <sz val="5"/>
        <color indexed="8"/>
        <rFont val="Arial"/>
        <family val="2"/>
      </rPr>
      <t>2</t>
    </r>
  </si>
  <si>
    <t>Transportation Sector</t>
  </si>
  <si>
    <r>
      <t>Electric Power Sector </t>
    </r>
    <r>
      <rPr>
        <vertAlign val="superscript"/>
        <sz val="5"/>
        <color indexed="8"/>
        <rFont val="Arial"/>
        <family val="2"/>
      </rPr>
      <t>3</t>
    </r>
  </si>
  <si>
    <t>Prices</t>
  </si>
  <si>
    <t>Percentage</t>
  </si>
  <si>
    <r>
      <t>Vehicle Fuel </t>
    </r>
    <r>
      <rPr>
        <vertAlign val="superscript"/>
        <sz val="5"/>
        <color indexed="8"/>
        <rFont val="Arial"/>
        <family val="2"/>
      </rPr>
      <t>4</t>
    </r>
    <r>
      <rPr>
        <b/>
        <sz val="7"/>
        <color indexed="8"/>
        <rFont val="Arial"/>
        <family val="2"/>
      </rPr>
      <t> Prices</t>
    </r>
  </si>
  <si>
    <t>Prices </t>
  </si>
  <si>
    <t>of</t>
  </si>
  <si>
    <r>
      <t>Nominal </t>
    </r>
    <r>
      <rPr>
        <vertAlign val="superscript"/>
        <sz val="5"/>
        <color indexed="8"/>
        <rFont val="Arial"/>
        <family val="2"/>
      </rPr>
      <t>5</t>
    </r>
  </si>
  <si>
    <r>
      <t>Real </t>
    </r>
    <r>
      <rPr>
        <vertAlign val="superscript"/>
        <sz val="5"/>
        <color indexed="8"/>
        <rFont val="Arial"/>
        <family val="2"/>
      </rPr>
      <t>6</t>
    </r>
  </si>
  <si>
    <r>
      <t>Sector </t>
    </r>
    <r>
      <rPr>
        <vertAlign val="superscript"/>
        <sz val="5"/>
        <color indexed="8"/>
        <rFont val="Arial"/>
        <family val="2"/>
      </rPr>
      <t>7</t>
    </r>
  </si>
  <si>
    <r>
      <t>Sector </t>
    </r>
    <r>
      <rPr>
        <vertAlign val="superscript"/>
        <sz val="5"/>
        <color indexed="8"/>
        <rFont val="Arial"/>
        <family val="2"/>
      </rPr>
      <t>7,8</t>
    </r>
  </si>
  <si>
    <t>NA</t>
  </si>
  <si>
    <t>[3]</t>
  </si>
  <si>
    <r>
      <t>2010</t>
    </r>
    <r>
      <rPr>
        <vertAlign val="superscript"/>
        <sz val="5"/>
        <color indexed="8"/>
        <rFont val="Arial"/>
        <family val="2"/>
      </rPr>
      <t>P</t>
    </r>
  </si>
  <si>
    <r>
      <t>1</t>
    </r>
    <r>
      <rPr>
        <sz val="7"/>
        <color indexed="8"/>
        <rFont val="Arial"/>
        <family val="2"/>
      </rPr>
      <t>Commercial sector, including commercial combined-heat-and-power (CHP) and commercial</t>
    </r>
  </si>
  <si>
    <r>
      <t>7</t>
    </r>
    <r>
      <rPr>
        <sz val="7"/>
        <color indexed="8"/>
        <rFont val="Arial"/>
        <family val="2"/>
      </rPr>
      <t>The percentage of the sector's consumption in Table 6.5 for which price data are available.</t>
    </r>
  </si>
  <si>
    <t>electricity-only plants.</t>
  </si>
  <si>
    <r>
      <t>2</t>
    </r>
    <r>
      <rPr>
        <sz val="7"/>
        <color indexed="8"/>
        <rFont val="Arial"/>
        <family val="2"/>
      </rPr>
      <t>Industrial sector, including industrial combined-heat-and-power (CHP) and industrial electricity-only</t>
    </r>
  </si>
  <si>
    <r>
      <t>8</t>
    </r>
    <r>
      <rPr>
        <sz val="7"/>
        <color indexed="8"/>
        <rFont val="Arial"/>
        <family val="2"/>
      </rPr>
      <t>Percentages exceed 100 percent when reported natural gas receipts are greater than reported natural</t>
    </r>
  </si>
  <si>
    <t>plants.</t>
  </si>
  <si>
    <t>gas consumptionthis can occur when combined-heat-and-power (CHP) plants report fuel receipts related</t>
  </si>
  <si>
    <t>to non-electric generating activities.</t>
  </si>
  <si>
    <r>
      <t>3</t>
    </r>
    <r>
      <rPr>
        <sz val="7"/>
        <color indexed="8"/>
        <rFont val="Arial"/>
        <family val="2"/>
      </rPr>
      <t>Electricity-only and combined-heat-and-power (CHP) plants within the NAICS 22 category whose</t>
    </r>
  </si>
  <si>
    <t>R=Revised.  P=Preliminary.  NA=Not available.  </t>
  </si>
  <si>
    <t>primary business is to sell electricity, or electricity and heat, to the public.  Through 2001, data are for</t>
  </si>
  <si>
    <t>electric utilities only; beginning in 2002, data are for electric utilities and independent power producers.  See</t>
  </si>
  <si>
    <t>Note 5, "Coverage of Electric Power Sector Natural Gas Prices," at end of section.</t>
  </si>
  <si>
    <r>
      <t>4</t>
    </r>
    <r>
      <rPr>
        <sz val="7"/>
        <color indexed="8"/>
        <rFont val="Arial"/>
        <family val="2"/>
      </rPr>
      <t>Much of the natural gas delivered for vehicle fuel represents deliveries to fueling stations that are used</t>
    </r>
  </si>
  <si>
    <r>
      <t>Notes:  </t>
    </r>
    <r>
      <rPr>
        <sz val="7"/>
        <color indexed="8"/>
        <rFont val="Symbol"/>
        <family val="1"/>
        <charset val="2"/>
      </rPr>
      <t>·</t>
    </r>
    <r>
      <rPr>
        <sz val="7"/>
        <color indexed="8"/>
        <rFont val="Arial"/>
        <family val="2"/>
      </rPr>
      <t>  Prices are for natural gas, plus a small amount of supplemental gaseous fuels.  </t>
    </r>
    <r>
      <rPr>
        <sz val="7"/>
        <color indexed="8"/>
        <rFont val="Symbol"/>
        <family val="1"/>
        <charset val="2"/>
      </rPr>
      <t>·</t>
    </r>
    <r>
      <rPr>
        <sz val="7"/>
        <color indexed="8"/>
        <rFont val="Arial"/>
        <family val="2"/>
      </rPr>
      <t>  The average</t>
    </r>
  </si>
  <si>
    <t>primarily or exclusively by fleet vehicles.  Thus, the prices are often those associated with the cost of gas in</t>
  </si>
  <si>
    <t>for each end-use sector is calculated by dividing the total value of the natural gas consumed by each sector</t>
  </si>
  <si>
    <t>the operation of fleet vehicles.</t>
  </si>
  <si>
    <r>
      <t>by the total quantity consumed.  </t>
    </r>
    <r>
      <rPr>
        <sz val="7"/>
        <color indexed="8"/>
        <rFont val="Symbol"/>
        <family val="1"/>
        <charset val="2"/>
      </rPr>
      <t>·</t>
    </r>
    <r>
      <rPr>
        <sz val="7"/>
        <color indexed="8"/>
        <rFont val="Arial"/>
        <family val="2"/>
      </rPr>
      <t>  Prices are intended to include all taxes.  </t>
    </r>
    <r>
      <rPr>
        <sz val="7"/>
        <color indexed="8"/>
        <rFont val="Symbol"/>
        <family val="1"/>
        <charset val="2"/>
      </rPr>
      <t>·</t>
    </r>
    <r>
      <rPr>
        <sz val="7"/>
        <color indexed="8"/>
        <rFont val="Arial"/>
        <family val="2"/>
      </rPr>
      <t>  See Note 2, "Classification of</t>
    </r>
  </si>
  <si>
    <t>Power Plants Into Energy-Use Sectors," at end of Section 8.</t>
  </si>
  <si>
    <r>
      <t>5</t>
    </r>
    <r>
      <rPr>
        <sz val="7"/>
        <color indexed="8"/>
        <rFont val="Arial"/>
        <family val="2"/>
      </rPr>
      <t>See "Nominal Dollars" in Glossary.</t>
    </r>
  </si>
  <si>
    <t>Web Page:  For related information, see http://www.eia.gov/naturalgas/.</t>
  </si>
  <si>
    <r>
      <t>6</t>
    </r>
    <r>
      <rPr>
        <sz val="7"/>
        <color indexed="8"/>
        <rFont val="Arial"/>
        <family val="2"/>
      </rPr>
      <t>In chained (2005) dollars, calculated by using gross domestic product implicit price deflators in Table</t>
    </r>
  </si>
  <si>
    <r>
      <t>Sources:  </t>
    </r>
    <r>
      <rPr>
        <b/>
        <sz val="7"/>
        <color indexed="8"/>
        <rFont val="Arial"/>
        <family val="2"/>
      </rPr>
      <t>Residential Percentage of Sector:  </t>
    </r>
    <r>
      <rPr>
        <sz val="7"/>
        <color indexed="8"/>
        <rFont val="Symbol"/>
        <family val="1"/>
        <charset val="2"/>
      </rPr>
      <t>·</t>
    </r>
    <r>
      <rPr>
        <sz val="7"/>
        <color indexed="8"/>
        <rFont val="Arial"/>
        <family val="2"/>
      </rPr>
      <t>  1989-2009U.S. Energy Information Administration</t>
    </r>
  </si>
  <si>
    <t>(EIA), Form EIA-176, "Annual Report of Natural and Supplemental Gas Supply and Disposition."</t>
  </si>
  <si>
    <r>
      <t>·</t>
    </r>
    <r>
      <rPr>
        <sz val="7"/>
        <color indexed="8"/>
        <rFont val="Arial"/>
        <family val="2"/>
      </rPr>
      <t>  2010EIA, Form EIA-857, "Monthly Report of Natural Gas Purchases and Deliveries to Consumers."</t>
    </r>
  </si>
  <si>
    <r>
      <t>Vehicle Fuel:  </t>
    </r>
    <r>
      <rPr>
        <sz val="7"/>
        <color indexed="8"/>
        <rFont val="Arial"/>
        <family val="2"/>
      </rPr>
      <t>EIA, </t>
    </r>
    <r>
      <rPr>
        <i/>
        <sz val="7"/>
        <color indexed="8"/>
        <rFont val="Arial"/>
        <family val="2"/>
      </rPr>
      <t>Natural Gas Annual (NGA), </t>
    </r>
    <r>
      <rPr>
        <sz val="7"/>
        <color indexed="8"/>
        <rFont val="Arial"/>
        <family val="2"/>
      </rPr>
      <t>annual reports.  </t>
    </r>
    <r>
      <rPr>
        <b/>
        <sz val="7"/>
        <color indexed="8"/>
        <rFont val="Arial"/>
        <family val="2"/>
      </rPr>
      <t>Electric Power Price:</t>
    </r>
  </si>
  <si>
    <r>
      <t>·</t>
    </r>
    <r>
      <rPr>
        <sz val="7"/>
        <color indexed="8"/>
        <rFont val="Arial"/>
        <family val="2"/>
      </rPr>
      <t>  1967-2005EIA, NGA, annual reports.</t>
    </r>
    <r>
      <rPr>
        <sz val="7"/>
        <color indexed="8"/>
        <rFont val="Symbol"/>
        <family val="1"/>
        <charset val="2"/>
      </rPr>
      <t>·</t>
    </r>
    <r>
      <rPr>
        <sz val="7"/>
        <color indexed="8"/>
        <rFont val="Arial"/>
        <family val="2"/>
      </rPr>
      <t>  2006-2009EIA, </t>
    </r>
    <r>
      <rPr>
        <i/>
        <sz val="7"/>
        <color indexed="8"/>
        <rFont val="Arial"/>
        <family val="2"/>
      </rPr>
      <t>Natural Gas Monthly (NGM) </t>
    </r>
    <r>
      <rPr>
        <sz val="7"/>
        <color indexed="8"/>
        <rFont val="Arial"/>
        <family val="2"/>
      </rPr>
      <t>(March 2011),</t>
    </r>
  </si>
  <si>
    <r>
      <t>Table 3.  </t>
    </r>
    <r>
      <rPr>
        <sz val="7"/>
        <color indexed="8"/>
        <rFont val="Symbol"/>
        <family val="1"/>
        <charset val="2"/>
      </rPr>
      <t>·</t>
    </r>
    <r>
      <rPr>
        <sz val="7"/>
        <color indexed="8"/>
        <rFont val="Arial"/>
        <family val="2"/>
      </rPr>
      <t>  2010EIA, Form EIA-923, "Power Plant Operations Report."</t>
    </r>
    <r>
      <rPr>
        <b/>
        <sz val="7"/>
        <color indexed="8"/>
        <rFont val="Arial"/>
        <family val="2"/>
      </rPr>
      <t>  Electric Power Percentage of</t>
    </r>
  </si>
  <si>
    <r>
      <t>Sector:  </t>
    </r>
    <r>
      <rPr>
        <sz val="7"/>
        <color indexed="8"/>
        <rFont val="Symbol"/>
        <family val="1"/>
        <charset val="2"/>
      </rPr>
      <t>·</t>
    </r>
    <r>
      <rPr>
        <sz val="7"/>
        <color indexed="8"/>
        <rFont val="Arial"/>
        <family val="2"/>
      </rPr>
      <t>  1973-2001Calculated by EIA as the quantity of natural gas receipts by electric utilities</t>
    </r>
  </si>
  <si>
    <t>reported on Form FERC-423, "Monthly Report of Cost and Quantity of Fuels for Electric Utility Plants" (and</t>
  </si>
  <si>
    <t>predecessor forms), divided by the quantity of natural gas consumed by the electric power sector (for</t>
  </si>
  <si>
    <r>
      <t>1973-1988, see Table 8.5b; for 1989-2001, see Table 8.7b).  </t>
    </r>
    <r>
      <rPr>
        <sz val="7"/>
        <color indexed="8"/>
        <rFont val="Symbol"/>
        <family val="1"/>
        <charset val="2"/>
      </rPr>
      <t>·</t>
    </r>
    <r>
      <rPr>
        <sz val="7"/>
        <color indexed="8"/>
        <rFont val="Arial"/>
        <family val="2"/>
      </rPr>
      <t>  2002-2008Calculated by EIA as the</t>
    </r>
  </si>
  <si>
    <t>quantity of natural gas receipts by electric utilities and independent power producers reported on Forms</t>
  </si>
  <si>
    <t>FERC-423, "Monthly Report of Cost and Quantity of Fuels for Electric Utility Plants," and EIA-423, "Monthly</t>
  </si>
  <si>
    <t>Cost and Quality of Fuels for Electric Plants Report," divided by the quantity of natural gas consumed by</t>
  </si>
  <si>
    <r>
      <t>the electric power sector (see Table 8.7b).  </t>
    </r>
    <r>
      <rPr>
        <sz val="7"/>
        <color indexed="8"/>
        <rFont val="Symbol"/>
        <family val="1"/>
        <charset val="2"/>
      </rPr>
      <t>·</t>
    </r>
    <r>
      <rPr>
        <sz val="7"/>
        <color indexed="8"/>
        <rFont val="Arial"/>
        <family val="2"/>
      </rPr>
      <t>  2009 and 2010Calculated by EIA as the quantity of natural</t>
    </r>
  </si>
  <si>
    <t>gas receipts by electric utilities and independent power producers reported on Form EIA-923, "Power Plant</t>
  </si>
  <si>
    <t>Operations Report," divided by the quantity of natural gas consumed by the electric power sector (see</t>
  </si>
  <si>
    <r>
      <t>Table 8.7b).  </t>
    </r>
    <r>
      <rPr>
        <b/>
        <sz val="7"/>
        <color indexed="8"/>
        <rFont val="Arial"/>
        <family val="2"/>
      </rPr>
      <t>All Other Data:  </t>
    </r>
    <r>
      <rPr>
        <sz val="7"/>
        <color indexed="8"/>
        <rFont val="Symbol"/>
        <family val="1"/>
        <charset val="2"/>
      </rPr>
      <t>·</t>
    </r>
    <r>
      <rPr>
        <sz val="7"/>
        <color indexed="8"/>
        <rFont val="Arial"/>
        <family val="2"/>
      </rPr>
      <t>  1967-2005EIA, NGA, annual reports.  </t>
    </r>
    <r>
      <rPr>
        <sz val="7"/>
        <color indexed="8"/>
        <rFont val="Symbol"/>
        <family val="1"/>
        <charset val="2"/>
      </rPr>
      <t>·</t>
    </r>
    <r>
      <rPr>
        <sz val="7"/>
        <color indexed="8"/>
        <rFont val="Arial"/>
        <family val="2"/>
      </rPr>
      <t>  2006 forwardEIA, NGM</t>
    </r>
  </si>
  <si>
    <t>(March 2011), Table 3.</t>
  </si>
  <si>
    <t>Natural Gas</t>
  </si>
  <si>
    <t>Table 5.23   All Sellers Sales Prices for Selected Petroleum Products, 1994-2010</t>
  </si>
  <si>
    <r>
      <t>                        (Dollars </t>
    </r>
    <r>
      <rPr>
        <vertAlign val="superscript"/>
        <sz val="5"/>
        <color indexed="8"/>
        <rFont val="Arial"/>
        <family val="2"/>
      </rPr>
      <t>1</t>
    </r>
    <r>
      <rPr>
        <sz val="10"/>
        <color indexed="8"/>
        <rFont val="Arial"/>
        <family val="2"/>
      </rPr>
      <t> per Gallon, Excluding Taxes)</t>
    </r>
  </si>
  <si>
    <t>Product</t>
  </si>
  <si>
    <r>
      <t>2010 </t>
    </r>
    <r>
      <rPr>
        <vertAlign val="superscript"/>
        <sz val="5"/>
        <color indexed="8"/>
        <rFont val="Arial"/>
        <family val="2"/>
      </rPr>
      <t>P</t>
    </r>
  </si>
  <si>
    <r>
      <t>Sales Prices to Resellers </t>
    </r>
    <r>
      <rPr>
        <vertAlign val="superscript"/>
        <sz val="5"/>
        <color indexed="8"/>
        <rFont val="Arial"/>
        <family val="2"/>
      </rPr>
      <t>2</t>
    </r>
  </si>
  <si>
    <t>  Motor Gasoline</t>
  </si>
  <si>
    <t>    Unleaded Regular</t>
  </si>
  <si>
    <r>
      <t>      Conventional </t>
    </r>
    <r>
      <rPr>
        <vertAlign val="superscript"/>
        <sz val="5"/>
        <color indexed="8"/>
        <rFont val="Arial"/>
        <family val="2"/>
      </rPr>
      <t>3</t>
    </r>
  </si>
  <si>
    <r>
      <t>      Oxygenated </t>
    </r>
    <r>
      <rPr>
        <vertAlign val="superscript"/>
        <sz val="5"/>
        <color indexed="8"/>
        <rFont val="Arial"/>
        <family val="2"/>
      </rPr>
      <t>3</t>
    </r>
  </si>
  <si>
    <t>      Reformulated</t>
  </si>
  <si>
    <t>    Unleaded Midgrade</t>
  </si>
  <si>
    <t>    Unleaded Premium</t>
  </si>
  <si>
    <t>  No. 2 Distillate</t>
  </si>
  <si>
    <t>    No. 2 Diesel Fuel</t>
  </si>
  <si>
    <r>
      <t>      Ultra-Low Sulfur (&lt;= 15 ppm </t>
    </r>
    <r>
      <rPr>
        <vertAlign val="superscript"/>
        <sz val="5"/>
        <color indexed="8"/>
        <rFont val="Arial"/>
        <family val="2"/>
      </rPr>
      <t>4</t>
    </r>
    <r>
      <rPr>
        <sz val="7"/>
        <color indexed="8"/>
        <rFont val="Arial"/>
        <family val="2"/>
      </rPr>
      <t>)</t>
    </r>
  </si>
  <si>
    <r>
      <t>      Low Sulfur (&gt; 15 and &lt;= 500 ppm </t>
    </r>
    <r>
      <rPr>
        <vertAlign val="superscript"/>
        <sz val="5"/>
        <color indexed="8"/>
        <rFont val="Arial"/>
        <family val="2"/>
      </rPr>
      <t>4</t>
    </r>
    <r>
      <rPr>
        <sz val="7"/>
        <color indexed="8"/>
        <rFont val="Arial"/>
        <family val="2"/>
      </rPr>
      <t>)</t>
    </r>
  </si>
  <si>
    <r>
      <t>      High Sulfur (&gt; 500 ppm </t>
    </r>
    <r>
      <rPr>
        <vertAlign val="superscript"/>
        <sz val="5"/>
        <color indexed="8"/>
        <rFont val="Arial"/>
        <family val="2"/>
      </rPr>
      <t>4</t>
    </r>
    <r>
      <rPr>
        <sz val="7"/>
        <color indexed="8"/>
        <rFont val="Arial"/>
        <family val="2"/>
      </rPr>
      <t>)</t>
    </r>
  </si>
  <si>
    <t>  Residual Fuel Oil</t>
  </si>
  <si>
    <r>
      <t>    Sulfur &lt;= 1 </t>
    </r>
    <r>
      <rPr>
        <vertAlign val="superscript"/>
        <sz val="5"/>
        <color indexed="8"/>
        <rFont val="Arial"/>
        <family val="2"/>
      </rPr>
      <t>5</t>
    </r>
  </si>
  <si>
    <r>
      <t>    Sulfur &gt; 1 </t>
    </r>
    <r>
      <rPr>
        <vertAlign val="superscript"/>
        <sz val="5"/>
        <color indexed="8"/>
        <rFont val="Arial"/>
        <family val="2"/>
      </rPr>
      <t>5</t>
    </r>
  </si>
  <si>
    <t>  Propane (Consumer Grade)</t>
  </si>
  <si>
    <r>
      <t>Sales Prices to End Users </t>
    </r>
    <r>
      <rPr>
        <vertAlign val="superscript"/>
        <sz val="5"/>
        <color indexed="8"/>
        <rFont val="Arial"/>
        <family val="2"/>
      </rPr>
      <t>2</t>
    </r>
  </si>
  <si>
    <t>[3,R]</t>
  </si>
  <si>
    <r>
      <t>    No. 2 Distillate to Residences </t>
    </r>
    <r>
      <rPr>
        <vertAlign val="superscript"/>
        <sz val="5"/>
        <color indexed="8"/>
        <rFont val="Arial"/>
        <family val="2"/>
      </rPr>
      <t>6</t>
    </r>
  </si>
  <si>
    <r>
      <t>1</t>
    </r>
    <r>
      <rPr>
        <sz val="7"/>
        <color indexed="8"/>
        <rFont val="Arial"/>
        <family val="2"/>
      </rPr>
      <t>Prices are not adjusted for inflation.  See "Nominal Dollars" in Glossary.</t>
    </r>
  </si>
  <si>
    <r>
      <t>6</t>
    </r>
    <r>
      <rPr>
        <sz val="7"/>
        <color indexed="8"/>
        <rFont val="Arial"/>
        <family val="2"/>
      </rPr>
      <t>See Note 5, "Historical Residential Heating Oil Prices," at end of section for historical data.</t>
    </r>
  </si>
  <si>
    <r>
      <t>2</t>
    </r>
    <r>
      <rPr>
        <sz val="7"/>
        <color indexed="8"/>
        <rFont val="Arial"/>
        <family val="2"/>
      </rPr>
      <t>Sales for resale (wholesale sales) are those made to purchasers who are other than ultimate</t>
    </r>
  </si>
  <si>
    <t>R=Revised.  P=Preliminary.  NA=Not available.</t>
  </si>
  <si>
    <t>consumers.  Sales to end users are those made directly to the ultimate consumer, including bulk</t>
  </si>
  <si>
    <t>customers, such as agriculture, industry, and utilities, as well as residential and commercial customers.</t>
  </si>
  <si>
    <r>
      <t>3</t>
    </r>
    <r>
      <rPr>
        <sz val="7"/>
        <color indexed="8"/>
        <rFont val="Arial"/>
        <family val="2"/>
      </rPr>
      <t>Beginning in 2007, oxygenated motor gasoline is included with conventional motor gasoline.</t>
    </r>
  </si>
  <si>
    <t>Web Page:  For related information, see http://www.eia.gov/petroleum/.</t>
  </si>
  <si>
    <r>
      <t>4</t>
    </r>
    <r>
      <rPr>
        <sz val="7"/>
        <color indexed="8"/>
        <rFont val="Arial"/>
        <family val="2"/>
      </rPr>
      <t>"Ppm" is parts per million.</t>
    </r>
  </si>
  <si>
    <r>
      <t>Sources:  </t>
    </r>
    <r>
      <rPr>
        <sz val="7"/>
        <color indexed="8"/>
        <rFont val="Symbol"/>
        <family val="1"/>
        <charset val="2"/>
      </rPr>
      <t>·</t>
    </r>
    <r>
      <rPr>
        <sz val="7"/>
        <color indexed="8"/>
        <rFont val="Arial"/>
        <family val="2"/>
      </rPr>
      <t>  1994-2009U.S. Energy Information Administration (EIA), </t>
    </r>
    <r>
      <rPr>
        <i/>
        <sz val="7"/>
        <color indexed="8"/>
        <rFont val="Arial"/>
        <family val="2"/>
      </rPr>
      <t>Petroleum Marketing Annual,</t>
    </r>
  </si>
  <si>
    <r>
      <t>annual reports.  </t>
    </r>
    <r>
      <rPr>
        <sz val="7"/>
        <color indexed="8"/>
        <rFont val="Symbol"/>
        <family val="1"/>
        <charset val="2"/>
      </rPr>
      <t>·</t>
    </r>
    <r>
      <rPr>
        <sz val="7"/>
        <color indexed="8"/>
        <rFont val="Arial"/>
        <family val="2"/>
      </rPr>
      <t>  2010EIA, </t>
    </r>
    <r>
      <rPr>
        <i/>
        <sz val="7"/>
        <color indexed="8"/>
        <rFont val="Arial"/>
        <family val="2"/>
      </rPr>
      <t>Petroleum Marketing Monthly </t>
    </r>
    <r>
      <rPr>
        <sz val="7"/>
        <color indexed="8"/>
        <rFont val="Arial"/>
        <family val="2"/>
      </rPr>
      <t>(April 2011); EIA, Form EIA-782A,</t>
    </r>
  </si>
  <si>
    <t>"Refiners'/Gas Plant Operators' Monthly Petroleum Product Sales Report"; and EIA, Form EIA-782B,</t>
  </si>
  <si>
    <t>"Resellers'/Retailers' Monthly Petroleum Product Sales Report."</t>
  </si>
  <si>
    <r>
      <t>5</t>
    </r>
    <r>
      <rPr>
        <sz val="7"/>
        <color indexed="8"/>
        <rFont val="Arial"/>
        <family val="2"/>
      </rPr>
      <t>Sulfur content by weight.</t>
    </r>
  </si>
  <si>
    <t>Propane</t>
  </si>
  <si>
    <t>$/ Gallon</t>
  </si>
  <si>
    <t xml:space="preserve"> $/1000 cf</t>
  </si>
  <si>
    <t>MMBtu/ton</t>
  </si>
  <si>
    <t>MMBtu/dollar</t>
  </si>
  <si>
    <t>$ / MMBtu</t>
  </si>
  <si>
    <t>Other Fuels</t>
  </si>
  <si>
    <t xml:space="preserve">  Tbtu</t>
  </si>
  <si>
    <t xml:space="preserve">Other </t>
  </si>
  <si>
    <t>Reported</t>
  </si>
  <si>
    <t xml:space="preserve"> Ratio</t>
  </si>
  <si>
    <t>2002 only</t>
  </si>
  <si>
    <t>L</t>
  </si>
  <si>
    <t>T</t>
  </si>
  <si>
    <t>AB</t>
  </si>
  <si>
    <t>AJ</t>
  </si>
  <si>
    <t>AR</t>
  </si>
  <si>
    <t>BA</t>
  </si>
  <si>
    <t>Cost Check</t>
  </si>
  <si>
    <t>Phosphate rock - total price deflator</t>
  </si>
  <si>
    <t>x</t>
  </si>
  <si>
    <t>NEA 1985</t>
  </si>
  <si>
    <t>2007/2002 hours</t>
  </si>
  <si>
    <t>K</t>
  </si>
  <si>
    <t>R</t>
  </si>
  <si>
    <t>Undistributed %</t>
  </si>
  <si>
    <t>Other fuels</t>
  </si>
  <si>
    <t>extrap with hrs</t>
  </si>
  <si>
    <t>Drilling Oil and Gas Wells</t>
  </si>
  <si>
    <t>Support Activities for Oil and Gas</t>
  </si>
  <si>
    <t>Support Activities for Coal Mining</t>
  </si>
  <si>
    <t>Support Activities for Metal Mining</t>
  </si>
  <si>
    <t>Support Activities for Nonmetallic Minerals</t>
  </si>
  <si>
    <t>hrs-1997</t>
  </si>
  <si>
    <t>hrs-2002</t>
  </si>
  <si>
    <t>S</t>
  </si>
  <si>
    <t>AD</t>
  </si>
  <si>
    <t>AO</t>
  </si>
  <si>
    <t>AZ</t>
  </si>
  <si>
    <t>Coal - Derived</t>
  </si>
  <si>
    <t>Oil and Gas Field Services (1389)</t>
  </si>
  <si>
    <t>Oil and Gas Field Exploration Services (1382)</t>
  </si>
  <si>
    <t xml:space="preserve">Support Activities for Oil and Gas </t>
  </si>
  <si>
    <t>Summary</t>
  </si>
  <si>
    <t>Fuels</t>
  </si>
  <si>
    <t>Oil and Gas</t>
  </si>
  <si>
    <t>Coal Mining</t>
  </si>
  <si>
    <t>Metal Mining</t>
  </si>
  <si>
    <t>Support Activities</t>
  </si>
  <si>
    <t>Nonmetallic Mining, excl Other Chem</t>
  </si>
  <si>
    <t>Other Chemical and Fertilizer Minerals</t>
  </si>
  <si>
    <t xml:space="preserve">   Total</t>
  </si>
  <si>
    <t xml:space="preserve">       Tbtu</t>
  </si>
  <si>
    <t>million kWh</t>
  </si>
  <si>
    <t>Oil &amp; Gas</t>
  </si>
  <si>
    <t>Metal Ore Mining</t>
  </si>
  <si>
    <t>Nonmetallic Mineral Mining</t>
  </si>
  <si>
    <t>Outputs</t>
  </si>
  <si>
    <t>Iron and Ferroalloy mining</t>
  </si>
  <si>
    <t>Uranium - vanadium ores</t>
  </si>
  <si>
    <t>Nonferrous metals</t>
  </si>
  <si>
    <t>Anthracite Coal</t>
  </si>
  <si>
    <t>Bituminous Coal</t>
  </si>
  <si>
    <t xml:space="preserve">Crude Petroleum </t>
  </si>
  <si>
    <t>Natural Gas Liquids</t>
  </si>
  <si>
    <t>Stone and clay mining</t>
  </si>
  <si>
    <t xml:space="preserve">Chemical and Fertilizer </t>
  </si>
  <si>
    <t>Oil and gas well drilling</t>
  </si>
  <si>
    <t>Crude Petroleum and Natural Gas</t>
  </si>
  <si>
    <t>Coal Minining</t>
  </si>
  <si>
    <t>Nonmetallic mineral mining</t>
  </si>
  <si>
    <t xml:space="preserve">Total Fuel for Heat and Power </t>
  </si>
  <si>
    <t>NEA Data</t>
  </si>
  <si>
    <t>Output</t>
  </si>
  <si>
    <t>Elec</t>
  </si>
  <si>
    <t xml:space="preserve"> (million kWh)</t>
  </si>
  <si>
    <t>Electricity (Tbtu)</t>
  </si>
  <si>
    <t>Crude Pet</t>
  </si>
  <si>
    <t>Output*0.001</t>
  </si>
  <si>
    <t>1977-1992 inc</t>
  </si>
  <si>
    <t>Elec Intensity</t>
  </si>
  <si>
    <t>Fuel Intensity</t>
  </si>
  <si>
    <t>Estimated Fuel Use</t>
  </si>
  <si>
    <t>Output*0.01</t>
  </si>
  <si>
    <t>Mining Services</t>
  </si>
  <si>
    <t>Other Mining</t>
  </si>
  <si>
    <t>Other Mining (excl. Petroleum/Gas)</t>
  </si>
  <si>
    <t>Held constant for 2009 and 2010</t>
  </si>
  <si>
    <t>because of divergence of BLS and</t>
  </si>
  <si>
    <t>BEA output series</t>
  </si>
  <si>
    <t>BEA - Support Activities</t>
  </si>
  <si>
    <t>Support</t>
  </si>
  <si>
    <t xml:space="preserve">Support Activities - BEA Basis </t>
  </si>
  <si>
    <t>Crude Petroleum &amp; Nat. Gas</t>
  </si>
  <si>
    <t>Drilling and Mining Support</t>
  </si>
  <si>
    <t>Total Elec</t>
  </si>
  <si>
    <t>Total Fuels</t>
  </si>
  <si>
    <t>Gross Output</t>
  </si>
  <si>
    <t>Value Added</t>
  </si>
  <si>
    <t>NAICS</t>
  </si>
  <si>
    <t xml:space="preserve">               Industry</t>
  </si>
  <si>
    <t xml:space="preserve">Dimension Stone </t>
  </si>
  <si>
    <t xml:space="preserve">Industrial Sand </t>
  </si>
  <si>
    <t>Intensities</t>
  </si>
  <si>
    <t>Tbtu</t>
  </si>
  <si>
    <t>$/MMBtu</t>
  </si>
  <si>
    <t>Other fuel 2012</t>
  </si>
  <si>
    <t>Tot. cost -2012</t>
  </si>
  <si>
    <t>Grand Total</t>
  </si>
  <si>
    <t>Row Labels</t>
  </si>
  <si>
    <t>Coal (bituminous, subbituminous, lignite, and anthracite) consumed as a fuel</t>
  </si>
  <si>
    <t>Coal (bituminous, subbituminous, lignite, and anthracite) produced and used in the same plant as a fuel</t>
  </si>
  <si>
    <t>Distillate (light) grade numbers 1, 2, 4, and light diesel fuel used as a fuel</t>
  </si>
  <si>
    <t>Gas (natural, manufactured, and mixed) used as a fuel</t>
  </si>
  <si>
    <t>Gasoline used as a fuel</t>
  </si>
  <si>
    <t>Other fuels (liquefied petroleum gas, coke, wood, etc.)</t>
  </si>
  <si>
    <t>Residual (heavy) grade numbers 5 and 6 and heavy diesel fuel used as a fuel</t>
  </si>
  <si>
    <t>Total fuels</t>
  </si>
  <si>
    <t>Undistributed fuels</t>
  </si>
  <si>
    <t>from P.T.</t>
  </si>
  <si>
    <t>From Spreadsheet     ECN_2012_US_21SM1_with_ann_pnnl</t>
  </si>
  <si>
    <t>Cost/gallon</t>
  </si>
  <si>
    <t xml:space="preserve">implied </t>
  </si>
  <si>
    <t>Color codes</t>
  </si>
  <si>
    <t>Use cost per aggregated use of fuel</t>
  </si>
  <si>
    <t>Extrapolate from prior year</t>
  </si>
  <si>
    <t xml:space="preserve">Other Fuel </t>
  </si>
  <si>
    <t xml:space="preserve">   Calculated</t>
  </si>
  <si>
    <t xml:space="preserve">   Reported</t>
  </si>
  <si>
    <t xml:space="preserve">  Total Cost</t>
  </si>
  <si>
    <t xml:space="preserve"> Calculated</t>
  </si>
  <si>
    <t xml:space="preserve">  All Fuels - Reported</t>
  </si>
  <si>
    <t xml:space="preserve">BEA data </t>
  </si>
  <si>
    <t>BEA est.</t>
  </si>
  <si>
    <t>Energy Consumption</t>
  </si>
  <si>
    <t>(Sum of Coal, Metal Mining, and Non-metallic mineral mining for energy, BEA output for total)</t>
  </si>
  <si>
    <t>Extrapolated with BEA output</t>
  </si>
  <si>
    <t>Total Mining</t>
  </si>
  <si>
    <t>Updated Jan. 19, 2020</t>
  </si>
  <si>
    <t>sum-other</t>
  </si>
  <si>
    <t>D</t>
  </si>
  <si>
    <t>Pivot Table for 2012</t>
  </si>
  <si>
    <t>fr. Pivot Table</t>
  </si>
  <si>
    <t>(Natural) Gas</t>
  </si>
  <si>
    <t>Quantites - Tbtu</t>
  </si>
  <si>
    <t>fr Data 1987-2012</t>
  </si>
  <si>
    <t>Published</t>
  </si>
  <si>
    <t>2012 price</t>
  </si>
  <si>
    <t>2017 price</t>
  </si>
  <si>
    <t>2017/2012</t>
  </si>
  <si>
    <t>Predicted 2017 Cost, with price change only</t>
  </si>
  <si>
    <t>Sum of CSTFU</t>
  </si>
  <si>
    <t>Sum of ELECPCH</t>
  </si>
  <si>
    <t>Orig NAICS</t>
  </si>
  <si>
    <t>2017 NAICS</t>
  </si>
  <si>
    <t>Allocate 212392 and 213393</t>
  </si>
  <si>
    <t>residual</t>
  </si>
  <si>
    <t>212392 -est</t>
  </si>
  <si>
    <t>212393 -est</t>
  </si>
  <si>
    <t>From Pivot table 2017 (prelim)</t>
  </si>
  <si>
    <t>Purch Elec</t>
  </si>
  <si>
    <t>Pur. Elec (million kWh)</t>
  </si>
  <si>
    <t>Allocate from 2012</t>
  </si>
  <si>
    <t xml:space="preserve">   -----&gt; </t>
  </si>
  <si>
    <t>Calc. total cost</t>
  </si>
  <si>
    <t>Quantity Multiplier</t>
  </si>
  <si>
    <t>Diesel, T. 9.7</t>
  </si>
  <si>
    <t xml:space="preserve">Diesel T. 8.4 </t>
  </si>
  <si>
    <t xml:space="preserve">  no taxes</t>
  </si>
  <si>
    <t xml:space="preserve">  on-highway</t>
  </si>
  <si>
    <t xml:space="preserve"> Assumed factor</t>
  </si>
  <si>
    <t xml:space="preserve">Transpose for further processing </t>
  </si>
  <si>
    <t>Support Activities - Oil and Gas</t>
  </si>
  <si>
    <t>Support Activities - Coal</t>
  </si>
  <si>
    <t>Support Activities - metal mining</t>
  </si>
  <si>
    <t>Support Activities - nonmetal mining</t>
  </si>
  <si>
    <t>Estimated Cost - from 2012 analysis - Fuels</t>
  </si>
  <si>
    <t>Cost Relative (CR1)</t>
  </si>
  <si>
    <t>Cost Relative (CR2)</t>
  </si>
  <si>
    <t>Total cost - published from Economic Census</t>
  </si>
  <si>
    <t>Prices (National average)</t>
  </si>
  <si>
    <t>Quantity Estimate</t>
  </si>
  <si>
    <t>Purch. Elec (Th. kWh)</t>
  </si>
  <si>
    <t xml:space="preserve"> Cost - Th. Dollars</t>
  </si>
  <si>
    <t>BLS data</t>
  </si>
  <si>
    <t>Crude Petroleum and Natural Gas (Oil and Gas Extraction, NAICS 211)</t>
  </si>
  <si>
    <t>BEA estimates</t>
  </si>
  <si>
    <t>BLS Estimates</t>
  </si>
  <si>
    <t>Output*0.01 (BEA)</t>
  </si>
  <si>
    <t>BEA/BLS for support activities</t>
  </si>
  <si>
    <t>BLS</t>
  </si>
  <si>
    <t>BEA</t>
  </si>
  <si>
    <t>Compare BLS and BEA Estimates of Mining Support</t>
  </si>
  <si>
    <t>Note:  BLS measures selected for this sector</t>
  </si>
  <si>
    <r>
      <t>Final Estimates  (transferred to worksheet Mining_Data in spreadsheet industrial_indicators.</t>
    </r>
    <r>
      <rPr>
        <b/>
        <i/>
        <sz val="12"/>
        <rFont val="Arial"/>
        <family val="2"/>
      </rPr>
      <t>date</t>
    </r>
    <r>
      <rPr>
        <b/>
        <sz val="12"/>
        <rFont val="Arial"/>
        <family val="2"/>
      </rPr>
      <t>.xlsm)</t>
    </r>
  </si>
  <si>
    <t>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</si>
</sst>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000"/>
    <numFmt numFmtId="165" formatCode="0.0"/>
    <numFmt numFmtId="166" formatCode="_(* #,##0.0_);_(* \(#,##0.0\);_(* &quot;-&quot;??_);_(@_)"/>
    <numFmt numFmtId="167" formatCode="_(* #,##0_);_(* \(#,##0\);_(* &quot;-&quot;??_);_(@_)"/>
    <numFmt numFmtId="168" formatCode="#,##0.0"/>
    <numFmt numFmtId="169" formatCode="&quot;$&quot;#,##0.00"/>
    <numFmt numFmtId="170" formatCode="#,##0.000"/>
    <numFmt numFmtId="171" formatCode="_(* #,##0.000_);_(* \(#,##0.000\);_(* &quot;-&quot;??_);_(@_)"/>
    <numFmt numFmtId="172" formatCode="0.0%"/>
    <numFmt numFmtId="173" formatCode="#,##0.0_);\(#,##0.0\)"/>
    <numFmt numFmtId="174" formatCode="0.0000"/>
  </numFmts>
  <fonts count="51" x14ac:knownFonts="1">
    <font>
      <sz val="10"/>
      <name val="Arial"/>
    </font>
    <font>
      <sz val="11"/>
      <color theme="1"/>
      <name val="Calibri"/>
      <family val="2"/>
      <scheme val="minor"/>
    </font>
    <font>
      <sz val="10"/>
      <name val="Arial"/>
      <family val="2"/>
    </font>
    <font>
      <sz val="8"/>
      <name val="Arial"/>
      <family val="2"/>
    </font>
    <font>
      <sz val="8"/>
      <color indexed="81"/>
      <name val="Tahoma"/>
      <family val="2"/>
    </font>
    <font>
      <b/>
      <sz val="8"/>
      <color indexed="81"/>
      <name val="Tahoma"/>
      <family val="2"/>
    </font>
    <font>
      <b/>
      <sz val="10"/>
      <name val="Arial"/>
      <family val="2"/>
    </font>
    <font>
      <sz val="10"/>
      <name val="Arial"/>
      <family val="2"/>
    </font>
    <font>
      <i/>
      <sz val="10"/>
      <name val="Arial"/>
      <family val="2"/>
    </font>
    <font>
      <vertAlign val="superscript"/>
      <sz val="10"/>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theme="1"/>
      <name val="Arial"/>
      <family val="2"/>
    </font>
    <font>
      <sz val="11"/>
      <color rgb="FF000000"/>
      <name val="Calibri"/>
      <family val="2"/>
      <scheme val="minor"/>
    </font>
    <font>
      <b/>
      <sz val="12"/>
      <color rgb="FF000000"/>
      <name val="Arial"/>
      <family val="2"/>
    </font>
    <font>
      <sz val="10"/>
      <color rgb="FF000000"/>
      <name val="Arial"/>
      <family val="2"/>
    </font>
    <font>
      <b/>
      <sz val="7"/>
      <color rgb="FF000000"/>
      <name val="Arial"/>
      <family val="2"/>
    </font>
    <font>
      <vertAlign val="superscript"/>
      <sz val="5"/>
      <color indexed="8"/>
      <name val="Arial"/>
      <family val="2"/>
    </font>
    <font>
      <sz val="7"/>
      <color rgb="FF000000"/>
      <name val="Arial"/>
      <family val="2"/>
    </font>
    <font>
      <sz val="5"/>
      <color rgb="FF000000"/>
      <name val="Arial"/>
      <family val="2"/>
    </font>
    <font>
      <vertAlign val="superscript"/>
      <sz val="5"/>
      <color rgb="FF000000"/>
      <name val="Arial"/>
      <family val="2"/>
    </font>
    <font>
      <sz val="7"/>
      <color indexed="8"/>
      <name val="Arial"/>
      <family val="2"/>
    </font>
    <font>
      <u/>
      <sz val="11"/>
      <color rgb="FF0000FF"/>
      <name val="Calibri"/>
      <family val="2"/>
      <scheme val="minor"/>
    </font>
    <font>
      <sz val="7"/>
      <color indexed="8"/>
      <name val="Symbol"/>
      <family val="1"/>
      <charset val="2"/>
    </font>
    <font>
      <i/>
      <sz val="7"/>
      <color indexed="8"/>
      <name val="Arial"/>
      <family val="2"/>
    </font>
    <font>
      <i/>
      <sz val="7"/>
      <color rgb="FF000000"/>
      <name val="Arial"/>
      <family val="2"/>
    </font>
    <font>
      <sz val="7"/>
      <color rgb="FF000000"/>
      <name val="Symbol"/>
      <family val="1"/>
      <charset val="2"/>
    </font>
    <font>
      <b/>
      <sz val="7"/>
      <color indexed="8"/>
      <name val="Arial"/>
      <family val="2"/>
    </font>
    <font>
      <sz val="10"/>
      <color indexed="8"/>
      <name val="Arial"/>
      <family val="2"/>
    </font>
    <font>
      <b/>
      <sz val="12"/>
      <name val="Arial"/>
      <family val="2"/>
    </font>
    <font>
      <sz val="9"/>
      <color indexed="81"/>
      <name val="Tahoma"/>
      <family val="2"/>
    </font>
    <font>
      <b/>
      <sz val="9"/>
      <color indexed="81"/>
      <name val="Tahoma"/>
      <family val="2"/>
    </font>
    <font>
      <sz val="14"/>
      <name val="Arial"/>
      <family val="2"/>
    </font>
    <font>
      <sz val="10"/>
      <color theme="4"/>
      <name val="Arial"/>
      <family val="2"/>
    </font>
    <font>
      <b/>
      <i/>
      <sz val="10"/>
      <name val="Arial"/>
      <family val="2"/>
    </font>
    <font>
      <b/>
      <sz val="14"/>
      <name val="Arial"/>
      <family val="2"/>
    </font>
    <font>
      <b/>
      <i/>
      <sz val="12"/>
      <name val="Arial"/>
      <family val="2"/>
    </font>
  </fonts>
  <fills count="53">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C000"/>
        <bgColor indexed="64"/>
      </patternFill>
    </fill>
    <fill>
      <patternFill patternType="solid">
        <fgColor rgb="FFF0F0F0"/>
        <bgColor rgb="FF000000"/>
      </patternFill>
    </fill>
    <fill>
      <patternFill patternType="solid">
        <fgColor theme="6" tint="0.39997558519241921"/>
        <bgColor indexed="64"/>
      </patternFill>
    </fill>
    <fill>
      <patternFill patternType="solid">
        <fgColor theme="5" tint="0.59999389629810485"/>
        <bgColor indexed="64"/>
      </patternFill>
    </fill>
    <fill>
      <patternFill patternType="solid">
        <fgColor rgb="FF00B05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FF99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59999389629810485"/>
        <bgColor indexed="64"/>
      </patternFill>
    </fill>
  </fills>
  <borders count="35">
    <border>
      <left/>
      <right/>
      <top/>
      <bottom/>
      <diagonal/>
    </border>
    <border>
      <left style="thin">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48">
    <xf numFmtId="0" fontId="0" fillId="0" borderId="0"/>
    <xf numFmtId="43"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15" applyNumberFormat="0" applyAlignment="0" applyProtection="0"/>
    <xf numFmtId="0" fontId="18" fillId="8" borderId="16" applyNumberFormat="0" applyAlignment="0" applyProtection="0"/>
    <xf numFmtId="0" fontId="19" fillId="8" borderId="15" applyNumberFormat="0" applyAlignment="0" applyProtection="0"/>
    <xf numFmtId="0" fontId="20" fillId="0" borderId="17" applyNumberFormat="0" applyFill="0" applyAlignment="0" applyProtection="0"/>
    <xf numFmtId="0" fontId="21" fillId="9" borderId="18"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6" fillId="32" borderId="0" applyNumberFormat="0" applyBorder="0" applyAlignment="0" applyProtection="0"/>
    <xf numFmtId="0" fontId="26" fillId="33" borderId="0" applyNumberFormat="0" applyBorder="0" applyAlignment="0" applyProtection="0"/>
    <xf numFmtId="0" fontId="25" fillId="34" borderId="0" applyNumberFormat="0" applyBorder="0" applyAlignment="0" applyProtection="0"/>
    <xf numFmtId="0" fontId="26" fillId="0" borderId="0"/>
    <xf numFmtId="0" fontId="27" fillId="0" borderId="0"/>
    <xf numFmtId="0" fontId="26" fillId="10" borderId="19" applyNumberFormat="0" applyFont="0" applyAlignment="0" applyProtection="0"/>
    <xf numFmtId="0" fontId="36" fillId="0" borderId="0" applyNumberFormat="0" applyFill="0" applyBorder="0" applyAlignment="0" applyProtection="0"/>
    <xf numFmtId="0" fontId="1" fillId="0" borderId="0"/>
  </cellStyleXfs>
  <cellXfs count="295">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xf numFmtId="0" fontId="0" fillId="0" borderId="1" xfId="0" applyBorder="1"/>
    <xf numFmtId="0" fontId="0" fillId="0" borderId="0" xfId="0" applyBorder="1" applyAlignment="1">
      <alignment horizontal="center"/>
    </xf>
    <xf numFmtId="0" fontId="0" fillId="0" borderId="0" xfId="0" applyBorder="1"/>
    <xf numFmtId="0" fontId="0" fillId="0" borderId="0" xfId="0" applyBorder="1" applyAlignment="1">
      <alignment wrapText="1"/>
    </xf>
    <xf numFmtId="0" fontId="0" fillId="0" borderId="0" xfId="0" applyFill="1" applyBorder="1"/>
    <xf numFmtId="0" fontId="0" fillId="2" borderId="1" xfId="0" applyFill="1" applyBorder="1"/>
    <xf numFmtId="0" fontId="0" fillId="2" borderId="0" xfId="0" applyFill="1"/>
    <xf numFmtId="0" fontId="0" fillId="0" borderId="2" xfId="0" applyBorder="1"/>
    <xf numFmtId="0" fontId="0" fillId="0" borderId="3" xfId="0" applyBorder="1"/>
    <xf numFmtId="164" fontId="0" fillId="0" borderId="0" xfId="0" applyNumberFormat="1"/>
    <xf numFmtId="0" fontId="0" fillId="2" borderId="0" xfId="0" applyFill="1" applyBorder="1"/>
    <xf numFmtId="0" fontId="0" fillId="0" borderId="4" xfId="0" applyBorder="1" applyAlignment="1">
      <alignment wrapText="1"/>
    </xf>
    <xf numFmtId="0" fontId="0" fillId="0" borderId="4" xfId="0" applyBorder="1"/>
    <xf numFmtId="0" fontId="0" fillId="0" borderId="5" xfId="0" applyBorder="1"/>
    <xf numFmtId="0" fontId="0" fillId="0" borderId="6" xfId="0" applyBorder="1"/>
    <xf numFmtId="164" fontId="0" fillId="2" borderId="0" xfId="0" applyNumberFormat="1" applyFill="1"/>
    <xf numFmtId="164" fontId="0" fillId="3" borderId="0" xfId="0" applyNumberFormat="1" applyFill="1"/>
    <xf numFmtId="9" fontId="0" fillId="0" borderId="1" xfId="2" applyFont="1" applyBorder="1"/>
    <xf numFmtId="164" fontId="0" fillId="0" borderId="3" xfId="0" applyNumberFormat="1" applyBorder="1"/>
    <xf numFmtId="167" fontId="0" fillId="0" borderId="4" xfId="1" applyNumberFormat="1" applyFont="1" applyBorder="1"/>
    <xf numFmtId="3" fontId="0" fillId="2" borderId="0" xfId="0" applyNumberFormat="1" applyFill="1"/>
    <xf numFmtId="0" fontId="0" fillId="0" borderId="0" xfId="0" applyAlignment="1">
      <alignment horizontal="center" wrapText="1"/>
    </xf>
    <xf numFmtId="0" fontId="0" fillId="0" borderId="0" xfId="0" applyAlignment="1">
      <alignment horizontal="right" wrapText="1"/>
    </xf>
    <xf numFmtId="167" fontId="0" fillId="0" borderId="0" xfId="1" applyNumberFormat="1" applyFont="1"/>
    <xf numFmtId="167" fontId="6" fillId="0" borderId="0" xfId="1" applyNumberFormat="1" applyFont="1"/>
    <xf numFmtId="0" fontId="0" fillId="0" borderId="2" xfId="0" applyBorder="1" applyAlignment="1">
      <alignment horizontal="center" wrapText="1"/>
    </xf>
    <xf numFmtId="3" fontId="0" fillId="0" borderId="0" xfId="0" applyNumberFormat="1" applyFill="1"/>
    <xf numFmtId="43" fontId="0" fillId="0" borderId="0" xfId="1" applyFont="1" applyBorder="1"/>
    <xf numFmtId="43" fontId="0" fillId="0" borderId="0" xfId="1" applyFont="1"/>
    <xf numFmtId="167" fontId="0" fillId="0" borderId="0" xfId="1" applyNumberFormat="1" applyFont="1" applyBorder="1"/>
    <xf numFmtId="167" fontId="0" fillId="0" borderId="0" xfId="1" applyNumberFormat="1" applyFont="1" applyFill="1" applyBorder="1"/>
    <xf numFmtId="167" fontId="2" fillId="0" borderId="0" xfId="1" applyNumberFormat="1" applyAlignment="1">
      <alignment horizontal="right" wrapText="1"/>
    </xf>
    <xf numFmtId="167" fontId="2" fillId="0" borderId="0" xfId="1" applyNumberFormat="1" applyAlignment="1">
      <alignment horizontal="center" wrapText="1"/>
    </xf>
    <xf numFmtId="167" fontId="2" fillId="0" borderId="0" xfId="1" applyNumberFormat="1"/>
    <xf numFmtId="3" fontId="0" fillId="0" borderId="0" xfId="0" applyNumberFormat="1" applyAlignment="1">
      <alignment horizontal="center"/>
    </xf>
    <xf numFmtId="3" fontId="6" fillId="0" borderId="0" xfId="0" applyNumberFormat="1" applyFont="1" applyAlignment="1">
      <alignment horizontal="center"/>
    </xf>
    <xf numFmtId="3" fontId="7" fillId="0" borderId="0" xfId="0" applyNumberFormat="1" applyFont="1" applyAlignment="1">
      <alignment horizontal="center"/>
    </xf>
    <xf numFmtId="0" fontId="6" fillId="0" borderId="0" xfId="0" applyFont="1"/>
    <xf numFmtId="165" fontId="0" fillId="0" borderId="0" xfId="0" applyNumberFormat="1"/>
    <xf numFmtId="3" fontId="0" fillId="0" borderId="4" xfId="0" applyNumberFormat="1" applyBorder="1" applyAlignment="1">
      <alignment horizontal="center"/>
    </xf>
    <xf numFmtId="0" fontId="0" fillId="0" borderId="4" xfId="0" applyBorder="1" applyAlignment="1">
      <alignment horizontal="center"/>
    </xf>
    <xf numFmtId="3" fontId="0" fillId="0" borderId="5" xfId="0" applyNumberFormat="1" applyBorder="1" applyAlignment="1">
      <alignment horizontal="center"/>
    </xf>
    <xf numFmtId="3" fontId="0" fillId="0" borderId="3" xfId="0" applyNumberFormat="1"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xf numFmtId="0" fontId="0" fillId="0" borderId="10" xfId="0" applyBorder="1"/>
    <xf numFmtId="0" fontId="0" fillId="0" borderId="11" xfId="0" applyBorder="1"/>
    <xf numFmtId="0" fontId="8" fillId="0" borderId="0" xfId="0" applyFont="1"/>
    <xf numFmtId="0" fontId="0" fillId="0" borderId="0" xfId="0" applyBorder="1" applyAlignment="1">
      <alignment horizontal="center"/>
    </xf>
    <xf numFmtId="0" fontId="0" fillId="0" borderId="0" xfId="0" applyAlignment="1">
      <alignment horizontal="center"/>
    </xf>
    <xf numFmtId="0" fontId="0" fillId="0" borderId="0" xfId="0" applyBorder="1" applyAlignment="1">
      <alignment wrapText="1"/>
    </xf>
    <xf numFmtId="0" fontId="0" fillId="0" borderId="4" xfId="0" applyBorder="1" applyAlignment="1">
      <alignment horizontal="center"/>
    </xf>
    <xf numFmtId="0" fontId="7" fillId="0" borderId="3" xfId="0" applyFont="1" applyBorder="1"/>
    <xf numFmtId="0" fontId="0" fillId="35" borderId="0" xfId="0" applyFill="1" applyBorder="1"/>
    <xf numFmtId="0" fontId="0" fillId="36" borderId="0" xfId="0" applyFill="1" applyBorder="1"/>
    <xf numFmtId="0" fontId="7" fillId="0" borderId="0" xfId="0" applyFont="1"/>
    <xf numFmtId="0" fontId="7" fillId="0" borderId="0" xfId="0" applyFont="1" applyFill="1" applyBorder="1"/>
    <xf numFmtId="166" fontId="0" fillId="0" borderId="0" xfId="1" applyNumberFormat="1" applyFont="1"/>
    <xf numFmtId="0" fontId="0" fillId="0" borderId="0" xfId="0" applyFill="1" applyBorder="1" applyAlignment="1">
      <alignment horizontal="center"/>
    </xf>
    <xf numFmtId="0" fontId="7" fillId="0" borderId="0" xfId="0" applyFont="1" applyBorder="1"/>
    <xf numFmtId="0" fontId="27" fillId="0" borderId="0" xfId="44" applyFont="1"/>
    <xf numFmtId="165" fontId="0" fillId="0" borderId="0" xfId="0" applyNumberFormat="1" applyBorder="1"/>
    <xf numFmtId="0" fontId="7" fillId="0" borderId="3" xfId="0" applyFont="1" applyBorder="1" applyAlignment="1">
      <alignment horizontal="center"/>
    </xf>
    <xf numFmtId="0" fontId="27" fillId="37" borderId="26" xfId="44" applyFont="1" applyFill="1" applyBorder="1" applyAlignment="1">
      <alignment wrapText="1"/>
    </xf>
    <xf numFmtId="0" fontId="32" fillId="0" borderId="31" xfId="44" applyFont="1" applyBorder="1" applyAlignment="1">
      <alignment horizontal="left"/>
    </xf>
    <xf numFmtId="0" fontId="27" fillId="37" borderId="26" xfId="44" applyFont="1" applyFill="1" applyBorder="1" applyAlignment="1">
      <alignment horizontal="right" wrapText="1"/>
    </xf>
    <xf numFmtId="0" fontId="33" fillId="37" borderId="26" xfId="44" applyFont="1" applyFill="1" applyBorder="1" applyAlignment="1">
      <alignment horizontal="center" wrapText="1"/>
    </xf>
    <xf numFmtId="0" fontId="32" fillId="37" borderId="26" xfId="44" applyFont="1" applyFill="1" applyBorder="1" applyAlignment="1">
      <alignment horizontal="right" wrapText="1"/>
    </xf>
    <xf numFmtId="0" fontId="32" fillId="37" borderId="31" xfId="44" applyFont="1" applyFill="1" applyBorder="1" applyAlignment="1">
      <alignment horizontal="left"/>
    </xf>
    <xf numFmtId="0" fontId="27" fillId="0" borderId="26" xfId="44" applyFont="1" applyBorder="1" applyAlignment="1">
      <alignment wrapText="1"/>
    </xf>
    <xf numFmtId="0" fontId="27" fillId="0" borderId="26" xfId="44" applyFont="1" applyBorder="1" applyAlignment="1">
      <alignment horizontal="right" wrapText="1"/>
    </xf>
    <xf numFmtId="0" fontId="33" fillId="0" borderId="26" xfId="44" applyFont="1" applyBorder="1" applyAlignment="1">
      <alignment horizontal="center" wrapText="1"/>
    </xf>
    <xf numFmtId="0" fontId="32" fillId="0" borderId="26" xfId="44" applyFont="1" applyBorder="1" applyAlignment="1">
      <alignment horizontal="right" wrapText="1"/>
    </xf>
    <xf numFmtId="0" fontId="26" fillId="0" borderId="0" xfId="43"/>
    <xf numFmtId="169" fontId="0" fillId="0" borderId="0" xfId="0" applyNumberFormat="1"/>
    <xf numFmtId="0" fontId="30" fillId="0" borderId="31" xfId="44" applyFont="1" applyBorder="1" applyAlignment="1">
      <alignment horizontal="center" wrapText="1"/>
    </xf>
    <xf numFmtId="0" fontId="30" fillId="0" borderId="26" xfId="44" applyFont="1" applyBorder="1" applyAlignment="1">
      <alignment horizontal="center" wrapText="1"/>
    </xf>
    <xf numFmtId="0" fontId="30" fillId="0" borderId="34" xfId="44" applyFont="1" applyBorder="1" applyAlignment="1">
      <alignment horizontal="left"/>
    </xf>
    <xf numFmtId="0" fontId="27" fillId="0" borderId="34" xfId="44" applyFont="1" applyBorder="1" applyAlignment="1">
      <alignment horizontal="left"/>
    </xf>
    <xf numFmtId="0" fontId="0" fillId="38" borderId="0" xfId="0" applyFill="1" applyBorder="1"/>
    <xf numFmtId="0" fontId="7" fillId="0" borderId="4" xfId="0" applyFont="1" applyBorder="1"/>
    <xf numFmtId="164" fontId="0" fillId="0" borderId="4" xfId="0" applyNumberFormat="1" applyBorder="1"/>
    <xf numFmtId="0" fontId="7" fillId="0" borderId="0" xfId="0" applyFont="1" applyBorder="1" applyAlignment="1">
      <alignment horizontal="center"/>
    </xf>
    <xf numFmtId="0" fontId="0" fillId="0" borderId="0" xfId="0" applyFont="1" applyFill="1" applyBorder="1"/>
    <xf numFmtId="164" fontId="0" fillId="0" borderId="0" xfId="0" applyNumberFormat="1" applyBorder="1" applyAlignment="1">
      <alignment horizontal="center"/>
    </xf>
    <xf numFmtId="164" fontId="7" fillId="0" borderId="0" xfId="0" applyNumberFormat="1" applyFont="1" applyBorder="1" applyAlignment="1">
      <alignment horizontal="center"/>
    </xf>
    <xf numFmtId="3" fontId="26" fillId="0" borderId="0" xfId="43" applyNumberFormat="1"/>
    <xf numFmtId="167" fontId="0" fillId="0" borderId="0" xfId="0" applyNumberFormat="1" applyBorder="1"/>
    <xf numFmtId="164" fontId="0" fillId="40" borderId="0" xfId="0" applyNumberFormat="1" applyFill="1"/>
    <xf numFmtId="164" fontId="0" fillId="0" borderId="0" xfId="0" applyNumberFormat="1" applyBorder="1"/>
    <xf numFmtId="0" fontId="0" fillId="40" borderId="0" xfId="0" applyFill="1" applyBorder="1"/>
    <xf numFmtId="169" fontId="0" fillId="0" borderId="0" xfId="0" applyNumberFormat="1" applyBorder="1"/>
    <xf numFmtId="167" fontId="0" fillId="36" borderId="0" xfId="1" applyNumberFormat="1" applyFont="1" applyFill="1"/>
    <xf numFmtId="4" fontId="0" fillId="2" borderId="0" xfId="0" applyNumberFormat="1" applyFill="1" applyBorder="1"/>
    <xf numFmtId="168" fontId="0" fillId="40" borderId="0" xfId="0" applyNumberFormat="1" applyFill="1" applyBorder="1"/>
    <xf numFmtId="167" fontId="0" fillId="39" borderId="0" xfId="1" applyNumberFormat="1" applyFont="1" applyFill="1"/>
    <xf numFmtId="170" fontId="0" fillId="40" borderId="0" xfId="0" applyNumberFormat="1" applyFill="1" applyBorder="1"/>
    <xf numFmtId="164" fontId="7" fillId="0" borderId="0" xfId="0" applyNumberFormat="1" applyFont="1" applyBorder="1"/>
    <xf numFmtId="43" fontId="0" fillId="0" borderId="0" xfId="0" applyNumberFormat="1" applyBorder="1"/>
    <xf numFmtId="43" fontId="0" fillId="0" borderId="0" xfId="0" applyNumberFormat="1"/>
    <xf numFmtId="9" fontId="0" fillId="36" borderId="1" xfId="2" applyFont="1" applyFill="1" applyBorder="1"/>
    <xf numFmtId="0" fontId="0" fillId="0" borderId="0" xfId="0" applyBorder="1" applyAlignment="1">
      <alignment horizontal="center"/>
    </xf>
    <xf numFmtId="43" fontId="0" fillId="35" borderId="0" xfId="0" applyNumberFormat="1" applyFill="1" applyBorder="1"/>
    <xf numFmtId="0" fontId="2" fillId="0" borderId="0" xfId="0" applyFont="1"/>
    <xf numFmtId="171" fontId="0" fillId="0" borderId="0" xfId="1" applyNumberFormat="1" applyFont="1"/>
    <xf numFmtId="9" fontId="0" fillId="0" borderId="0" xfId="2" applyFont="1" applyBorder="1"/>
    <xf numFmtId="9" fontId="0" fillId="36" borderId="0" xfId="2" applyFont="1" applyFill="1" applyBorder="1"/>
    <xf numFmtId="0" fontId="43" fillId="0" borderId="0" xfId="0" applyFont="1"/>
    <xf numFmtId="0" fontId="2" fillId="0" borderId="0" xfId="0" applyFont="1" applyBorder="1"/>
    <xf numFmtId="0" fontId="2" fillId="0" borderId="1" xfId="0" applyFont="1" applyBorder="1"/>
    <xf numFmtId="0" fontId="0" fillId="0" borderId="4" xfId="0" applyFill="1" applyBorder="1"/>
    <xf numFmtId="167" fontId="0" fillId="0" borderId="0" xfId="0" applyNumberFormat="1"/>
    <xf numFmtId="0" fontId="2" fillId="0" borderId="0" xfId="0" applyFont="1" applyFill="1" applyBorder="1"/>
    <xf numFmtId="168" fontId="0" fillId="36" borderId="0" xfId="0" applyNumberFormat="1" applyFill="1" applyBorder="1"/>
    <xf numFmtId="164" fontId="0" fillId="36" borderId="0" xfId="0" applyNumberFormat="1" applyFill="1"/>
    <xf numFmtId="0" fontId="0" fillId="36" borderId="0" xfId="0" applyFill="1"/>
    <xf numFmtId="9" fontId="0" fillId="0" borderId="0" xfId="2" applyFont="1" applyFill="1" applyBorder="1"/>
    <xf numFmtId="164" fontId="0" fillId="40" borderId="0" xfId="0" applyNumberFormat="1" applyFill="1" applyBorder="1"/>
    <xf numFmtId="172" fontId="0" fillId="0" borderId="0" xfId="2" applyNumberFormat="1" applyFont="1" applyFill="1" applyBorder="1"/>
    <xf numFmtId="167" fontId="0" fillId="0" borderId="4" xfId="1" applyNumberFormat="1" applyFont="1" applyFill="1" applyBorder="1"/>
    <xf numFmtId="0" fontId="0" fillId="41" borderId="0" xfId="0" applyFill="1" applyBorder="1"/>
    <xf numFmtId="0" fontId="2" fillId="0" borderId="0" xfId="0" applyFont="1" applyAlignment="1">
      <alignment horizontal="center"/>
    </xf>
    <xf numFmtId="0" fontId="0" fillId="0" borderId="3" xfId="0" applyBorder="1" applyAlignment="1">
      <alignment horizontal="center"/>
    </xf>
    <xf numFmtId="0" fontId="0" fillId="0" borderId="0" xfId="0" applyBorder="1" applyAlignment="1">
      <alignment horizontal="center" wrapText="1"/>
    </xf>
    <xf numFmtId="0" fontId="0" fillId="0" borderId="0" xfId="0" applyFont="1" applyFill="1" applyBorder="1" applyAlignment="1">
      <alignment horizontal="center"/>
    </xf>
    <xf numFmtId="0" fontId="0" fillId="0" borderId="0" xfId="0" applyFill="1"/>
    <xf numFmtId="164" fontId="0" fillId="0" borderId="0" xfId="0" applyNumberFormat="1" applyFill="1" applyBorder="1"/>
    <xf numFmtId="0" fontId="2" fillId="0" borderId="0" xfId="0" applyFont="1" applyBorder="1" applyAlignment="1">
      <alignment horizontal="center"/>
    </xf>
    <xf numFmtId="173" fontId="0" fillId="0" borderId="0" xfId="1" applyNumberFormat="1" applyFont="1" applyBorder="1"/>
    <xf numFmtId="172" fontId="0" fillId="0" borderId="0" xfId="2" applyNumberFormat="1" applyFont="1" applyBorder="1"/>
    <xf numFmtId="0" fontId="0" fillId="0" borderId="0" xfId="0" applyAlignment="1">
      <alignment wrapText="1"/>
    </xf>
    <xf numFmtId="165" fontId="0" fillId="0" borderId="0" xfId="1" applyNumberFormat="1" applyFont="1" applyBorder="1"/>
    <xf numFmtId="165" fontId="0" fillId="0" borderId="0" xfId="0" applyNumberFormat="1" applyFill="1" applyBorder="1"/>
    <xf numFmtId="164" fontId="0" fillId="36" borderId="0" xfId="0" applyNumberFormat="1" applyFill="1" applyBorder="1"/>
    <xf numFmtId="166" fontId="0" fillId="0" borderId="0" xfId="1" applyNumberFormat="1" applyFont="1" applyBorder="1"/>
    <xf numFmtId="9" fontId="0" fillId="0" borderId="1" xfId="2" applyFont="1" applyFill="1" applyBorder="1"/>
    <xf numFmtId="1" fontId="0" fillId="0" borderId="0" xfId="0" applyNumberFormat="1" applyFill="1" applyBorder="1"/>
    <xf numFmtId="165" fontId="0" fillId="0" borderId="0" xfId="2" applyNumberFormat="1" applyFont="1" applyBorder="1"/>
    <xf numFmtId="3" fontId="0" fillId="36" borderId="0" xfId="0" applyNumberFormat="1" applyFill="1"/>
    <xf numFmtId="166" fontId="0" fillId="36" borderId="0" xfId="1" applyNumberFormat="1" applyFont="1" applyFill="1" applyBorder="1"/>
    <xf numFmtId="167" fontId="0" fillId="36" borderId="0" xfId="1" applyNumberFormat="1" applyFont="1" applyFill="1" applyBorder="1"/>
    <xf numFmtId="0" fontId="2" fillId="36" borderId="0" xfId="0" applyFont="1" applyFill="1" applyBorder="1"/>
    <xf numFmtId="166" fontId="0" fillId="0" borderId="0" xfId="0" applyNumberFormat="1"/>
    <xf numFmtId="168" fontId="0" fillId="0" borderId="0" xfId="0" applyNumberFormat="1"/>
    <xf numFmtId="168" fontId="2" fillId="0" borderId="0" xfId="0" applyNumberFormat="1" applyFont="1"/>
    <xf numFmtId="0" fontId="2" fillId="0" borderId="0" xfId="0" applyFont="1" applyAlignment="1">
      <alignment wrapText="1"/>
    </xf>
    <xf numFmtId="0" fontId="0" fillId="42" borderId="0" xfId="0" applyFill="1"/>
    <xf numFmtId="0" fontId="0" fillId="35" borderId="0" xfId="0" applyFill="1"/>
    <xf numFmtId="0" fontId="2" fillId="0" borderId="2" xfId="0" applyFont="1" applyBorder="1" applyAlignment="1">
      <alignment horizontal="center" wrapText="1"/>
    </xf>
    <xf numFmtId="0" fontId="2" fillId="0" borderId="0" xfId="0" applyFont="1" applyFill="1" applyBorder="1" applyAlignment="1">
      <alignment horizontal="center" wrapText="1"/>
    </xf>
    <xf numFmtId="0" fontId="6" fillId="0" borderId="2" xfId="0" applyFont="1" applyBorder="1" applyAlignment="1">
      <alignment horizontal="center"/>
    </xf>
    <xf numFmtId="0" fontId="6" fillId="0" borderId="2" xfId="0" applyFont="1" applyBorder="1" applyAlignment="1">
      <alignment horizontal="left"/>
    </xf>
    <xf numFmtId="0" fontId="0" fillId="0" borderId="0" xfId="0" applyBorder="1" applyAlignment="1">
      <alignment horizontal="center"/>
    </xf>
    <xf numFmtId="0" fontId="0" fillId="0" borderId="0" xfId="0" applyAlignment="1">
      <alignment horizontal="center"/>
    </xf>
    <xf numFmtId="0" fontId="0" fillId="0" borderId="4" xfId="0" applyBorder="1" applyAlignment="1">
      <alignment horizontal="center"/>
    </xf>
    <xf numFmtId="43" fontId="0" fillId="0" borderId="0" xfId="0" applyNumberFormat="1" applyFill="1" applyBorder="1"/>
    <xf numFmtId="0" fontId="2" fillId="0" borderId="0" xfId="0" applyFont="1" applyFill="1" applyBorder="1" applyAlignment="1">
      <alignment horizontal="center"/>
    </xf>
    <xf numFmtId="0" fontId="2" fillId="0" borderId="4" xfId="0" applyFont="1" applyFill="1" applyBorder="1" applyAlignment="1">
      <alignment horizontal="center"/>
    </xf>
    <xf numFmtId="10" fontId="0" fillId="0" borderId="0" xfId="2" applyNumberFormat="1" applyFont="1"/>
    <xf numFmtId="10" fontId="0" fillId="0" borderId="1" xfId="2" applyNumberFormat="1" applyFont="1" applyBorder="1"/>
    <xf numFmtId="0" fontId="0" fillId="40" borderId="0" xfId="0" applyFill="1"/>
    <xf numFmtId="0" fontId="0" fillId="45" borderId="0" xfId="0" applyFill="1"/>
    <xf numFmtId="0" fontId="0" fillId="45" borderId="0" xfId="0" applyFill="1" applyAlignment="1">
      <alignment wrapText="1"/>
    </xf>
    <xf numFmtId="169" fontId="0" fillId="0" borderId="0" xfId="0" applyNumberFormat="1" applyBorder="1" applyAlignment="1">
      <alignment horizontal="center"/>
    </xf>
    <xf numFmtId="164" fontId="0" fillId="38" borderId="0" xfId="0" applyNumberFormat="1" applyFill="1" applyBorder="1"/>
    <xf numFmtId="164" fontId="0" fillId="0" borderId="0" xfId="0" applyNumberFormat="1" applyFill="1"/>
    <xf numFmtId="164" fontId="0" fillId="35" borderId="0" xfId="0" applyNumberFormat="1" applyFill="1" applyBorder="1"/>
    <xf numFmtId="0" fontId="2" fillId="40" borderId="0" xfId="0" applyFont="1" applyFill="1"/>
    <xf numFmtId="0" fontId="2" fillId="38" borderId="0" xfId="0" applyFont="1" applyFill="1" applyBorder="1"/>
    <xf numFmtId="168" fontId="0" fillId="38" borderId="0" xfId="0" applyNumberFormat="1" applyFill="1" applyBorder="1"/>
    <xf numFmtId="168" fontId="0" fillId="0" borderId="0" xfId="0" applyNumberFormat="1" applyBorder="1"/>
    <xf numFmtId="168" fontId="0" fillId="35" borderId="0" xfId="0" applyNumberFormat="1" applyFill="1" applyBorder="1"/>
    <xf numFmtId="168" fontId="0" fillId="2" borderId="0" xfId="0" applyNumberFormat="1" applyFill="1" applyBorder="1"/>
    <xf numFmtId="0" fontId="2" fillId="0" borderId="0" xfId="0" applyFont="1" applyAlignment="1">
      <alignment horizontal="left"/>
    </xf>
    <xf numFmtId="172" fontId="0" fillId="0" borderId="1" xfId="2" applyNumberFormat="1" applyFont="1" applyBorder="1"/>
    <xf numFmtId="9" fontId="0" fillId="0" borderId="1" xfId="2" applyNumberFormat="1" applyFont="1" applyBorder="1"/>
    <xf numFmtId="3" fontId="26" fillId="36" borderId="0" xfId="43" applyNumberFormat="1" applyFill="1"/>
    <xf numFmtId="168" fontId="2" fillId="36" borderId="0" xfId="0" applyNumberFormat="1" applyFont="1" applyFill="1"/>
    <xf numFmtId="3" fontId="0" fillId="0" borderId="0" xfId="0" applyNumberFormat="1" applyFill="1" applyBorder="1"/>
    <xf numFmtId="170" fontId="0" fillId="0" borderId="0" xfId="0" applyNumberFormat="1"/>
    <xf numFmtId="0" fontId="2" fillId="36" borderId="0" xfId="0" applyFont="1" applyFill="1"/>
    <xf numFmtId="0" fontId="46" fillId="0" borderId="0" xfId="0" applyFont="1"/>
    <xf numFmtId="0" fontId="0" fillId="0" borderId="0"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Alignment="1">
      <alignment wrapText="1"/>
    </xf>
    <xf numFmtId="0" fontId="2" fillId="46" borderId="0" xfId="0" applyFont="1" applyFill="1" applyAlignment="1">
      <alignment horizontal="center"/>
    </xf>
    <xf numFmtId="0" fontId="0" fillId="41" borderId="0" xfId="0" applyFill="1" applyBorder="1" applyAlignment="1">
      <alignment horizontal="center"/>
    </xf>
    <xf numFmtId="0" fontId="0" fillId="41" borderId="4" xfId="0" applyFill="1" applyBorder="1" applyAlignment="1">
      <alignment horizontal="center"/>
    </xf>
    <xf numFmtId="0" fontId="2" fillId="0" borderId="3" xfId="0" applyFont="1" applyBorder="1"/>
    <xf numFmtId="0" fontId="0" fillId="38" borderId="1" xfId="0" applyFill="1" applyBorder="1" applyAlignment="1">
      <alignment horizontal="center"/>
    </xf>
    <xf numFmtId="0" fontId="0" fillId="38" borderId="0" xfId="0" applyFill="1" applyBorder="1" applyAlignment="1">
      <alignment horizontal="center"/>
    </xf>
    <xf numFmtId="0" fontId="0" fillId="38" borderId="4" xfId="0" applyFill="1" applyBorder="1" applyAlignment="1">
      <alignment horizontal="center"/>
    </xf>
    <xf numFmtId="0" fontId="2" fillId="0" borderId="5" xfId="0" applyFont="1" applyBorder="1"/>
    <xf numFmtId="0" fontId="0" fillId="47" borderId="0" xfId="0" applyFill="1" applyBorder="1" applyAlignment="1">
      <alignment horizontal="center"/>
    </xf>
    <xf numFmtId="167" fontId="2" fillId="0" borderId="0" xfId="1" applyNumberFormat="1" applyFont="1"/>
    <xf numFmtId="0" fontId="0" fillId="0" borderId="0" xfId="0" applyAlignment="1">
      <alignment wrapText="1"/>
    </xf>
    <xf numFmtId="0" fontId="47" fillId="48" borderId="0" xfId="0" applyFont="1" applyFill="1"/>
    <xf numFmtId="0" fontId="2" fillId="41" borderId="1" xfId="0" applyFont="1" applyFill="1" applyBorder="1" applyAlignment="1">
      <alignment horizontal="center"/>
    </xf>
    <xf numFmtId="0" fontId="0" fillId="49" borderId="0" xfId="0" applyFill="1" applyAlignment="1">
      <alignment horizontal="center"/>
    </xf>
    <xf numFmtId="2" fontId="0" fillId="0" borderId="0" xfId="0" applyNumberFormat="1"/>
    <xf numFmtId="0" fontId="1" fillId="0" borderId="0" xfId="47"/>
    <xf numFmtId="0" fontId="1" fillId="0" borderId="0" xfId="47" applyAlignment="1">
      <alignment horizontal="left"/>
    </xf>
    <xf numFmtId="168" fontId="0" fillId="35" borderId="0" xfId="0" applyNumberFormat="1" applyFill="1"/>
    <xf numFmtId="168" fontId="0" fillId="0" borderId="0" xfId="0" applyNumberFormat="1" applyFill="1"/>
    <xf numFmtId="3" fontId="2" fillId="0" borderId="0" xfId="0" applyNumberFormat="1" applyFont="1"/>
    <xf numFmtId="3" fontId="0" fillId="35" borderId="0" xfId="0" applyNumberFormat="1" applyFill="1"/>
    <xf numFmtId="1" fontId="0" fillId="0" borderId="0" xfId="0" applyNumberFormat="1"/>
    <xf numFmtId="168" fontId="0" fillId="36" borderId="0" xfId="0" applyNumberFormat="1" applyFill="1"/>
    <xf numFmtId="168" fontId="0" fillId="50" borderId="0" xfId="0" applyNumberFormat="1" applyFill="1"/>
    <xf numFmtId="170" fontId="0" fillId="36" borderId="0" xfId="0" applyNumberFormat="1" applyFill="1"/>
    <xf numFmtId="3" fontId="0" fillId="51" borderId="0" xfId="0" applyNumberFormat="1" applyFill="1"/>
    <xf numFmtId="168" fontId="2" fillId="0" borderId="0" xfId="0" applyNumberFormat="1" applyFont="1" applyAlignment="1">
      <alignment wrapText="1"/>
    </xf>
    <xf numFmtId="168" fontId="2" fillId="0" borderId="0" xfId="0" applyNumberFormat="1" applyFont="1" applyFill="1"/>
    <xf numFmtId="0" fontId="0" fillId="50" borderId="0" xfId="0" applyFill="1"/>
    <xf numFmtId="0" fontId="48" fillId="0" borderId="0" xfId="0" applyFont="1"/>
    <xf numFmtId="164" fontId="0" fillId="51" borderId="0" xfId="0" applyNumberFormat="1" applyFill="1"/>
    <xf numFmtId="0" fontId="0" fillId="0" borderId="0" xfId="0" applyAlignment="1">
      <alignment wrapText="1"/>
    </xf>
    <xf numFmtId="174" fontId="0" fillId="0" borderId="0" xfId="0" applyNumberFormat="1"/>
    <xf numFmtId="0" fontId="49" fillId="0" borderId="0" xfId="0" applyFont="1"/>
    <xf numFmtId="0" fontId="2" fillId="35" borderId="0" xfId="0" applyFont="1" applyFill="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0" xfId="0" applyBorder="1" applyAlignment="1">
      <alignment wrapText="1"/>
    </xf>
    <xf numFmtId="0" fontId="0" fillId="0" borderId="0" xfId="0" applyAlignment="1">
      <alignment wrapText="1"/>
    </xf>
    <xf numFmtId="0" fontId="0" fillId="0" borderId="4" xfId="0"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center"/>
    </xf>
    <xf numFmtId="0" fontId="2" fillId="43" borderId="0" xfId="0" applyFont="1" applyFill="1" applyAlignment="1">
      <alignment horizontal="center"/>
    </xf>
    <xf numFmtId="0" fontId="2" fillId="44" borderId="0" xfId="0" applyFont="1" applyFill="1" applyAlignment="1">
      <alignment horizontal="center"/>
    </xf>
    <xf numFmtId="0" fontId="2" fillId="52" borderId="0" xfId="0" applyFont="1" applyFill="1" applyAlignment="1">
      <alignment horizontal="center"/>
    </xf>
    <xf numFmtId="0" fontId="34" fillId="0" borderId="32" xfId="44" applyFont="1" applyBorder="1" applyAlignment="1">
      <alignment vertical="top" wrapText="1"/>
    </xf>
    <xf numFmtId="0" fontId="34" fillId="0" borderId="0" xfId="44" applyFont="1" applyBorder="1" applyAlignment="1">
      <alignment vertical="top" wrapText="1"/>
    </xf>
    <xf numFmtId="0" fontId="36" fillId="0" borderId="0" xfId="46" applyBorder="1" applyAlignment="1">
      <alignment vertical="top" wrapText="1"/>
    </xf>
    <xf numFmtId="0" fontId="36" fillId="0" borderId="33" xfId="46" applyBorder="1" applyAlignment="1">
      <alignment vertical="top" wrapText="1"/>
    </xf>
    <xf numFmtId="0" fontId="32" fillId="0" borderId="32" xfId="44" applyFont="1" applyBorder="1" applyAlignment="1">
      <alignment vertical="top" wrapText="1"/>
    </xf>
    <xf numFmtId="0" fontId="32" fillId="0" borderId="0" xfId="44" applyFont="1" applyBorder="1" applyAlignment="1">
      <alignment vertical="top" wrapText="1"/>
    </xf>
    <xf numFmtId="0" fontId="34" fillId="0" borderId="24" xfId="44" applyFont="1" applyBorder="1" applyAlignment="1">
      <alignment vertical="top" wrapText="1"/>
    </xf>
    <xf numFmtId="0" fontId="34" fillId="0" borderId="25" xfId="44" applyFont="1" applyBorder="1" applyAlignment="1">
      <alignment vertical="top" wrapText="1"/>
    </xf>
    <xf numFmtId="0" fontId="32" fillId="0" borderId="0" xfId="44" applyFont="1" applyAlignment="1">
      <alignment vertical="top" wrapText="1"/>
    </xf>
    <xf numFmtId="0" fontId="32" fillId="0" borderId="33" xfId="44" applyFont="1" applyBorder="1" applyAlignment="1">
      <alignment vertical="top" wrapText="1"/>
    </xf>
    <xf numFmtId="0" fontId="39" fillId="0" borderId="0" xfId="44" applyFont="1" applyAlignment="1">
      <alignment vertical="top" wrapText="1"/>
    </xf>
    <xf numFmtId="0" fontId="39" fillId="0" borderId="33" xfId="44" applyFont="1" applyBorder="1" applyAlignment="1">
      <alignment vertical="top" wrapText="1"/>
    </xf>
    <xf numFmtId="0" fontId="40" fillId="0" borderId="0" xfId="44" applyFont="1" applyAlignment="1">
      <alignment vertical="top" wrapText="1"/>
    </xf>
    <xf numFmtId="0" fontId="40" fillId="0" borderId="33" xfId="44" applyFont="1" applyBorder="1" applyAlignment="1">
      <alignment vertical="top" wrapText="1"/>
    </xf>
    <xf numFmtId="0" fontId="32" fillId="0" borderId="25" xfId="44" applyFont="1" applyBorder="1" applyAlignment="1">
      <alignment vertical="top" wrapText="1"/>
    </xf>
    <xf numFmtId="0" fontId="32" fillId="0" borderId="26" xfId="44" applyFont="1" applyBorder="1" applyAlignment="1">
      <alignment vertical="top" wrapText="1"/>
    </xf>
    <xf numFmtId="0" fontId="34" fillId="0" borderId="21" xfId="44" applyFont="1" applyBorder="1" applyAlignment="1">
      <alignment vertical="top" wrapText="1"/>
    </xf>
    <xf numFmtId="0" fontId="34" fillId="0" borderId="22" xfId="44" applyFont="1" applyBorder="1" applyAlignment="1">
      <alignment vertical="top" wrapText="1"/>
    </xf>
    <xf numFmtId="0" fontId="32" fillId="0" borderId="22" xfId="44" applyFont="1" applyBorder="1" applyAlignment="1">
      <alignment vertical="top" wrapText="1"/>
    </xf>
    <xf numFmtId="0" fontId="32" fillId="0" borderId="23" xfId="44" applyFont="1" applyBorder="1" applyAlignment="1">
      <alignment vertical="top" wrapText="1"/>
    </xf>
    <xf numFmtId="0" fontId="30" fillId="0" borderId="28" xfId="44" applyFont="1" applyBorder="1" applyAlignment="1">
      <alignment horizontal="center" wrapText="1"/>
    </xf>
    <xf numFmtId="0" fontId="30" fillId="0" borderId="30" xfId="44" applyFont="1" applyBorder="1" applyAlignment="1">
      <alignment horizontal="center" wrapText="1"/>
    </xf>
    <xf numFmtId="0" fontId="28" fillId="0" borderId="21" xfId="44" applyFont="1" applyBorder="1" applyAlignment="1">
      <alignment horizontal="left" wrapText="1"/>
    </xf>
    <xf numFmtId="0" fontId="28" fillId="0" borderId="22" xfId="44" applyFont="1" applyBorder="1" applyAlignment="1">
      <alignment horizontal="left" wrapText="1"/>
    </xf>
    <xf numFmtId="0" fontId="28" fillId="0" borderId="23" xfId="44" applyFont="1" applyBorder="1" applyAlignment="1">
      <alignment horizontal="left" wrapText="1"/>
    </xf>
    <xf numFmtId="0" fontId="29" fillId="0" borderId="24" xfId="44" applyFont="1" applyBorder="1" applyAlignment="1">
      <alignment horizontal="left" wrapText="1"/>
    </xf>
    <xf numFmtId="0" fontId="29" fillId="0" borderId="25" xfId="44" applyFont="1" applyBorder="1" applyAlignment="1">
      <alignment horizontal="left" wrapText="1"/>
    </xf>
    <xf numFmtId="0" fontId="29" fillId="0" borderId="26" xfId="44" applyFont="1" applyBorder="1" applyAlignment="1">
      <alignment horizontal="left" wrapText="1"/>
    </xf>
    <xf numFmtId="0" fontId="30" fillId="0" borderId="27" xfId="44" applyFont="1" applyBorder="1" applyAlignment="1">
      <alignment horizontal="center" wrapText="1"/>
    </xf>
    <xf numFmtId="0" fontId="30" fillId="0" borderId="31" xfId="44" applyFont="1" applyBorder="1" applyAlignment="1">
      <alignment horizontal="center" wrapText="1"/>
    </xf>
    <xf numFmtId="0" fontId="30" fillId="0" borderId="29" xfId="44" applyFont="1" applyBorder="1" applyAlignment="1">
      <alignment horizontal="center" wrapText="1"/>
    </xf>
    <xf numFmtId="0" fontId="32" fillId="0" borderId="24" xfId="44" applyFont="1" applyBorder="1" applyAlignment="1">
      <alignment vertical="top" wrapText="1"/>
    </xf>
    <xf numFmtId="0" fontId="30" fillId="0" borderId="0" xfId="44" applyFont="1" applyAlignment="1">
      <alignment vertical="top" wrapText="1"/>
    </xf>
    <xf numFmtId="0" fontId="30" fillId="0" borderId="33" xfId="44" applyFont="1" applyBorder="1" applyAlignment="1">
      <alignment vertical="top" wrapText="1"/>
    </xf>
    <xf numFmtId="0" fontId="34" fillId="0" borderId="0" xfId="44" applyFont="1" applyAlignment="1">
      <alignment vertical="top" wrapText="1"/>
    </xf>
    <xf numFmtId="0" fontId="34" fillId="0" borderId="33" xfId="44" applyFont="1" applyBorder="1" applyAlignment="1">
      <alignment vertical="top" wrapText="1"/>
    </xf>
    <xf numFmtId="0" fontId="30" fillId="0" borderId="24" xfId="44" applyFont="1" applyBorder="1" applyAlignment="1">
      <alignment horizontal="center" wrapText="1"/>
    </xf>
    <xf numFmtId="0" fontId="30" fillId="0" borderId="26" xfId="44" applyFont="1" applyBorder="1" applyAlignment="1">
      <alignment horizontal="center" wrapText="1"/>
    </xf>
    <xf numFmtId="0" fontId="34" fillId="0" borderId="23" xfId="44" applyFont="1" applyBorder="1" applyAlignment="1">
      <alignment vertical="top" wrapText="1"/>
    </xf>
    <xf numFmtId="0" fontId="30" fillId="0" borderId="32" xfId="44" applyFont="1" applyBorder="1" applyAlignment="1">
      <alignment horizontal="center" wrapText="1"/>
    </xf>
    <xf numFmtId="0" fontId="30" fillId="0" borderId="33" xfId="44" applyFont="1" applyBorder="1" applyAlignment="1">
      <alignment horizontal="center" wrapText="1"/>
    </xf>
    <xf numFmtId="0" fontId="30" fillId="0" borderId="21" xfId="44" applyFont="1" applyBorder="1" applyAlignment="1">
      <alignment horizontal="center" wrapText="1"/>
    </xf>
    <xf numFmtId="0" fontId="30" fillId="0" borderId="22" xfId="44" applyFont="1" applyBorder="1" applyAlignment="1">
      <alignment horizontal="center" wrapText="1"/>
    </xf>
    <xf numFmtId="0" fontId="30" fillId="0" borderId="23" xfId="44" applyFont="1" applyBorder="1" applyAlignment="1">
      <alignment horizontal="center" wrapText="1"/>
    </xf>
    <xf numFmtId="0" fontId="30" fillId="0" borderId="25" xfId="44" applyFont="1" applyBorder="1" applyAlignment="1">
      <alignment horizontal="center" wrapText="1"/>
    </xf>
    <xf numFmtId="0" fontId="30" fillId="0" borderId="34" xfId="44" applyFont="1" applyBorder="1" applyAlignment="1">
      <alignment horizontal="center" wrapText="1"/>
    </xf>
    <xf numFmtId="0" fontId="32" fillId="0" borderId="27" xfId="44" applyFont="1" applyBorder="1" applyAlignment="1">
      <alignment horizontal="right" wrapText="1"/>
    </xf>
    <xf numFmtId="0" fontId="32" fillId="0" borderId="34" xfId="44" applyFont="1" applyBorder="1" applyAlignment="1">
      <alignment horizontal="right" wrapText="1"/>
    </xf>
    <xf numFmtId="0" fontId="32" fillId="0" borderId="31" xfId="44" applyFont="1" applyBorder="1" applyAlignment="1">
      <alignment horizontal="right" wrapText="1"/>
    </xf>
    <xf numFmtId="0" fontId="27" fillId="0" borderId="27" xfId="44" applyFont="1" applyBorder="1" applyAlignment="1">
      <alignment horizontal="right" wrapText="1"/>
    </xf>
    <xf numFmtId="0" fontId="27" fillId="0" borderId="34" xfId="44" applyFont="1" applyBorder="1" applyAlignment="1">
      <alignment horizontal="right" wrapText="1"/>
    </xf>
    <xf numFmtId="0" fontId="27" fillId="0" borderId="31" xfId="44" applyFont="1" applyBorder="1" applyAlignment="1">
      <alignment horizontal="right" wrapText="1"/>
    </xf>
    <xf numFmtId="0" fontId="33" fillId="0" borderId="27" xfId="44" applyFont="1" applyBorder="1" applyAlignment="1">
      <alignment horizontal="center" wrapText="1"/>
    </xf>
    <xf numFmtId="0" fontId="33" fillId="0" borderId="34" xfId="44" applyFont="1" applyBorder="1" applyAlignment="1">
      <alignment horizontal="center" wrapText="1"/>
    </xf>
    <xf numFmtId="0" fontId="33" fillId="0" borderId="31" xfId="44" applyFont="1" applyBorder="1" applyAlignment="1">
      <alignment horizontal="center" wrapText="1"/>
    </xf>
    <xf numFmtId="0" fontId="27" fillId="0" borderId="25" xfId="44" applyFont="1" applyBorder="1" applyAlignment="1">
      <alignment wrapText="1"/>
    </xf>
    <xf numFmtId="0" fontId="27" fillId="0" borderId="26" xfId="44" applyFont="1" applyBorder="1" applyAlignment="1">
      <alignment wrapText="1"/>
    </xf>
  </cellXfs>
  <cellStyles count="48">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1"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6" builtinId="8"/>
    <cellStyle name="Input" xfId="11" builtinId="20" customBuiltin="1"/>
    <cellStyle name="Linked Cell" xfId="14" builtinId="24" customBuiltin="1"/>
    <cellStyle name="Neutral" xfId="10" builtinId="28" customBuiltin="1"/>
    <cellStyle name="Normal" xfId="0" builtinId="0"/>
    <cellStyle name="Normal 2" xfId="43" xr:uid="{00000000-0005-0000-0000-000027000000}"/>
    <cellStyle name="Normal 3" xfId="44" xr:uid="{00000000-0005-0000-0000-000028000000}"/>
    <cellStyle name="Normal 4" xfId="47" xr:uid="{BF819CE4-128D-4F9E-8638-EB49C376E768}"/>
    <cellStyle name="Note 2" xfId="45" xr:uid="{00000000-0005-0000-0000-000029000000}"/>
    <cellStyle name="Output" xfId="12" builtinId="21" customBuiltin="1"/>
    <cellStyle name="Percent" xfId="2" builtinId="5"/>
    <cellStyle name="Title" xfId="3" builtinId="15" customBuiltin="1"/>
    <cellStyle name="Total" xfId="18" builtinId="25" customBuiltin="1"/>
    <cellStyle name="Warning Text" xfId="16" builtinId="11" customBuiltin="1"/>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externalLink" Target="externalLinks/externalLink11.xml"/><Relationship Id="rId35" Type="http://schemas.openxmlformats.org/officeDocument/2006/relationships/sharedStrings" Target="sharedStrings.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Compute_intensities!$AA$16</c:f>
              <c:strCache>
                <c:ptCount val="1"/>
                <c:pt idx="0">
                  <c:v>Output</c:v>
                </c:pt>
              </c:strCache>
            </c:strRef>
          </c:tx>
          <c:cat>
            <c:numRef>
              <c:f>Compute_intensities!$Z$17:$Z$64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Compute_intensities!$AA$17:$AA$64</c:f>
              <c:numCache>
                <c:formatCode>0.00</c:formatCode>
                <c:ptCount val="48"/>
                <c:pt idx="0">
                  <c:v>27.889389408</c:v>
                </c:pt>
                <c:pt idx="1">
                  <c:v>27.605070240000003</c:v>
                </c:pt>
                <c:pt idx="2">
                  <c:v>27.426282804</c:v>
                </c:pt>
                <c:pt idx="3">
                  <c:v>27.255836364</c:v>
                </c:pt>
                <c:pt idx="4">
                  <c:v>26.747398260000001</c:v>
                </c:pt>
                <c:pt idx="5">
                  <c:v>25.307307168000005</c:v>
                </c:pt>
                <c:pt idx="6">
                  <c:v>25.622814408</c:v>
                </c:pt>
                <c:pt idx="7">
                  <c:v>26.207409432000006</c:v>
                </c:pt>
                <c:pt idx="8">
                  <c:v>26.506234680000002</c:v>
                </c:pt>
                <c:pt idx="9">
                  <c:v>26.012302656000003</c:v>
                </c:pt>
                <c:pt idx="10">
                  <c:v>25.550646660000002</c:v>
                </c:pt>
                <c:pt idx="11">
                  <c:v>25.098419616000005</c:v>
                </c:pt>
                <c:pt idx="12">
                  <c:v>23.915811444000006</c:v>
                </c:pt>
                <c:pt idx="13">
                  <c:v>23.469024180000002</c:v>
                </c:pt>
                <c:pt idx="14">
                  <c:v>25.097331660000002</c:v>
                </c:pt>
                <c:pt idx="15">
                  <c:v>24.996514404000006</c:v>
                </c:pt>
                <c:pt idx="16">
                  <c:v>24.042739644000001</c:v>
                </c:pt>
                <c:pt idx="17">
                  <c:v>24.642203400000003</c:v>
                </c:pt>
                <c:pt idx="18">
                  <c:v>24.990711972</c:v>
                </c:pt>
                <c:pt idx="19">
                  <c:v>23.867216076000005</c:v>
                </c:pt>
                <c:pt idx="20">
                  <c:v>24.1979547</c:v>
                </c:pt>
                <c:pt idx="21">
                  <c:v>24.728514576000002</c:v>
                </c:pt>
                <c:pt idx="22">
                  <c:v>24.164590715999999</c:v>
                </c:pt>
                <c:pt idx="23">
                  <c:v>24.380368656000002</c:v>
                </c:pt>
                <c:pt idx="24">
                  <c:v>24.440206236000002</c:v>
                </c:pt>
                <c:pt idx="25">
                  <c:v>25.048373639999998</c:v>
                </c:pt>
                <c:pt idx="26">
                  <c:v>25.806316320000001</c:v>
                </c:pt>
                <c:pt idx="27">
                  <c:v>26.277763919999998</c:v>
                </c:pt>
                <c:pt idx="28">
                  <c:v>25.591626336000001</c:v>
                </c:pt>
                <c:pt idx="29">
                  <c:v>25.055264028000003</c:v>
                </c:pt>
                <c:pt idx="30">
                  <c:v>26.059810067999997</c:v>
                </c:pt>
                <c:pt idx="31">
                  <c:v>27.049487375999998</c:v>
                </c:pt>
                <c:pt idx="32">
                  <c:v>25.362430272000005</c:v>
                </c:pt>
                <c:pt idx="33">
                  <c:v>25.401959340000001</c:v>
                </c:pt>
                <c:pt idx="34">
                  <c:v>24.495691992000001</c:v>
                </c:pt>
                <c:pt idx="35">
                  <c:v>24.329597375999999</c:v>
                </c:pt>
                <c:pt idx="36">
                  <c:v>24.513824592000002</c:v>
                </c:pt>
                <c:pt idx="37">
                  <c:v>24.832595700000002</c:v>
                </c:pt>
                <c:pt idx="38">
                  <c:v>26.313666468000001</c:v>
                </c:pt>
                <c:pt idx="39">
                  <c:v>28.606715064000007</c:v>
                </c:pt>
                <c:pt idx="40">
                  <c:v>29.711353056</c:v>
                </c:pt>
                <c:pt idx="41">
                  <c:v>32.685099456000003</c:v>
                </c:pt>
                <c:pt idx="42">
                  <c:v>36.2652</c:v>
                </c:pt>
                <c:pt idx="43">
                  <c:v>39.975855264000003</c:v>
                </c:pt>
                <c:pt idx="44">
                  <c:v>45.107381064000009</c:v>
                </c:pt>
                <c:pt idx="45">
                  <c:v>44.220334272000002</c:v>
                </c:pt>
                <c:pt idx="46">
                  <c:v>42.399821232000001</c:v>
                </c:pt>
                <c:pt idx="47">
                  <c:v>45.695239956000002</c:v>
                </c:pt>
              </c:numCache>
            </c:numRef>
          </c:val>
          <c:smooth val="0"/>
          <c:extLst>
            <c:ext xmlns:c16="http://schemas.microsoft.com/office/drawing/2014/chart" uri="{C3380CC4-5D6E-409C-BE32-E72D297353CC}">
              <c16:uniqueId val="{00000000-E40E-4715-88A8-8F8F6A3517C2}"/>
            </c:ext>
          </c:extLst>
        </c:ser>
        <c:ser>
          <c:idx val="1"/>
          <c:order val="1"/>
          <c:tx>
            <c:strRef>
              <c:f>Compute_intensities!$AB$16</c:f>
              <c:strCache>
                <c:ptCount val="1"/>
                <c:pt idx="0">
                  <c:v>Elec</c:v>
                </c:pt>
              </c:strCache>
            </c:strRef>
          </c:tx>
          <c:cat>
            <c:numRef>
              <c:f>Compute_intensities!$Z$17:$Z$64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Compute_intensities!$AB$17:$AB$67</c:f>
              <c:numCache>
                <c:formatCode>General</c:formatCode>
                <c:ptCount val="51"/>
                <c:pt idx="0">
                  <c:v>42.785000000000004</c:v>
                </c:pt>
                <c:pt idx="1">
                  <c:v>44.602999999999994</c:v>
                </c:pt>
                <c:pt idx="2">
                  <c:v>47.206000000000003</c:v>
                </c:pt>
                <c:pt idx="3">
                  <c:v>51.50800000000001</c:v>
                </c:pt>
                <c:pt idx="4">
                  <c:v>54.448</c:v>
                </c:pt>
                <c:pt idx="5">
                  <c:v>56.736000000000004</c:v>
                </c:pt>
                <c:pt idx="6">
                  <c:v>60.347000000000008</c:v>
                </c:pt>
                <c:pt idx="7">
                  <c:v>65.620999999999995</c:v>
                </c:pt>
                <c:pt idx="8">
                  <c:v>76.894000000000005</c:v>
                </c:pt>
                <c:pt idx="9">
                  <c:v>84.054000000000002</c:v>
                </c:pt>
                <c:pt idx="10">
                  <c:v>92.366</c:v>
                </c:pt>
                <c:pt idx="11">
                  <c:v>99.72399999999999</c:v>
                </c:pt>
                <c:pt idx="12">
                  <c:v>106.35900000000001</c:v>
                </c:pt>
                <c:pt idx="13">
                  <c:v>113.39100000000001</c:v>
                </c:pt>
                <c:pt idx="14">
                  <c:v>117.994</c:v>
                </c:pt>
                <c:pt idx="15">
                  <c:v>122.383</c:v>
                </c:pt>
                <c:pt idx="22">
                  <c:v>109.5965108</c:v>
                </c:pt>
                <c:pt idx="27">
                  <c:v>111.908434232</c:v>
                </c:pt>
                <c:pt idx="32">
                  <c:v>101.30456945200001</c:v>
                </c:pt>
                <c:pt idx="37">
                  <c:v>81.243527791999995</c:v>
                </c:pt>
                <c:pt idx="42">
                  <c:v>127.039552156</c:v>
                </c:pt>
                <c:pt idx="47" formatCode="0.00">
                  <c:v>130.022612576</c:v>
                </c:pt>
              </c:numCache>
            </c:numRef>
          </c:val>
          <c:smooth val="0"/>
          <c:extLst>
            <c:ext xmlns:c16="http://schemas.microsoft.com/office/drawing/2014/chart" uri="{C3380CC4-5D6E-409C-BE32-E72D297353CC}">
              <c16:uniqueId val="{00000001-E40E-4715-88A8-8F8F6A3517C2}"/>
            </c:ext>
          </c:extLst>
        </c:ser>
        <c:ser>
          <c:idx val="2"/>
          <c:order val="2"/>
          <c:tx>
            <c:strRef>
              <c:f>Compute_intensities!$AC$16</c:f>
              <c:strCache>
                <c:ptCount val="1"/>
                <c:pt idx="0">
                  <c:v>Fuels</c:v>
                </c:pt>
              </c:strCache>
            </c:strRef>
          </c:tx>
          <c:cat>
            <c:numRef>
              <c:f>Compute_intensities!$Z$17:$Z$64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Compute_intensities!$AC$17:$AC$67</c:f>
              <c:numCache>
                <c:formatCode>General</c:formatCode>
                <c:ptCount val="51"/>
                <c:pt idx="0">
                  <c:v>193.65699999999998</c:v>
                </c:pt>
                <c:pt idx="1">
                  <c:v>198.55599999999998</c:v>
                </c:pt>
                <c:pt idx="2">
                  <c:v>204.72399999999999</c:v>
                </c:pt>
                <c:pt idx="3">
                  <c:v>228.81299999999999</c:v>
                </c:pt>
                <c:pt idx="4">
                  <c:v>247.06899999999996</c:v>
                </c:pt>
                <c:pt idx="5">
                  <c:v>259.13099999999997</c:v>
                </c:pt>
                <c:pt idx="6">
                  <c:v>280.56900000000002</c:v>
                </c:pt>
                <c:pt idx="7">
                  <c:v>307.55500000000001</c:v>
                </c:pt>
                <c:pt idx="8">
                  <c:v>317.91499999999996</c:v>
                </c:pt>
                <c:pt idx="9">
                  <c:v>321.577</c:v>
                </c:pt>
                <c:pt idx="10">
                  <c:v>324.65199999999999</c:v>
                </c:pt>
                <c:pt idx="11">
                  <c:v>325.22500000000002</c:v>
                </c:pt>
                <c:pt idx="12">
                  <c:v>316.88599999999997</c:v>
                </c:pt>
                <c:pt idx="13">
                  <c:v>311.12</c:v>
                </c:pt>
                <c:pt idx="14">
                  <c:v>310.05600000000004</c:v>
                </c:pt>
                <c:pt idx="15">
                  <c:v>303.07799999999997</c:v>
                </c:pt>
                <c:pt idx="17">
                  <c:v>422.11916578335422</c:v>
                </c:pt>
                <c:pt idx="22">
                  <c:v>371.82265757592904</c:v>
                </c:pt>
                <c:pt idx="27">
                  <c:v>344.50948796388559</c:v>
                </c:pt>
                <c:pt idx="32">
                  <c:v>347.65763221967148</c:v>
                </c:pt>
                <c:pt idx="37">
                  <c:v>261.64656974062268</c:v>
                </c:pt>
                <c:pt idx="42">
                  <c:v>284.05789150507343</c:v>
                </c:pt>
                <c:pt idx="47" formatCode="0.00">
                  <c:v>736.08531814343405</c:v>
                </c:pt>
              </c:numCache>
            </c:numRef>
          </c:val>
          <c:smooth val="0"/>
          <c:extLst>
            <c:ext xmlns:c16="http://schemas.microsoft.com/office/drawing/2014/chart" uri="{C3380CC4-5D6E-409C-BE32-E72D297353CC}">
              <c16:uniqueId val="{00000002-E40E-4715-88A8-8F8F6A3517C2}"/>
            </c:ext>
          </c:extLst>
        </c:ser>
        <c:dLbls>
          <c:showLegendKey val="0"/>
          <c:showVal val="0"/>
          <c:showCatName val="0"/>
          <c:showSerName val="0"/>
          <c:showPercent val="0"/>
          <c:showBubbleSize val="0"/>
        </c:dLbls>
        <c:marker val="1"/>
        <c:smooth val="0"/>
        <c:axId val="229851136"/>
        <c:axId val="211540160"/>
      </c:lineChart>
      <c:catAx>
        <c:axId val="229851136"/>
        <c:scaling>
          <c:orientation val="minMax"/>
        </c:scaling>
        <c:delete val="0"/>
        <c:axPos val="b"/>
        <c:numFmt formatCode="General" sourceLinked="1"/>
        <c:majorTickMark val="out"/>
        <c:minorTickMark val="none"/>
        <c:tickLblPos val="nextTo"/>
        <c:crossAx val="211540160"/>
        <c:crosses val="autoZero"/>
        <c:auto val="1"/>
        <c:lblAlgn val="ctr"/>
        <c:lblOffset val="100"/>
        <c:tickLblSkip val="5"/>
        <c:noMultiLvlLbl val="0"/>
      </c:catAx>
      <c:valAx>
        <c:axId val="211540160"/>
        <c:scaling>
          <c:orientation val="minMax"/>
        </c:scaling>
        <c:delete val="0"/>
        <c:axPos val="l"/>
        <c:majorGridlines/>
        <c:numFmt formatCode="0.00" sourceLinked="1"/>
        <c:majorTickMark val="out"/>
        <c:minorTickMark val="none"/>
        <c:tickLblPos val="nextTo"/>
        <c:crossAx val="229851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009126945551558E-2"/>
          <c:y val="4.5759991276516893E-2"/>
          <c:w val="0.80721341931024049"/>
          <c:h val="0.85098746064209774"/>
        </c:manualLayout>
      </c:layout>
      <c:lineChart>
        <c:grouping val="standard"/>
        <c:varyColors val="0"/>
        <c:ser>
          <c:idx val="0"/>
          <c:order val="0"/>
          <c:tx>
            <c:strRef>
              <c:f>Compute_intensities!$AW$16</c:f>
              <c:strCache>
                <c:ptCount val="1"/>
                <c:pt idx="0">
                  <c:v>Output*0.001</c:v>
                </c:pt>
              </c:strCache>
            </c:strRef>
          </c:tx>
          <c:cat>
            <c:numRef>
              <c:f>Compute_intensities!$AV$17:$AV$64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Compute_intensities!$AW$17:$AW$64</c:f>
              <c:numCache>
                <c:formatCode>General</c:formatCode>
                <c:ptCount val="48"/>
                <c:pt idx="0">
                  <c:v>26.699177908713693</c:v>
                </c:pt>
                <c:pt idx="1">
                  <c:v>24.441927352697093</c:v>
                </c:pt>
                <c:pt idx="2">
                  <c:v>26.2547</c:v>
                </c:pt>
                <c:pt idx="3">
                  <c:v>27.935000000000002</c:v>
                </c:pt>
                <c:pt idx="4">
                  <c:v>29.955000000000002</c:v>
                </c:pt>
                <c:pt idx="5">
                  <c:v>30.547599999999999</c:v>
                </c:pt>
                <c:pt idx="6">
                  <c:v>30.807300000000001</c:v>
                </c:pt>
                <c:pt idx="7">
                  <c:v>31.221900000000002</c:v>
                </c:pt>
                <c:pt idx="8">
                  <c:v>30.922900000000002</c:v>
                </c:pt>
                <c:pt idx="9">
                  <c:v>36.961500000000001</c:v>
                </c:pt>
                <c:pt idx="10">
                  <c:v>40.121300000000005</c:v>
                </c:pt>
                <c:pt idx="11">
                  <c:v>39.546800000000005</c:v>
                </c:pt>
                <c:pt idx="12">
                  <c:v>36.781100000000002</c:v>
                </c:pt>
                <c:pt idx="13">
                  <c:v>36.144400000000005</c:v>
                </c:pt>
                <c:pt idx="14">
                  <c:v>41.794499999999999</c:v>
                </c:pt>
                <c:pt idx="15">
                  <c:v>39.7849</c:v>
                </c:pt>
                <c:pt idx="16">
                  <c:v>39.861300000000007</c:v>
                </c:pt>
                <c:pt idx="17">
                  <c:v>39.160900000000005</c:v>
                </c:pt>
                <c:pt idx="18">
                  <c:v>42.907900000000005</c:v>
                </c:pt>
                <c:pt idx="19">
                  <c:v>43.378300000000003</c:v>
                </c:pt>
                <c:pt idx="20">
                  <c:v>45.954800000000006</c:v>
                </c:pt>
                <c:pt idx="21">
                  <c:v>47.600900000000003</c:v>
                </c:pt>
                <c:pt idx="22">
                  <c:v>46.454099999999997</c:v>
                </c:pt>
                <c:pt idx="23">
                  <c:v>43.8994</c:v>
                </c:pt>
                <c:pt idx="24">
                  <c:v>48.470700000000001</c:v>
                </c:pt>
                <c:pt idx="25">
                  <c:v>46.743699999999997</c:v>
                </c:pt>
                <c:pt idx="26">
                  <c:v>48.546700000000001</c:v>
                </c:pt>
                <c:pt idx="27">
                  <c:v>50.852000000000004</c:v>
                </c:pt>
                <c:pt idx="28">
                  <c:v>51.075300000000006</c:v>
                </c:pt>
                <c:pt idx="29">
                  <c:v>50.191499999999998</c:v>
                </c:pt>
                <c:pt idx="30">
                  <c:v>51.202199999999998</c:v>
                </c:pt>
                <c:pt idx="31">
                  <c:v>49.237400000000001</c:v>
                </c:pt>
                <c:pt idx="32">
                  <c:v>46.056400000000004</c:v>
                </c:pt>
                <c:pt idx="33">
                  <c:v>45.6539</c:v>
                </c:pt>
                <c:pt idx="34">
                  <c:v>48.325499999999998</c:v>
                </c:pt>
                <c:pt idx="35">
                  <c:v>52.203099999999999</c:v>
                </c:pt>
                <c:pt idx="36">
                  <c:v>59.843900000000005</c:v>
                </c:pt>
                <c:pt idx="37">
                  <c:v>60.779499999999999</c:v>
                </c:pt>
                <c:pt idx="38">
                  <c:v>58.513400000000004</c:v>
                </c:pt>
                <c:pt idx="39">
                  <c:v>50.8874</c:v>
                </c:pt>
                <c:pt idx="40">
                  <c:v>52.086400000000005</c:v>
                </c:pt>
                <c:pt idx="41">
                  <c:v>60.402200000000001</c:v>
                </c:pt>
                <c:pt idx="42">
                  <c:v>54.424300000000002</c:v>
                </c:pt>
                <c:pt idx="43">
                  <c:v>46.871699999999997</c:v>
                </c:pt>
                <c:pt idx="44">
                  <c:v>51.497699999999995</c:v>
                </c:pt>
                <c:pt idx="45">
                  <c:v>49.311399999999999</c:v>
                </c:pt>
                <c:pt idx="46">
                  <c:v>45.160499999999999</c:v>
                </c:pt>
                <c:pt idx="47">
                  <c:v>43.535400000000003</c:v>
                </c:pt>
              </c:numCache>
            </c:numRef>
          </c:val>
          <c:smooth val="0"/>
          <c:extLst>
            <c:ext xmlns:c16="http://schemas.microsoft.com/office/drawing/2014/chart" uri="{C3380CC4-5D6E-409C-BE32-E72D297353CC}">
              <c16:uniqueId val="{00000000-1C9A-460F-8D33-1ABE96F2B492}"/>
            </c:ext>
          </c:extLst>
        </c:ser>
        <c:ser>
          <c:idx val="1"/>
          <c:order val="1"/>
          <c:tx>
            <c:strRef>
              <c:f>Compute_intensities!$AX$16</c:f>
              <c:strCache>
                <c:ptCount val="1"/>
                <c:pt idx="0">
                  <c:v>Elec</c:v>
                </c:pt>
              </c:strCache>
            </c:strRef>
          </c:tx>
          <c:cat>
            <c:numRef>
              <c:f>Compute_intensities!$AV$17:$AV$64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Compute_intensities!$AX$17:$AX$64</c:f>
              <c:numCache>
                <c:formatCode>General</c:formatCode>
                <c:ptCount val="48"/>
                <c:pt idx="0">
                  <c:v>25.768000000000001</c:v>
                </c:pt>
                <c:pt idx="1">
                  <c:v>24.885999999999999</c:v>
                </c:pt>
                <c:pt idx="2">
                  <c:v>28.236000000000001</c:v>
                </c:pt>
                <c:pt idx="3">
                  <c:v>28.498000000000001</c:v>
                </c:pt>
                <c:pt idx="4">
                  <c:v>29.499000000000002</c:v>
                </c:pt>
                <c:pt idx="5">
                  <c:v>32.14</c:v>
                </c:pt>
                <c:pt idx="6">
                  <c:v>34.182000000000002</c:v>
                </c:pt>
                <c:pt idx="7">
                  <c:v>35.265000000000001</c:v>
                </c:pt>
                <c:pt idx="8">
                  <c:v>35.143999999999998</c:v>
                </c:pt>
                <c:pt idx="9">
                  <c:v>42.346000000000004</c:v>
                </c:pt>
                <c:pt idx="10">
                  <c:v>46.473999999999997</c:v>
                </c:pt>
                <c:pt idx="11">
                  <c:v>47.301000000000002</c:v>
                </c:pt>
                <c:pt idx="12">
                  <c:v>50.208999999999996</c:v>
                </c:pt>
                <c:pt idx="13">
                  <c:v>47.943999999999996</c:v>
                </c:pt>
                <c:pt idx="14">
                  <c:v>55.217999999999996</c:v>
                </c:pt>
                <c:pt idx="15">
                  <c:v>55.893999999999998</c:v>
                </c:pt>
                <c:pt idx="22">
                  <c:v>42.912382799999996</c:v>
                </c:pt>
                <c:pt idx="27">
                  <c:v>38.743635320000003</c:v>
                </c:pt>
                <c:pt idx="32">
                  <c:v>34.237430803999992</c:v>
                </c:pt>
                <c:pt idx="37">
                  <c:v>39.059784415999999</c:v>
                </c:pt>
                <c:pt idx="42">
                  <c:v>41.009554756</c:v>
                </c:pt>
                <c:pt idx="47" formatCode="0.00">
                  <c:v>31.650087320000001</c:v>
                </c:pt>
              </c:numCache>
            </c:numRef>
          </c:val>
          <c:smooth val="0"/>
          <c:extLst>
            <c:ext xmlns:c16="http://schemas.microsoft.com/office/drawing/2014/chart" uri="{C3380CC4-5D6E-409C-BE32-E72D297353CC}">
              <c16:uniqueId val="{00000001-1C9A-460F-8D33-1ABE96F2B492}"/>
            </c:ext>
          </c:extLst>
        </c:ser>
        <c:ser>
          <c:idx val="2"/>
          <c:order val="2"/>
          <c:tx>
            <c:strRef>
              <c:f>Compute_intensities!$AY$16</c:f>
              <c:strCache>
                <c:ptCount val="1"/>
                <c:pt idx="0">
                  <c:v>Fuels</c:v>
                </c:pt>
              </c:strCache>
            </c:strRef>
          </c:tx>
          <c:cat>
            <c:numRef>
              <c:f>Compute_intensities!$AV$17:$AV$64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Compute_intensities!$AY$17:$AY$64</c:f>
              <c:numCache>
                <c:formatCode>General</c:formatCode>
                <c:ptCount val="48"/>
                <c:pt idx="0">
                  <c:v>40.186</c:v>
                </c:pt>
                <c:pt idx="1">
                  <c:v>38.961999999999996</c:v>
                </c:pt>
                <c:pt idx="2">
                  <c:v>44.265999999999998</c:v>
                </c:pt>
                <c:pt idx="3">
                  <c:v>48.984999999999999</c:v>
                </c:pt>
                <c:pt idx="4">
                  <c:v>55.160000000000004</c:v>
                </c:pt>
                <c:pt idx="5">
                  <c:v>64.762999999999991</c:v>
                </c:pt>
                <c:pt idx="6">
                  <c:v>73.566999999999993</c:v>
                </c:pt>
                <c:pt idx="7">
                  <c:v>80.894999999999996</c:v>
                </c:pt>
                <c:pt idx="8">
                  <c:v>76.929000000000002</c:v>
                </c:pt>
                <c:pt idx="9">
                  <c:v>89.113</c:v>
                </c:pt>
                <c:pt idx="10">
                  <c:v>93.939000000000007</c:v>
                </c:pt>
                <c:pt idx="11">
                  <c:v>91.945999999999998</c:v>
                </c:pt>
                <c:pt idx="12">
                  <c:v>93.802999999999997</c:v>
                </c:pt>
                <c:pt idx="13">
                  <c:v>86.841000000000008</c:v>
                </c:pt>
                <c:pt idx="14">
                  <c:v>96.915999999999997</c:v>
                </c:pt>
                <c:pt idx="15">
                  <c:v>95.111000000000004</c:v>
                </c:pt>
                <c:pt idx="17">
                  <c:v>91.875300141611234</c:v>
                </c:pt>
                <c:pt idx="22">
                  <c:v>93.598483169573683</c:v>
                </c:pt>
                <c:pt idx="27">
                  <c:v>81.963785539079012</c:v>
                </c:pt>
                <c:pt idx="32">
                  <c:v>61.979917178648627</c:v>
                </c:pt>
                <c:pt idx="37">
                  <c:v>83.668979445828001</c:v>
                </c:pt>
                <c:pt idx="42">
                  <c:v>98.622817830946644</c:v>
                </c:pt>
                <c:pt idx="47" formatCode="0.00">
                  <c:v>64.388053020237038</c:v>
                </c:pt>
              </c:numCache>
            </c:numRef>
          </c:val>
          <c:smooth val="0"/>
          <c:extLst>
            <c:ext xmlns:c16="http://schemas.microsoft.com/office/drawing/2014/chart" uri="{C3380CC4-5D6E-409C-BE32-E72D297353CC}">
              <c16:uniqueId val="{00000002-1C9A-460F-8D33-1ABE96F2B492}"/>
            </c:ext>
          </c:extLst>
        </c:ser>
        <c:dLbls>
          <c:showLegendKey val="0"/>
          <c:showVal val="0"/>
          <c:showCatName val="0"/>
          <c:showSerName val="0"/>
          <c:showPercent val="0"/>
          <c:showBubbleSize val="0"/>
        </c:dLbls>
        <c:marker val="1"/>
        <c:smooth val="0"/>
        <c:axId val="234880000"/>
        <c:axId val="273235968"/>
      </c:lineChart>
      <c:catAx>
        <c:axId val="234880000"/>
        <c:scaling>
          <c:orientation val="minMax"/>
        </c:scaling>
        <c:delete val="0"/>
        <c:axPos val="b"/>
        <c:numFmt formatCode="General" sourceLinked="1"/>
        <c:majorTickMark val="out"/>
        <c:minorTickMark val="none"/>
        <c:tickLblPos val="nextTo"/>
        <c:crossAx val="273235968"/>
        <c:crosses val="autoZero"/>
        <c:auto val="1"/>
        <c:lblAlgn val="ctr"/>
        <c:lblOffset val="100"/>
        <c:tickLblSkip val="5"/>
        <c:noMultiLvlLbl val="0"/>
      </c:catAx>
      <c:valAx>
        <c:axId val="273235968"/>
        <c:scaling>
          <c:orientation val="minMax"/>
        </c:scaling>
        <c:delete val="0"/>
        <c:axPos val="l"/>
        <c:majorGridlines/>
        <c:numFmt formatCode="General" sourceLinked="1"/>
        <c:majorTickMark val="out"/>
        <c:minorTickMark val="none"/>
        <c:tickLblPos val="nextTo"/>
        <c:crossAx val="234880000"/>
        <c:crosses val="autoZero"/>
        <c:crossBetween val="between"/>
      </c:valAx>
    </c:plotArea>
    <c:legend>
      <c:legendPos val="r"/>
      <c:layout>
        <c:manualLayout>
          <c:xMode val="edge"/>
          <c:yMode val="edge"/>
          <c:x val="0.25961548016374497"/>
          <c:y val="0.66435068142475762"/>
          <c:w val="0.23832690666753076"/>
          <c:h val="0.22359085566075518"/>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107174103237093"/>
          <c:y val="4.96423862510144E-2"/>
          <c:w val="0.61940923009623794"/>
          <c:h val="0.83834485478047638"/>
        </c:manualLayout>
      </c:layout>
      <c:lineChart>
        <c:grouping val="standard"/>
        <c:varyColors val="0"/>
        <c:ser>
          <c:idx val="0"/>
          <c:order val="0"/>
          <c:tx>
            <c:strRef>
              <c:f>Compute_intensities!$BS$16</c:f>
              <c:strCache>
                <c:ptCount val="1"/>
                <c:pt idx="0">
                  <c:v>Output*0.01</c:v>
                </c:pt>
              </c:strCache>
            </c:strRef>
          </c:tx>
          <c:cat>
            <c:numRef>
              <c:f>Compute_intensities!$BR$17:$BR$64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Compute_intensities!$BS$17:$BS$64</c:f>
              <c:numCache>
                <c:formatCode>General</c:formatCode>
                <c:ptCount val="48"/>
                <c:pt idx="0">
                  <c:v>333.51293999999996</c:v>
                </c:pt>
                <c:pt idx="1">
                  <c:v>344.15697</c:v>
                </c:pt>
                <c:pt idx="2">
                  <c:v>354.80099999999999</c:v>
                </c:pt>
                <c:pt idx="3">
                  <c:v>435.06400000000002</c:v>
                </c:pt>
                <c:pt idx="4">
                  <c:v>420.166</c:v>
                </c:pt>
                <c:pt idx="5">
                  <c:v>357.89800000000002</c:v>
                </c:pt>
                <c:pt idx="6">
                  <c:v>372.80400000000003</c:v>
                </c:pt>
                <c:pt idx="7">
                  <c:v>359.85599999999999</c:v>
                </c:pt>
                <c:pt idx="8">
                  <c:v>400.87699999999995</c:v>
                </c:pt>
                <c:pt idx="9">
                  <c:v>435.96300000000002</c:v>
                </c:pt>
                <c:pt idx="10">
                  <c:v>422.02699999999999</c:v>
                </c:pt>
                <c:pt idx="11">
                  <c:v>407.87300000000005</c:v>
                </c:pt>
                <c:pt idx="12">
                  <c:v>258.161</c:v>
                </c:pt>
                <c:pt idx="13">
                  <c:v>235.21599999999998</c:v>
                </c:pt>
                <c:pt idx="14">
                  <c:v>311.03300000000002</c:v>
                </c:pt>
                <c:pt idx="15">
                  <c:v>315.077</c:v>
                </c:pt>
                <c:pt idx="16">
                  <c:v>296.46300000000002</c:v>
                </c:pt>
                <c:pt idx="17">
                  <c:v>272.964</c:v>
                </c:pt>
                <c:pt idx="18">
                  <c:v>296.00599999999997</c:v>
                </c:pt>
                <c:pt idx="19">
                  <c:v>336.69099999999997</c:v>
                </c:pt>
                <c:pt idx="20">
                  <c:v>357.90199999999999</c:v>
                </c:pt>
                <c:pt idx="21">
                  <c:v>376.44099999999997</c:v>
                </c:pt>
                <c:pt idx="22">
                  <c:v>376.89499999999998</c:v>
                </c:pt>
                <c:pt idx="23">
                  <c:v>359.3</c:v>
                </c:pt>
                <c:pt idx="24">
                  <c:v>374.55800000000005</c:v>
                </c:pt>
                <c:pt idx="25">
                  <c:v>391.35599999999999</c:v>
                </c:pt>
                <c:pt idx="26">
                  <c:v>394.96699999999998</c:v>
                </c:pt>
                <c:pt idx="27">
                  <c:v>403.601</c:v>
                </c:pt>
                <c:pt idx="28">
                  <c:v>452.13099999999997</c:v>
                </c:pt>
                <c:pt idx="29">
                  <c:v>428.28300000000002</c:v>
                </c:pt>
                <c:pt idx="30">
                  <c:v>400.767</c:v>
                </c:pt>
                <c:pt idx="31">
                  <c:v>411.48099999999999</c:v>
                </c:pt>
                <c:pt idx="32">
                  <c:v>370.24800000000005</c:v>
                </c:pt>
                <c:pt idx="33">
                  <c:v>371.66500000000002</c:v>
                </c:pt>
                <c:pt idx="34">
                  <c:v>347.50400000000002</c:v>
                </c:pt>
                <c:pt idx="35">
                  <c:v>362.32300000000004</c:v>
                </c:pt>
                <c:pt idx="36">
                  <c:v>342.44300000000004</c:v>
                </c:pt>
                <c:pt idx="37">
                  <c:v>342.375</c:v>
                </c:pt>
                <c:pt idx="38">
                  <c:v>379.74</c:v>
                </c:pt>
                <c:pt idx="39">
                  <c:v>409.15699999999998</c:v>
                </c:pt>
                <c:pt idx="40">
                  <c:v>358.07300000000004</c:v>
                </c:pt>
                <c:pt idx="41">
                  <c:v>363.01900000000001</c:v>
                </c:pt>
                <c:pt idx="42">
                  <c:v>364.13300000000004</c:v>
                </c:pt>
                <c:pt idx="43">
                  <c:v>381.02500000000003</c:v>
                </c:pt>
                <c:pt idx="44">
                  <c:v>408.21100000000001</c:v>
                </c:pt>
                <c:pt idx="45">
                  <c:v>412.56800000000004</c:v>
                </c:pt>
                <c:pt idx="46">
                  <c:v>373.21199999999999</c:v>
                </c:pt>
                <c:pt idx="47">
                  <c:v>356.59399999999999</c:v>
                </c:pt>
              </c:numCache>
            </c:numRef>
          </c:val>
          <c:smooth val="0"/>
          <c:extLst>
            <c:ext xmlns:c16="http://schemas.microsoft.com/office/drawing/2014/chart" uri="{C3380CC4-5D6E-409C-BE32-E72D297353CC}">
              <c16:uniqueId val="{00000000-235E-438B-9218-E4E2E9D771E2}"/>
            </c:ext>
          </c:extLst>
        </c:ser>
        <c:ser>
          <c:idx val="1"/>
          <c:order val="1"/>
          <c:tx>
            <c:strRef>
              <c:f>Compute_intensities!$BT$16</c:f>
              <c:strCache>
                <c:ptCount val="1"/>
                <c:pt idx="0">
                  <c:v>Elec</c:v>
                </c:pt>
              </c:strCache>
            </c:strRef>
          </c:tx>
          <c:cat>
            <c:numRef>
              <c:f>Compute_intensities!$BR$17:$BR$64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Compute_intensities!$BT$17:$BT$64</c:f>
              <c:numCache>
                <c:formatCode>General</c:formatCode>
                <c:ptCount val="48"/>
                <c:pt idx="0">
                  <c:v>37.037999999999997</c:v>
                </c:pt>
                <c:pt idx="1">
                  <c:v>35.013999999999996</c:v>
                </c:pt>
                <c:pt idx="2">
                  <c:v>38.048999999999999</c:v>
                </c:pt>
                <c:pt idx="3">
                  <c:v>43.497</c:v>
                </c:pt>
                <c:pt idx="4">
                  <c:v>43.447999999999993</c:v>
                </c:pt>
                <c:pt idx="5">
                  <c:v>41.510000000000005</c:v>
                </c:pt>
                <c:pt idx="6">
                  <c:v>46.353999999999999</c:v>
                </c:pt>
                <c:pt idx="7">
                  <c:v>42.611000000000004</c:v>
                </c:pt>
                <c:pt idx="8">
                  <c:v>52.662000000000006</c:v>
                </c:pt>
                <c:pt idx="9">
                  <c:v>57.025999999999996</c:v>
                </c:pt>
                <c:pt idx="10">
                  <c:v>52.751000000000005</c:v>
                </c:pt>
                <c:pt idx="11">
                  <c:v>58.383000000000003</c:v>
                </c:pt>
                <c:pt idx="12">
                  <c:v>40.429000000000002</c:v>
                </c:pt>
                <c:pt idx="13">
                  <c:v>42.634</c:v>
                </c:pt>
                <c:pt idx="14">
                  <c:v>53.949999999999996</c:v>
                </c:pt>
                <c:pt idx="15">
                  <c:v>54.823</c:v>
                </c:pt>
                <c:pt idx="22">
                  <c:v>63.189898799999987</c:v>
                </c:pt>
                <c:pt idx="27">
                  <c:v>68.376435643999997</c:v>
                </c:pt>
                <c:pt idx="32">
                  <c:v>54.965521876000011</c:v>
                </c:pt>
                <c:pt idx="37">
                  <c:v>68.101148659999993</c:v>
                </c:pt>
                <c:pt idx="42">
                  <c:v>74.798403095999987</c:v>
                </c:pt>
                <c:pt idx="47" formatCode="0.00">
                  <c:v>73.591909659999999</c:v>
                </c:pt>
              </c:numCache>
            </c:numRef>
          </c:val>
          <c:smooth val="0"/>
          <c:extLst>
            <c:ext xmlns:c16="http://schemas.microsoft.com/office/drawing/2014/chart" uri="{C3380CC4-5D6E-409C-BE32-E72D297353CC}">
              <c16:uniqueId val="{00000001-235E-438B-9218-E4E2E9D771E2}"/>
            </c:ext>
          </c:extLst>
        </c:ser>
        <c:ser>
          <c:idx val="2"/>
          <c:order val="2"/>
          <c:tx>
            <c:strRef>
              <c:f>Compute_intensities!$BU$16</c:f>
              <c:strCache>
                <c:ptCount val="1"/>
                <c:pt idx="0">
                  <c:v>Fuels</c:v>
                </c:pt>
              </c:strCache>
            </c:strRef>
          </c:tx>
          <c:cat>
            <c:numRef>
              <c:f>Compute_intensities!$BR$17:$BR$64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Compute_intensities!$BU$17:$BU$64</c:f>
              <c:numCache>
                <c:formatCode>General</c:formatCode>
                <c:ptCount val="48"/>
                <c:pt idx="0">
                  <c:v>137.791</c:v>
                </c:pt>
                <c:pt idx="1">
                  <c:v>127.316</c:v>
                </c:pt>
                <c:pt idx="2">
                  <c:v>134.101</c:v>
                </c:pt>
                <c:pt idx="3">
                  <c:v>150.74799999999999</c:v>
                </c:pt>
                <c:pt idx="4">
                  <c:v>143.398</c:v>
                </c:pt>
                <c:pt idx="5">
                  <c:v>130.89500000000001</c:v>
                </c:pt>
                <c:pt idx="6">
                  <c:v>139.40700000000001</c:v>
                </c:pt>
                <c:pt idx="7">
                  <c:v>122.12199999999999</c:v>
                </c:pt>
                <c:pt idx="8">
                  <c:v>139.41200000000001</c:v>
                </c:pt>
                <c:pt idx="9">
                  <c:v>137.27600000000001</c:v>
                </c:pt>
                <c:pt idx="10">
                  <c:v>114.69799999999999</c:v>
                </c:pt>
                <c:pt idx="11">
                  <c:v>111.285</c:v>
                </c:pt>
                <c:pt idx="12">
                  <c:v>64.48</c:v>
                </c:pt>
                <c:pt idx="13">
                  <c:v>62.679000000000002</c:v>
                </c:pt>
                <c:pt idx="14">
                  <c:v>74.292000000000002</c:v>
                </c:pt>
                <c:pt idx="15">
                  <c:v>67.525999999999996</c:v>
                </c:pt>
                <c:pt idx="17">
                  <c:v>63.800780767941376</c:v>
                </c:pt>
                <c:pt idx="22">
                  <c:v>79.489875739691414</c:v>
                </c:pt>
                <c:pt idx="27">
                  <c:v>100.84990431171951</c:v>
                </c:pt>
                <c:pt idx="32">
                  <c:v>66.030536724243518</c:v>
                </c:pt>
                <c:pt idx="37">
                  <c:v>87.072698492979939</c:v>
                </c:pt>
                <c:pt idx="42">
                  <c:v>202.71801720025496</c:v>
                </c:pt>
                <c:pt idx="47" formatCode="0.00">
                  <c:v>253.5933887380871</c:v>
                </c:pt>
              </c:numCache>
            </c:numRef>
          </c:val>
          <c:smooth val="0"/>
          <c:extLst>
            <c:ext xmlns:c16="http://schemas.microsoft.com/office/drawing/2014/chart" uri="{C3380CC4-5D6E-409C-BE32-E72D297353CC}">
              <c16:uniqueId val="{00000002-235E-438B-9218-E4E2E9D771E2}"/>
            </c:ext>
          </c:extLst>
        </c:ser>
        <c:dLbls>
          <c:showLegendKey val="0"/>
          <c:showVal val="0"/>
          <c:showCatName val="0"/>
          <c:showSerName val="0"/>
          <c:showPercent val="0"/>
          <c:showBubbleSize val="0"/>
        </c:dLbls>
        <c:marker val="1"/>
        <c:smooth val="0"/>
        <c:axId val="235295744"/>
        <c:axId val="273238272"/>
      </c:lineChart>
      <c:catAx>
        <c:axId val="235295744"/>
        <c:scaling>
          <c:orientation val="minMax"/>
        </c:scaling>
        <c:delete val="0"/>
        <c:axPos val="b"/>
        <c:numFmt formatCode="General" sourceLinked="1"/>
        <c:majorTickMark val="out"/>
        <c:minorTickMark val="none"/>
        <c:tickLblPos val="nextTo"/>
        <c:crossAx val="273238272"/>
        <c:crosses val="autoZero"/>
        <c:auto val="1"/>
        <c:lblAlgn val="ctr"/>
        <c:lblOffset val="100"/>
        <c:tickLblSkip val="5"/>
        <c:noMultiLvlLbl val="0"/>
      </c:catAx>
      <c:valAx>
        <c:axId val="273238272"/>
        <c:scaling>
          <c:orientation val="minMax"/>
        </c:scaling>
        <c:delete val="0"/>
        <c:axPos val="l"/>
        <c:majorGridlines/>
        <c:numFmt formatCode="General" sourceLinked="1"/>
        <c:majorTickMark val="out"/>
        <c:minorTickMark val="none"/>
        <c:tickLblPos val="nextTo"/>
        <c:crossAx val="235295744"/>
        <c:crosses val="autoZero"/>
        <c:crossBetween val="between"/>
      </c:valAx>
    </c:plotArea>
    <c:legend>
      <c:legendPos val="r"/>
      <c:layout>
        <c:manualLayout>
          <c:xMode val="edge"/>
          <c:yMode val="edge"/>
          <c:x val="0.42277734033245845"/>
          <c:y val="0.41609069699620882"/>
          <c:w val="0.22722265966754157"/>
          <c:h val="0.25115157480314959"/>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07174103237096E-2"/>
          <c:y val="4.4294911969037981E-2"/>
          <c:w val="0.68130993000874895"/>
          <c:h val="0.85575833541453639"/>
        </c:manualLayout>
      </c:layout>
      <c:lineChart>
        <c:grouping val="standard"/>
        <c:varyColors val="0"/>
        <c:ser>
          <c:idx val="0"/>
          <c:order val="0"/>
          <c:tx>
            <c:strRef>
              <c:f>Compute_intensities!$CO$16</c:f>
              <c:strCache>
                <c:ptCount val="1"/>
                <c:pt idx="0">
                  <c:v>Output*0.01</c:v>
                </c:pt>
              </c:strCache>
            </c:strRef>
          </c:tx>
          <c:cat>
            <c:numRef>
              <c:f>Compute_intensities!$CN$17:$CN$64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Compute_intensities!$CO$17:$CO$64</c:f>
              <c:numCache>
                <c:formatCode>General</c:formatCode>
                <c:ptCount val="48"/>
                <c:pt idx="0">
                  <c:v>242.36207999999999</c:v>
                </c:pt>
                <c:pt idx="1">
                  <c:v>250.09703999999999</c:v>
                </c:pt>
                <c:pt idx="2">
                  <c:v>257.83199999999999</c:v>
                </c:pt>
                <c:pt idx="3">
                  <c:v>297.27100000000002</c:v>
                </c:pt>
                <c:pt idx="4">
                  <c:v>305.02300000000002</c:v>
                </c:pt>
                <c:pt idx="5">
                  <c:v>253.97800000000001</c:v>
                </c:pt>
                <c:pt idx="6">
                  <c:v>254.685</c:v>
                </c:pt>
                <c:pt idx="7">
                  <c:v>265.017</c:v>
                </c:pt>
                <c:pt idx="8">
                  <c:v>289.43400000000003</c:v>
                </c:pt>
                <c:pt idx="9">
                  <c:v>308.35400000000004</c:v>
                </c:pt>
                <c:pt idx="10">
                  <c:v>282.45499999999998</c:v>
                </c:pt>
                <c:pt idx="11">
                  <c:v>252.88</c:v>
                </c:pt>
                <c:pt idx="12">
                  <c:v>194.24900000000002</c:v>
                </c:pt>
                <c:pt idx="13">
                  <c:v>220.89500000000001</c:v>
                </c:pt>
                <c:pt idx="14">
                  <c:v>251.792</c:v>
                </c:pt>
                <c:pt idx="15">
                  <c:v>247.42700000000002</c:v>
                </c:pt>
                <c:pt idx="16">
                  <c:v>245.54500000000002</c:v>
                </c:pt>
                <c:pt idx="17">
                  <c:v>251.255</c:v>
                </c:pt>
                <c:pt idx="18">
                  <c:v>278.64499999999998</c:v>
                </c:pt>
                <c:pt idx="19">
                  <c:v>267.06799999999998</c:v>
                </c:pt>
                <c:pt idx="20">
                  <c:v>269.45400000000001</c:v>
                </c:pt>
                <c:pt idx="21">
                  <c:v>277.10000000000002</c:v>
                </c:pt>
                <c:pt idx="22">
                  <c:v>269.053</c:v>
                </c:pt>
                <c:pt idx="23">
                  <c:v>272.18900000000002</c:v>
                </c:pt>
                <c:pt idx="24">
                  <c:v>296.863</c:v>
                </c:pt>
                <c:pt idx="25">
                  <c:v>295.233</c:v>
                </c:pt>
                <c:pt idx="26">
                  <c:v>301.88299999999998</c:v>
                </c:pt>
                <c:pt idx="27">
                  <c:v>331.911</c:v>
                </c:pt>
                <c:pt idx="28">
                  <c:v>345.25400000000002</c:v>
                </c:pt>
                <c:pt idx="29">
                  <c:v>350.47300000000001</c:v>
                </c:pt>
                <c:pt idx="30">
                  <c:v>373.62900000000002</c:v>
                </c:pt>
                <c:pt idx="31">
                  <c:v>374.96199999999999</c:v>
                </c:pt>
                <c:pt idx="32">
                  <c:v>378.43900000000002</c:v>
                </c:pt>
                <c:pt idx="33">
                  <c:v>373.66900000000004</c:v>
                </c:pt>
                <c:pt idx="34">
                  <c:v>405.846</c:v>
                </c:pt>
                <c:pt idx="35">
                  <c:v>429.41800000000006</c:v>
                </c:pt>
                <c:pt idx="36">
                  <c:v>449.541</c:v>
                </c:pt>
                <c:pt idx="37">
                  <c:v>417.40100000000001</c:v>
                </c:pt>
                <c:pt idx="38">
                  <c:v>410.37099999999998</c:v>
                </c:pt>
                <c:pt idx="39">
                  <c:v>334.49400000000003</c:v>
                </c:pt>
                <c:pt idx="40">
                  <c:v>356.08699999999999</c:v>
                </c:pt>
                <c:pt idx="41">
                  <c:v>383.69300000000004</c:v>
                </c:pt>
                <c:pt idx="42">
                  <c:v>338.29400000000004</c:v>
                </c:pt>
                <c:pt idx="43">
                  <c:v>305.41900000000004</c:v>
                </c:pt>
                <c:pt idx="44">
                  <c:v>299.05599999999998</c:v>
                </c:pt>
                <c:pt idx="45">
                  <c:v>276.09500000000003</c:v>
                </c:pt>
                <c:pt idx="46">
                  <c:v>262.35500000000002</c:v>
                </c:pt>
                <c:pt idx="47">
                  <c:v>265.55400000000003</c:v>
                </c:pt>
              </c:numCache>
            </c:numRef>
          </c:val>
          <c:smooth val="0"/>
          <c:extLst>
            <c:ext xmlns:c16="http://schemas.microsoft.com/office/drawing/2014/chart" uri="{C3380CC4-5D6E-409C-BE32-E72D297353CC}">
              <c16:uniqueId val="{00000000-46D2-449B-BD74-4DE6BD86EC12}"/>
            </c:ext>
          </c:extLst>
        </c:ser>
        <c:ser>
          <c:idx val="1"/>
          <c:order val="1"/>
          <c:tx>
            <c:strRef>
              <c:f>Compute_intensities!$CP$16</c:f>
              <c:strCache>
                <c:ptCount val="1"/>
                <c:pt idx="0">
                  <c:v>Elec</c:v>
                </c:pt>
              </c:strCache>
            </c:strRef>
          </c:tx>
          <c:cat>
            <c:numRef>
              <c:f>Compute_intensities!$CN$17:$CN$64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Compute_intensities!$CP$17:$CP$64</c:f>
              <c:numCache>
                <c:formatCode>General</c:formatCode>
                <c:ptCount val="48"/>
                <c:pt idx="0">
                  <c:v>25.613999999999997</c:v>
                </c:pt>
                <c:pt idx="1">
                  <c:v>26.195</c:v>
                </c:pt>
                <c:pt idx="2">
                  <c:v>27.960999999999999</c:v>
                </c:pt>
                <c:pt idx="3">
                  <c:v>31.134999999999998</c:v>
                </c:pt>
                <c:pt idx="4">
                  <c:v>31.552999999999997</c:v>
                </c:pt>
                <c:pt idx="5">
                  <c:v>29.200000000000003</c:v>
                </c:pt>
                <c:pt idx="6">
                  <c:v>31.448999999999998</c:v>
                </c:pt>
                <c:pt idx="7">
                  <c:v>33.989000000000004</c:v>
                </c:pt>
                <c:pt idx="8">
                  <c:v>38.144999999999996</c:v>
                </c:pt>
                <c:pt idx="9">
                  <c:v>42.075000000000003</c:v>
                </c:pt>
                <c:pt idx="10">
                  <c:v>40.334000000000003</c:v>
                </c:pt>
                <c:pt idx="11">
                  <c:v>38.545000000000002</c:v>
                </c:pt>
                <c:pt idx="12">
                  <c:v>33.68</c:v>
                </c:pt>
                <c:pt idx="13">
                  <c:v>37.994999999999997</c:v>
                </c:pt>
                <c:pt idx="14">
                  <c:v>38.137</c:v>
                </c:pt>
                <c:pt idx="15">
                  <c:v>39.467999999999996</c:v>
                </c:pt>
                <c:pt idx="22">
                  <c:v>42.572206400000006</c:v>
                </c:pt>
                <c:pt idx="27">
                  <c:v>47.778942284000003</c:v>
                </c:pt>
                <c:pt idx="32">
                  <c:v>48.213482157954537</c:v>
                </c:pt>
                <c:pt idx="37">
                  <c:v>54.298042551999998</c:v>
                </c:pt>
                <c:pt idx="42">
                  <c:v>39.257670274423916</c:v>
                </c:pt>
                <c:pt idx="47" formatCode="0.00">
                  <c:v>43.736326208000015</c:v>
                </c:pt>
              </c:numCache>
            </c:numRef>
          </c:val>
          <c:smooth val="0"/>
          <c:extLst>
            <c:ext xmlns:c16="http://schemas.microsoft.com/office/drawing/2014/chart" uri="{C3380CC4-5D6E-409C-BE32-E72D297353CC}">
              <c16:uniqueId val="{00000001-46D2-449B-BD74-4DE6BD86EC12}"/>
            </c:ext>
          </c:extLst>
        </c:ser>
        <c:ser>
          <c:idx val="2"/>
          <c:order val="2"/>
          <c:tx>
            <c:strRef>
              <c:f>Compute_intensities!$CQ$16</c:f>
              <c:strCache>
                <c:ptCount val="1"/>
                <c:pt idx="0">
                  <c:v>Fuels</c:v>
                </c:pt>
              </c:strCache>
            </c:strRef>
          </c:tx>
          <c:cat>
            <c:numRef>
              <c:f>Compute_intensities!$CN$17:$CN$64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Compute_intensities!$CQ$17:$CQ$64</c:f>
              <c:numCache>
                <c:formatCode>General</c:formatCode>
                <c:ptCount val="48"/>
                <c:pt idx="0">
                  <c:v>222.5754</c:v>
                </c:pt>
                <c:pt idx="1">
                  <c:v>223.98930000000001</c:v>
                </c:pt>
                <c:pt idx="2">
                  <c:v>235.77029999999999</c:v>
                </c:pt>
                <c:pt idx="3">
                  <c:v>249.8409</c:v>
                </c:pt>
                <c:pt idx="4">
                  <c:v>248.16239999999999</c:v>
                </c:pt>
                <c:pt idx="5">
                  <c:v>226.2294</c:v>
                </c:pt>
                <c:pt idx="6">
                  <c:v>235.76490000000001</c:v>
                </c:pt>
                <c:pt idx="7">
                  <c:v>249.23159999999999</c:v>
                </c:pt>
                <c:pt idx="8">
                  <c:v>257.86260000000004</c:v>
                </c:pt>
                <c:pt idx="9">
                  <c:v>275.32620000000003</c:v>
                </c:pt>
                <c:pt idx="10">
                  <c:v>258.13799999999998</c:v>
                </c:pt>
                <c:pt idx="11">
                  <c:v>237.5658</c:v>
                </c:pt>
                <c:pt idx="12">
                  <c:v>193.26689999999999</c:v>
                </c:pt>
                <c:pt idx="13">
                  <c:v>208.64610000000002</c:v>
                </c:pt>
                <c:pt idx="14">
                  <c:v>205.42139999999998</c:v>
                </c:pt>
                <c:pt idx="15">
                  <c:v>195.5583</c:v>
                </c:pt>
                <c:pt idx="17">
                  <c:v>207.40910412535271</c:v>
                </c:pt>
                <c:pt idx="22">
                  <c:v>189.706624903071</c:v>
                </c:pt>
                <c:pt idx="27">
                  <c:v>204.0361952754256</c:v>
                </c:pt>
                <c:pt idx="32">
                  <c:v>177.79703676212029</c:v>
                </c:pt>
                <c:pt idx="37">
                  <c:v>159.95729554801926</c:v>
                </c:pt>
                <c:pt idx="42" formatCode="0.00">
                  <c:v>171.24078189275644</c:v>
                </c:pt>
                <c:pt idx="47" formatCode="0.00">
                  <c:v>143.772986604837</c:v>
                </c:pt>
              </c:numCache>
            </c:numRef>
          </c:val>
          <c:smooth val="0"/>
          <c:extLst>
            <c:ext xmlns:c16="http://schemas.microsoft.com/office/drawing/2014/chart" uri="{C3380CC4-5D6E-409C-BE32-E72D297353CC}">
              <c16:uniqueId val="{00000002-46D2-449B-BD74-4DE6BD86EC12}"/>
            </c:ext>
          </c:extLst>
        </c:ser>
        <c:dLbls>
          <c:showLegendKey val="0"/>
          <c:showVal val="0"/>
          <c:showCatName val="0"/>
          <c:showSerName val="0"/>
          <c:showPercent val="0"/>
          <c:showBubbleSize val="0"/>
        </c:dLbls>
        <c:marker val="1"/>
        <c:smooth val="0"/>
        <c:axId val="245587968"/>
        <c:axId val="273240576"/>
      </c:lineChart>
      <c:catAx>
        <c:axId val="245587968"/>
        <c:scaling>
          <c:orientation val="minMax"/>
        </c:scaling>
        <c:delete val="0"/>
        <c:axPos val="b"/>
        <c:numFmt formatCode="General" sourceLinked="1"/>
        <c:majorTickMark val="out"/>
        <c:minorTickMark val="none"/>
        <c:tickLblPos val="nextTo"/>
        <c:crossAx val="273240576"/>
        <c:crosses val="autoZero"/>
        <c:auto val="1"/>
        <c:lblAlgn val="ctr"/>
        <c:lblOffset val="100"/>
        <c:tickLblSkip val="5"/>
        <c:noMultiLvlLbl val="0"/>
      </c:catAx>
      <c:valAx>
        <c:axId val="273240576"/>
        <c:scaling>
          <c:orientation val="minMax"/>
        </c:scaling>
        <c:delete val="0"/>
        <c:axPos val="l"/>
        <c:majorGridlines/>
        <c:numFmt formatCode="General" sourceLinked="1"/>
        <c:majorTickMark val="out"/>
        <c:minorTickMark val="none"/>
        <c:tickLblPos val="nextTo"/>
        <c:crossAx val="2455879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051618547681536"/>
          <c:y val="4.8198007507126127E-2"/>
          <c:w val="0.72559448818897643"/>
          <c:h val="0.82385848722314725"/>
        </c:manualLayout>
      </c:layout>
      <c:lineChart>
        <c:grouping val="standard"/>
        <c:varyColors val="0"/>
        <c:ser>
          <c:idx val="0"/>
          <c:order val="0"/>
          <c:tx>
            <c:strRef>
              <c:f>Compute_intensities!$EC$16</c:f>
              <c:strCache>
                <c:ptCount val="1"/>
                <c:pt idx="0">
                  <c:v>Output*0.01</c:v>
                </c:pt>
              </c:strCache>
            </c:strRef>
          </c:tx>
          <c:cat>
            <c:numRef>
              <c:f>Compute_intensities!$EB$17:$EB$64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Compute_intensities!$EC$17:$EC$64</c:f>
              <c:numCache>
                <c:formatCode>General</c:formatCode>
                <c:ptCount val="48"/>
                <c:pt idx="0">
                  <c:v>47.722585000000002</c:v>
                </c:pt>
                <c:pt idx="1">
                  <c:v>48.727271000000002</c:v>
                </c:pt>
                <c:pt idx="2">
                  <c:v>50.234300000000005</c:v>
                </c:pt>
                <c:pt idx="3">
                  <c:v>53.680199999999999</c:v>
                </c:pt>
                <c:pt idx="4">
                  <c:v>66.822100000000006</c:v>
                </c:pt>
                <c:pt idx="5">
                  <c:v>74.74560000000001</c:v>
                </c:pt>
                <c:pt idx="6">
                  <c:v>81.432899999999989</c:v>
                </c:pt>
                <c:pt idx="7">
                  <c:v>92.264899999999997</c:v>
                </c:pt>
                <c:pt idx="8">
                  <c:v>103.4132</c:v>
                </c:pt>
                <c:pt idx="9">
                  <c:v>109.16250000000001</c:v>
                </c:pt>
                <c:pt idx="10">
                  <c:v>151.8058</c:v>
                </c:pt>
                <c:pt idx="11">
                  <c:v>177.23570000000001</c:v>
                </c:pt>
                <c:pt idx="12">
                  <c:v>162.14610000000002</c:v>
                </c:pt>
                <c:pt idx="13">
                  <c:v>133.6481</c:v>
                </c:pt>
                <c:pt idx="14">
                  <c:v>151.99779999999998</c:v>
                </c:pt>
                <c:pt idx="15">
                  <c:v>135.88499999999999</c:v>
                </c:pt>
                <c:pt idx="16">
                  <c:v>80.457999999999998</c:v>
                </c:pt>
                <c:pt idx="17">
                  <c:v>78.761200000000002</c:v>
                </c:pt>
                <c:pt idx="18">
                  <c:v>86.367899999999992</c:v>
                </c:pt>
                <c:pt idx="19">
                  <c:v>78.016500000000008</c:v>
                </c:pt>
                <c:pt idx="20">
                  <c:v>88.696399999999997</c:v>
                </c:pt>
                <c:pt idx="21">
                  <c:v>86.517700000000005</c:v>
                </c:pt>
                <c:pt idx="22">
                  <c:v>73.728499999999997</c:v>
                </c:pt>
                <c:pt idx="23">
                  <c:v>95.014399999999995</c:v>
                </c:pt>
                <c:pt idx="24">
                  <c:v>88.17710000000001</c:v>
                </c:pt>
                <c:pt idx="25">
                  <c:v>77.032499999999999</c:v>
                </c:pt>
                <c:pt idx="26">
                  <c:v>83.508700000000005</c:v>
                </c:pt>
                <c:pt idx="27">
                  <c:v>86.955399999999997</c:v>
                </c:pt>
                <c:pt idx="28">
                  <c:v>85.243100000000013</c:v>
                </c:pt>
                <c:pt idx="29">
                  <c:v>69.785499999999999</c:v>
                </c:pt>
                <c:pt idx="30">
                  <c:v>81.237499999999997</c:v>
                </c:pt>
                <c:pt idx="31">
                  <c:v>92.48060000000001</c:v>
                </c:pt>
                <c:pt idx="32">
                  <c:v>68.677999999999997</c:v>
                </c:pt>
                <c:pt idx="33">
                  <c:v>73.652900000000002</c:v>
                </c:pt>
                <c:pt idx="34">
                  <c:v>90.137500000000003</c:v>
                </c:pt>
                <c:pt idx="35">
                  <c:v>98.758300000000006</c:v>
                </c:pt>
                <c:pt idx="36">
                  <c:v>109.70089999999999</c:v>
                </c:pt>
                <c:pt idx="37">
                  <c:v>110.9845</c:v>
                </c:pt>
                <c:pt idx="38">
                  <c:v>117.66539999999999</c:v>
                </c:pt>
                <c:pt idx="39">
                  <c:v>83.463000000000008</c:v>
                </c:pt>
                <c:pt idx="40">
                  <c:v>94.868899999999996</c:v>
                </c:pt>
                <c:pt idx="41">
                  <c:v>106.756</c:v>
                </c:pt>
                <c:pt idx="42">
                  <c:v>125.732</c:v>
                </c:pt>
                <c:pt idx="43">
                  <c:v>121.777</c:v>
                </c:pt>
                <c:pt idx="44">
                  <c:v>133.81829999999999</c:v>
                </c:pt>
                <c:pt idx="45">
                  <c:v>103.575</c:v>
                </c:pt>
                <c:pt idx="46">
                  <c:v>54.172900000000006</c:v>
                </c:pt>
                <c:pt idx="47">
                  <c:v>76.414100000000005</c:v>
                </c:pt>
              </c:numCache>
            </c:numRef>
          </c:val>
          <c:smooth val="0"/>
          <c:extLst>
            <c:ext xmlns:c16="http://schemas.microsoft.com/office/drawing/2014/chart" uri="{C3380CC4-5D6E-409C-BE32-E72D297353CC}">
              <c16:uniqueId val="{00000000-1668-46F8-82D3-C15BF4CE90C2}"/>
            </c:ext>
          </c:extLst>
        </c:ser>
        <c:ser>
          <c:idx val="1"/>
          <c:order val="1"/>
          <c:tx>
            <c:strRef>
              <c:f>Compute_intensities!$ED$16</c:f>
              <c:strCache>
                <c:ptCount val="1"/>
                <c:pt idx="0">
                  <c:v>Elec</c:v>
                </c:pt>
              </c:strCache>
            </c:strRef>
          </c:tx>
          <c:marker>
            <c:symbol val="square"/>
            <c:size val="5"/>
          </c:marker>
          <c:cat>
            <c:numRef>
              <c:f>Compute_intensities!$EB$17:$EB$64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Compute_intensities!$ED$17:$ED$64</c:f>
              <c:numCache>
                <c:formatCode>General</c:formatCode>
                <c:ptCount val="48"/>
                <c:pt idx="0">
                  <c:v>1.4039999999999999</c:v>
                </c:pt>
                <c:pt idx="1">
                  <c:v>1.26</c:v>
                </c:pt>
                <c:pt idx="2">
                  <c:v>1.331</c:v>
                </c:pt>
                <c:pt idx="3">
                  <c:v>1.5029999999999999</c:v>
                </c:pt>
                <c:pt idx="4">
                  <c:v>1.8779999999999999</c:v>
                </c:pt>
                <c:pt idx="5">
                  <c:v>2.3319999999999999</c:v>
                </c:pt>
                <c:pt idx="6">
                  <c:v>2.6360000000000001</c:v>
                </c:pt>
                <c:pt idx="7">
                  <c:v>3.2090000000000001</c:v>
                </c:pt>
                <c:pt idx="8">
                  <c:v>4.4349999999999996</c:v>
                </c:pt>
                <c:pt idx="9">
                  <c:v>5.5510000000000002</c:v>
                </c:pt>
                <c:pt idx="10">
                  <c:v>8.1649999999999991</c:v>
                </c:pt>
                <c:pt idx="11">
                  <c:v>12.17</c:v>
                </c:pt>
                <c:pt idx="12">
                  <c:v>12.565</c:v>
                </c:pt>
                <c:pt idx="13">
                  <c:v>12.388</c:v>
                </c:pt>
                <c:pt idx="14">
                  <c:v>16.158000000000001</c:v>
                </c:pt>
                <c:pt idx="15">
                  <c:v>15.741</c:v>
                </c:pt>
                <c:pt idx="22">
                  <c:v>4.4175163999999993</c:v>
                </c:pt>
                <c:pt idx="27">
                  <c:v>6.0109647559999999</c:v>
                </c:pt>
                <c:pt idx="32">
                  <c:v>4.8357798320000001</c:v>
                </c:pt>
                <c:pt idx="37">
                  <c:v>9.7988716199999999</c:v>
                </c:pt>
                <c:pt idx="42">
                  <c:v>6.4664258119999998</c:v>
                </c:pt>
                <c:pt idx="47" formatCode="0.00">
                  <c:v>29.527970035999999</c:v>
                </c:pt>
              </c:numCache>
            </c:numRef>
          </c:val>
          <c:smooth val="0"/>
          <c:extLst>
            <c:ext xmlns:c16="http://schemas.microsoft.com/office/drawing/2014/chart" uri="{C3380CC4-5D6E-409C-BE32-E72D297353CC}">
              <c16:uniqueId val="{00000001-1668-46F8-82D3-C15BF4CE90C2}"/>
            </c:ext>
          </c:extLst>
        </c:ser>
        <c:ser>
          <c:idx val="2"/>
          <c:order val="2"/>
          <c:tx>
            <c:strRef>
              <c:f>Compute_intensities!$EE$16</c:f>
              <c:strCache>
                <c:ptCount val="1"/>
                <c:pt idx="0">
                  <c:v>Fuels</c:v>
                </c:pt>
              </c:strCache>
            </c:strRef>
          </c:tx>
          <c:cat>
            <c:numRef>
              <c:f>Compute_intensities!$EB$17:$EB$64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Compute_intensities!$EE$17:$EE$64</c:f>
              <c:numCache>
                <c:formatCode>General</c:formatCode>
                <c:ptCount val="48"/>
                <c:pt idx="0">
                  <c:v>79.72</c:v>
                </c:pt>
                <c:pt idx="1">
                  <c:v>74.004000000000005</c:v>
                </c:pt>
                <c:pt idx="2">
                  <c:v>80.938000000000002</c:v>
                </c:pt>
                <c:pt idx="3">
                  <c:v>79.108000000000004</c:v>
                </c:pt>
                <c:pt idx="4">
                  <c:v>85.676000000000002</c:v>
                </c:pt>
                <c:pt idx="5">
                  <c:v>91.721999999999994</c:v>
                </c:pt>
                <c:pt idx="6">
                  <c:v>88.751999999999995</c:v>
                </c:pt>
                <c:pt idx="7">
                  <c:v>91.686000000000007</c:v>
                </c:pt>
                <c:pt idx="8">
                  <c:v>100.07299999999999</c:v>
                </c:pt>
                <c:pt idx="9">
                  <c:v>103.596</c:v>
                </c:pt>
                <c:pt idx="10">
                  <c:v>130.08000000000001</c:v>
                </c:pt>
                <c:pt idx="11">
                  <c:v>169.196</c:v>
                </c:pt>
                <c:pt idx="12">
                  <c:v>154.94300000000001</c:v>
                </c:pt>
                <c:pt idx="13">
                  <c:v>137.453</c:v>
                </c:pt>
                <c:pt idx="14">
                  <c:v>162.92400000000001</c:v>
                </c:pt>
                <c:pt idx="15">
                  <c:v>145.072</c:v>
                </c:pt>
                <c:pt idx="17">
                  <c:v>75.057634734775888</c:v>
                </c:pt>
                <c:pt idx="22">
                  <c:v>82.669848418557862</c:v>
                </c:pt>
                <c:pt idx="27">
                  <c:v>95.441024369291199</c:v>
                </c:pt>
                <c:pt idx="32">
                  <c:v>69.707631828035431</c:v>
                </c:pt>
                <c:pt idx="37">
                  <c:v>97.006378042076449</c:v>
                </c:pt>
                <c:pt idx="42">
                  <c:v>141.93641409649851</c:v>
                </c:pt>
                <c:pt idx="47" formatCode="0.00">
                  <c:v>139.10303309416483</c:v>
                </c:pt>
              </c:numCache>
            </c:numRef>
          </c:val>
          <c:smooth val="0"/>
          <c:extLst>
            <c:ext xmlns:c16="http://schemas.microsoft.com/office/drawing/2014/chart" uri="{C3380CC4-5D6E-409C-BE32-E72D297353CC}">
              <c16:uniqueId val="{00000002-1668-46F8-82D3-C15BF4CE90C2}"/>
            </c:ext>
          </c:extLst>
        </c:ser>
        <c:dLbls>
          <c:showLegendKey val="0"/>
          <c:showVal val="0"/>
          <c:showCatName val="0"/>
          <c:showSerName val="0"/>
          <c:showPercent val="0"/>
          <c:showBubbleSize val="0"/>
        </c:dLbls>
        <c:marker val="1"/>
        <c:smooth val="0"/>
        <c:axId val="245588992"/>
        <c:axId val="273242880"/>
      </c:lineChart>
      <c:catAx>
        <c:axId val="245588992"/>
        <c:scaling>
          <c:orientation val="minMax"/>
        </c:scaling>
        <c:delete val="0"/>
        <c:axPos val="b"/>
        <c:numFmt formatCode="General" sourceLinked="1"/>
        <c:majorTickMark val="out"/>
        <c:minorTickMark val="none"/>
        <c:tickLblPos val="nextTo"/>
        <c:crossAx val="273242880"/>
        <c:crosses val="autoZero"/>
        <c:auto val="1"/>
        <c:lblAlgn val="ctr"/>
        <c:lblOffset val="100"/>
        <c:tickLblSkip val="5"/>
        <c:noMultiLvlLbl val="0"/>
      </c:catAx>
      <c:valAx>
        <c:axId val="273242880"/>
        <c:scaling>
          <c:orientation val="minMax"/>
        </c:scaling>
        <c:delete val="0"/>
        <c:axPos val="l"/>
        <c:majorGridlines/>
        <c:numFmt formatCode="General" sourceLinked="1"/>
        <c:majorTickMark val="out"/>
        <c:minorTickMark val="none"/>
        <c:tickLblPos val="nextTo"/>
        <c:crossAx val="245588992"/>
        <c:crosses val="autoZero"/>
        <c:crossBetween val="between"/>
      </c:valAx>
    </c:plotArea>
    <c:legend>
      <c:legendPos val="r"/>
      <c:layout>
        <c:manualLayout>
          <c:xMode val="edge"/>
          <c:yMode val="edge"/>
          <c:x val="0.48666622922134722"/>
          <c:y val="0.16497646575540065"/>
          <c:w val="0.22722265966754157"/>
          <c:h val="0.20011445701903749"/>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15507436570428"/>
          <c:y val="4.4294911969037981E-2"/>
          <c:w val="0.66722659667541562"/>
          <c:h val="0.85575833541453639"/>
        </c:manualLayout>
      </c:layout>
      <c:lineChart>
        <c:grouping val="standard"/>
        <c:varyColors val="0"/>
        <c:ser>
          <c:idx val="0"/>
          <c:order val="0"/>
          <c:tx>
            <c:strRef>
              <c:f>Compute_intensities!$DK$16</c:f>
              <c:strCache>
                <c:ptCount val="1"/>
                <c:pt idx="0">
                  <c:v>Output*0.01 (BEA)</c:v>
                </c:pt>
              </c:strCache>
            </c:strRef>
          </c:tx>
          <c:cat>
            <c:numRef>
              <c:f>Compute_intensities!$DJ$17:$DJ$64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Compute_intensities!$DK$17:$DK$64</c:f>
              <c:numCache>
                <c:formatCode>General</c:formatCode>
                <c:ptCount val="48"/>
                <c:pt idx="0">
                  <c:v>866.68354649999992</c:v>
                </c:pt>
                <c:pt idx="1">
                  <c:v>799.51404450000007</c:v>
                </c:pt>
                <c:pt idx="2">
                  <c:v>801.74554799999999</c:v>
                </c:pt>
                <c:pt idx="3">
                  <c:v>892.65126600000008</c:v>
                </c:pt>
                <c:pt idx="4">
                  <c:v>952.90186050000011</c:v>
                </c:pt>
                <c:pt idx="5">
                  <c:v>904.64403900000002</c:v>
                </c:pt>
                <c:pt idx="6">
                  <c:v>916.05088650000005</c:v>
                </c:pt>
                <c:pt idx="7">
                  <c:v>918.74365050000006</c:v>
                </c:pt>
                <c:pt idx="8">
                  <c:v>955.91875350000009</c:v>
                </c:pt>
                <c:pt idx="9">
                  <c:v>1077.3050639999999</c:v>
                </c:pt>
                <c:pt idx="10">
                  <c:v>1079.1127065000003</c:v>
                </c:pt>
                <c:pt idx="11">
                  <c:v>1056.0372149999998</c:v>
                </c:pt>
                <c:pt idx="12">
                  <c:v>895.83022349999999</c:v>
                </c:pt>
                <c:pt idx="13">
                  <c:v>907.77313049999998</c:v>
                </c:pt>
                <c:pt idx="14">
                  <c:v>1034.4452369999999</c:v>
                </c:pt>
                <c:pt idx="15">
                  <c:v>997.66906200000017</c:v>
                </c:pt>
                <c:pt idx="16">
                  <c:v>994.76436750000005</c:v>
                </c:pt>
                <c:pt idx="17">
                  <c:v>993.21852150000018</c:v>
                </c:pt>
                <c:pt idx="18">
                  <c:v>1103.7091110000001</c:v>
                </c:pt>
                <c:pt idx="19">
                  <c:v>1116.9485340000001</c:v>
                </c:pt>
                <c:pt idx="20">
                  <c:v>1172.2000620000001</c:v>
                </c:pt>
                <c:pt idx="21">
                  <c:v>1219.72236</c:v>
                </c:pt>
                <c:pt idx="22">
                  <c:v>1196.5596029999999</c:v>
                </c:pt>
                <c:pt idx="23">
                  <c:v>1163.6605095</c:v>
                </c:pt>
                <c:pt idx="24">
                  <c:v>1264.177899</c:v>
                </c:pt>
                <c:pt idx="25">
                  <c:v>1244.1193005</c:v>
                </c:pt>
                <c:pt idx="26">
                  <c:v>1283.8874354999998</c:v>
                </c:pt>
                <c:pt idx="27">
                  <c:v>1328.9912325</c:v>
                </c:pt>
                <c:pt idx="28">
                  <c:v>1353.9117660000002</c:v>
                </c:pt>
                <c:pt idx="29">
                  <c:v>1321.5237990000001</c:v>
                </c:pt>
                <c:pt idx="30">
                  <c:v>1340.1362834999998</c:v>
                </c:pt>
                <c:pt idx="31">
                  <c:v>1327.2209894999999</c:v>
                </c:pt>
                <c:pt idx="32">
                  <c:v>1264.9632885000001</c:v>
                </c:pt>
                <c:pt idx="33">
                  <c:v>1271.7824640000001</c:v>
                </c:pt>
                <c:pt idx="34">
                  <c:v>1315.091085</c:v>
                </c:pt>
                <c:pt idx="35">
                  <c:v>1391.5979955</c:v>
                </c:pt>
                <c:pt idx="36">
                  <c:v>1473.8768955</c:v>
                </c:pt>
                <c:pt idx="37">
                  <c:v>1421.6422605</c:v>
                </c:pt>
                <c:pt idx="38">
                  <c:v>1401.6210615</c:v>
                </c:pt>
                <c:pt idx="39">
                  <c:v>1252.1601929999999</c:v>
                </c:pt>
                <c:pt idx="40">
                  <c:v>1232.8745174999999</c:v>
                </c:pt>
                <c:pt idx="41">
                  <c:v>1304.7438900000002</c:v>
                </c:pt>
                <c:pt idx="42">
                  <c:v>1246.6500000000001</c:v>
                </c:pt>
                <c:pt idx="43">
                  <c:v>1205.2986195000001</c:v>
                </c:pt>
                <c:pt idx="44">
                  <c:v>1257.7077855</c:v>
                </c:pt>
                <c:pt idx="45">
                  <c:v>1184.8909590000001</c:v>
                </c:pt>
                <c:pt idx="46">
                  <c:v>1060.4628225000001</c:v>
                </c:pt>
                <c:pt idx="47">
                  <c:v>1103.6343120000001</c:v>
                </c:pt>
              </c:numCache>
            </c:numRef>
          </c:val>
          <c:smooth val="0"/>
          <c:extLst>
            <c:ext xmlns:c16="http://schemas.microsoft.com/office/drawing/2014/chart" uri="{C3380CC4-5D6E-409C-BE32-E72D297353CC}">
              <c16:uniqueId val="{00000000-27F9-4D40-8DAF-7F9770421481}"/>
            </c:ext>
          </c:extLst>
        </c:ser>
        <c:ser>
          <c:idx val="1"/>
          <c:order val="1"/>
          <c:tx>
            <c:strRef>
              <c:f>Compute_intensities!$DL$16</c:f>
              <c:strCache>
                <c:ptCount val="1"/>
                <c:pt idx="0">
                  <c:v>Elec</c:v>
                </c:pt>
              </c:strCache>
            </c:strRef>
          </c:tx>
          <c:marker>
            <c:symbol val="square"/>
            <c:size val="5"/>
          </c:marker>
          <c:cat>
            <c:numRef>
              <c:f>Compute_intensities!$DJ$17:$DJ$64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Compute_intensities!$DL$17:$DL$64</c:f>
              <c:numCache>
                <c:formatCode>General</c:formatCode>
                <c:ptCount val="48"/>
                <c:pt idx="0">
                  <c:v>100.73174815804833</c:v>
                </c:pt>
                <c:pt idx="1">
                  <c:v>100.93441336042406</c:v>
                </c:pt>
                <c:pt idx="2">
                  <c:v>105.24978875156989</c:v>
                </c:pt>
                <c:pt idx="3">
                  <c:v>121.78867852444704</c:v>
                </c:pt>
                <c:pt idx="4">
                  <c:v>123.3158719922972</c:v>
                </c:pt>
                <c:pt idx="5">
                  <c:v>109.96333419994588</c:v>
                </c:pt>
                <c:pt idx="6">
                  <c:v>112.1137895785667</c:v>
                </c:pt>
                <c:pt idx="7">
                  <c:v>111.86500000000001</c:v>
                </c:pt>
                <c:pt idx="8">
                  <c:v>120.98662342867794</c:v>
                </c:pt>
                <c:pt idx="9">
                  <c:v>135.99912916258069</c:v>
                </c:pt>
                <c:pt idx="10">
                  <c:v>135.71441194405665</c:v>
                </c:pt>
                <c:pt idx="11">
                  <c:v>130.60547069088307</c:v>
                </c:pt>
                <c:pt idx="12">
                  <c:v>100.68270895568229</c:v>
                </c:pt>
                <c:pt idx="13">
                  <c:v>101.31525285325557</c:v>
                </c:pt>
                <c:pt idx="14">
                  <c:v>122.98740073491167</c:v>
                </c:pt>
                <c:pt idx="15">
                  <c:v>121.84468272872921</c:v>
                </c:pt>
                <c:pt idx="16">
                  <c:v>119.87545955771613</c:v>
                </c:pt>
                <c:pt idx="17">
                  <c:v>117.39013782139904</c:v>
                </c:pt>
                <c:pt idx="18">
                  <c:v>129.59379582234413</c:v>
                </c:pt>
                <c:pt idx="19">
                  <c:v>135.64595843833649</c:v>
                </c:pt>
                <c:pt idx="20">
                  <c:v>142.92583106129501</c:v>
                </c:pt>
                <c:pt idx="21">
                  <c:v>149.79418049022109</c:v>
                </c:pt>
                <c:pt idx="22">
                  <c:v>148.674488</c:v>
                </c:pt>
                <c:pt idx="23">
                  <c:v>141.7885569494679</c:v>
                </c:pt>
                <c:pt idx="24">
                  <c:v>149.97520729872423</c:v>
                </c:pt>
                <c:pt idx="25">
                  <c:v>148.85235667069176</c:v>
                </c:pt>
                <c:pt idx="26">
                  <c:v>149.65229600960959</c:v>
                </c:pt>
                <c:pt idx="27">
                  <c:v>154.89901324800002</c:v>
                </c:pt>
                <c:pt idx="28">
                  <c:v>161.98443099828032</c:v>
                </c:pt>
                <c:pt idx="29">
                  <c:v>154.9668508691976</c:v>
                </c:pt>
                <c:pt idx="30">
                  <c:v>151.37221195959432</c:v>
                </c:pt>
                <c:pt idx="31">
                  <c:v>148.60777189556836</c:v>
                </c:pt>
                <c:pt idx="32">
                  <c:v>137.41643483795454</c:v>
                </c:pt>
                <c:pt idx="33">
                  <c:v>139.75103575117205</c:v>
                </c:pt>
                <c:pt idx="34">
                  <c:v>144.72006114141143</c:v>
                </c:pt>
                <c:pt idx="35">
                  <c:v>155.80867441858965</c:v>
                </c:pt>
                <c:pt idx="36">
                  <c:v>162.56105205940329</c:v>
                </c:pt>
                <c:pt idx="37">
                  <c:v>161.45897562799999</c:v>
                </c:pt>
                <c:pt idx="38">
                  <c:v>167.15969194716888</c:v>
                </c:pt>
                <c:pt idx="39">
                  <c:v>159.04342820403326</c:v>
                </c:pt>
                <c:pt idx="40">
                  <c:v>152.88188194767349</c:v>
                </c:pt>
                <c:pt idx="41">
                  <c:v>163.87525187284689</c:v>
                </c:pt>
                <c:pt idx="42">
                  <c:v>155.06562812642392</c:v>
                </c:pt>
                <c:pt idx="43">
                  <c:v>151.8258763106212</c:v>
                </c:pt>
                <c:pt idx="44">
                  <c:v>162.79157578408291</c:v>
                </c:pt>
                <c:pt idx="45">
                  <c:v>161.45681330466618</c:v>
                </c:pt>
                <c:pt idx="46">
                  <c:v>150.67749248680911</c:v>
                </c:pt>
                <c:pt idx="47">
                  <c:v>148.97832318800002</c:v>
                </c:pt>
              </c:numCache>
            </c:numRef>
          </c:val>
          <c:smooth val="0"/>
          <c:extLst>
            <c:ext xmlns:c16="http://schemas.microsoft.com/office/drawing/2014/chart" uri="{C3380CC4-5D6E-409C-BE32-E72D297353CC}">
              <c16:uniqueId val="{00000001-27F9-4D40-8DAF-7F9770421481}"/>
            </c:ext>
          </c:extLst>
        </c:ser>
        <c:ser>
          <c:idx val="2"/>
          <c:order val="2"/>
          <c:tx>
            <c:strRef>
              <c:f>Compute_intensities!$DM$16</c:f>
              <c:strCache>
                <c:ptCount val="1"/>
                <c:pt idx="0">
                  <c:v>Fuels</c:v>
                </c:pt>
              </c:strCache>
            </c:strRef>
          </c:tx>
          <c:cat>
            <c:numRef>
              <c:f>Compute_intensities!$DJ$17:$DJ$64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Compute_intensities!$DM$17:$DM$64</c:f>
              <c:numCache>
                <c:formatCode>General</c:formatCode>
                <c:ptCount val="48"/>
                <c:pt idx="0">
                  <c:v>410.28498144406728</c:v>
                </c:pt>
                <c:pt idx="1">
                  <c:v>415.32294590516494</c:v>
                </c:pt>
                <c:pt idx="2">
                  <c:v>430.90621757154258</c:v>
                </c:pt>
                <c:pt idx="3">
                  <c:v>499.58802479443813</c:v>
                </c:pt>
                <c:pt idx="4">
                  <c:v>507.05620801735495</c:v>
                </c:pt>
                <c:pt idx="5">
                  <c:v>439.4555592578543</c:v>
                </c:pt>
                <c:pt idx="6">
                  <c:v>445.8518752371989</c:v>
                </c:pt>
                <c:pt idx="7">
                  <c:v>452.24859999999995</c:v>
                </c:pt>
                <c:pt idx="8">
                  <c:v>481.1479660555716</c:v>
                </c:pt>
                <c:pt idx="9">
                  <c:v>517.95723149983246</c:v>
                </c:pt>
                <c:pt idx="10">
                  <c:v>489.99026697131728</c:v>
                </c:pt>
                <c:pt idx="11">
                  <c:v>449.84106295371868</c:v>
                </c:pt>
                <c:pt idx="12">
                  <c:v>340.00724561932964</c:v>
                </c:pt>
                <c:pt idx="13">
                  <c:v>350.83624263670504</c:v>
                </c:pt>
                <c:pt idx="14">
                  <c:v>406.96748606276657</c:v>
                </c:pt>
                <c:pt idx="15">
                  <c:v>393.10924426833691</c:v>
                </c:pt>
                <c:pt idx="16">
                  <c:v>380.90451885115027</c:v>
                </c:pt>
                <c:pt idx="17">
                  <c:v>363.08518503490535</c:v>
                </c:pt>
                <c:pt idx="18">
                  <c:v>388.96815561972591</c:v>
                </c:pt>
                <c:pt idx="19">
                  <c:v>379.2444562014573</c:v>
                </c:pt>
                <c:pt idx="20">
                  <c:v>380.3996933255786</c:v>
                </c:pt>
                <c:pt idx="21">
                  <c:v>382.22841162931286</c:v>
                </c:pt>
                <c:pt idx="22">
                  <c:v>362.79498381233611</c:v>
                </c:pt>
                <c:pt idx="23">
                  <c:v>350.49047499112578</c:v>
                </c:pt>
                <c:pt idx="24">
                  <c:v>373.26806569315721</c:v>
                </c:pt>
                <c:pt idx="25">
                  <c:v>366.72781140988138</c:v>
                </c:pt>
                <c:pt idx="26">
                  <c:v>368.80825573784</c:v>
                </c:pt>
                <c:pt idx="27">
                  <c:v>386.84988512622414</c:v>
                </c:pt>
                <c:pt idx="28">
                  <c:v>388.34566557058366</c:v>
                </c:pt>
                <c:pt idx="29">
                  <c:v>365.4513727002012</c:v>
                </c:pt>
                <c:pt idx="30">
                  <c:v>354.48985466247569</c:v>
                </c:pt>
                <c:pt idx="31">
                  <c:v>335.1828846429205</c:v>
                </c:pt>
                <c:pt idx="32">
                  <c:v>305.80749066501244</c:v>
                </c:pt>
                <c:pt idx="33">
                  <c:v>302.73542012389032</c:v>
                </c:pt>
                <c:pt idx="34">
                  <c:v>314.78114524307574</c:v>
                </c:pt>
                <c:pt idx="35">
                  <c:v>331.78935215379238</c:v>
                </c:pt>
                <c:pt idx="36">
                  <c:v>343.95766697628881</c:v>
                </c:pt>
                <c:pt idx="37">
                  <c:v>330.69897348682719</c:v>
                </c:pt>
                <c:pt idx="38">
                  <c:v>372.5434043465857</c:v>
                </c:pt>
                <c:pt idx="39">
                  <c:v>377.10195991290851</c:v>
                </c:pt>
                <c:pt idx="40">
                  <c:v>404.07781026809783</c:v>
                </c:pt>
                <c:pt idx="41">
                  <c:v>469.12204923710317</c:v>
                </c:pt>
                <c:pt idx="42">
                  <c:v>472.58161692395805</c:v>
                </c:pt>
                <c:pt idx="43">
                  <c:v>462.45605352729694</c:v>
                </c:pt>
                <c:pt idx="44">
                  <c:v>494.52374334053343</c:v>
                </c:pt>
                <c:pt idx="45">
                  <c:v>493.00468359639882</c:v>
                </c:pt>
                <c:pt idx="46">
                  <c:v>463.87703654419579</c:v>
                </c:pt>
                <c:pt idx="47">
                  <c:v>461.75442836316108</c:v>
                </c:pt>
              </c:numCache>
            </c:numRef>
          </c:val>
          <c:smooth val="0"/>
          <c:extLst>
            <c:ext xmlns:c16="http://schemas.microsoft.com/office/drawing/2014/chart" uri="{C3380CC4-5D6E-409C-BE32-E72D297353CC}">
              <c16:uniqueId val="{00000002-27F9-4D40-8DAF-7F9770421481}"/>
            </c:ext>
          </c:extLst>
        </c:ser>
        <c:dLbls>
          <c:showLegendKey val="0"/>
          <c:showVal val="0"/>
          <c:showCatName val="0"/>
          <c:showSerName val="0"/>
          <c:showPercent val="0"/>
          <c:showBubbleSize val="0"/>
        </c:dLbls>
        <c:marker val="1"/>
        <c:smooth val="0"/>
        <c:axId val="247439872"/>
        <c:axId val="209609856"/>
      </c:lineChart>
      <c:catAx>
        <c:axId val="247439872"/>
        <c:scaling>
          <c:orientation val="minMax"/>
        </c:scaling>
        <c:delete val="0"/>
        <c:axPos val="b"/>
        <c:numFmt formatCode="General" sourceLinked="1"/>
        <c:majorTickMark val="out"/>
        <c:minorTickMark val="none"/>
        <c:tickLblPos val="nextTo"/>
        <c:crossAx val="209609856"/>
        <c:crosses val="autoZero"/>
        <c:auto val="1"/>
        <c:lblAlgn val="ctr"/>
        <c:lblOffset val="100"/>
        <c:tickLblSkip val="5"/>
        <c:noMultiLvlLbl val="0"/>
      </c:catAx>
      <c:valAx>
        <c:axId val="209609856"/>
        <c:scaling>
          <c:orientation val="minMax"/>
        </c:scaling>
        <c:delete val="0"/>
        <c:axPos val="l"/>
        <c:majorGridlines/>
        <c:numFmt formatCode="General" sourceLinked="1"/>
        <c:majorTickMark val="out"/>
        <c:minorTickMark val="none"/>
        <c:tickLblPos val="nextTo"/>
        <c:crossAx val="2474398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Compute_intensities!$DX$16</c:f>
              <c:strCache>
                <c:ptCount val="1"/>
                <c:pt idx="0">
                  <c:v>Elec</c:v>
                </c:pt>
              </c:strCache>
            </c:strRef>
          </c:tx>
          <c:cat>
            <c:numRef>
              <c:f>Compute_intensities!$DW$17:$DW$64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Compute_intensities!$DX$17:$DX$64</c:f>
              <c:numCache>
                <c:formatCode>General</c:formatCode>
                <c:ptCount val="48"/>
                <c:pt idx="0">
                  <c:v>0.11622667646667773</c:v>
                </c:pt>
                <c:pt idx="1">
                  <c:v>0.12624470333544471</c:v>
                </c:pt>
                <c:pt idx="2">
                  <c:v>0.13127580067531588</c:v>
                </c:pt>
                <c:pt idx="3">
                  <c:v>0.13643477936259044</c:v>
                </c:pt>
                <c:pt idx="4">
                  <c:v>0.12941088385281538</c:v>
                </c:pt>
                <c:pt idx="5">
                  <c:v>0.12155425720983043</c:v>
                </c:pt>
                <c:pt idx="6">
                  <c:v>0.12238816776535776</c:v>
                </c:pt>
                <c:pt idx="7">
                  <c:v>0.12175866460586766</c:v>
                </c:pt>
                <c:pt idx="8">
                  <c:v>0.12656580173335613</c:v>
                </c:pt>
                <c:pt idx="9">
                  <c:v>0.12624012798902123</c:v>
                </c:pt>
                <c:pt idx="10">
                  <c:v>0.12576481689686841</c:v>
                </c:pt>
                <c:pt idx="11">
                  <c:v>0.12367506451075504</c:v>
                </c:pt>
                <c:pt idx="12">
                  <c:v>0.11239039085142263</c:v>
                </c:pt>
                <c:pt idx="13">
                  <c:v>0.11160856104812365</c:v>
                </c:pt>
                <c:pt idx="14">
                  <c:v>0.11889213303508273</c:v>
                </c:pt>
                <c:pt idx="15">
                  <c:v>0.12212935869181958</c:v>
                </c:pt>
                <c:pt idx="16">
                  <c:v>0.12050638671244537</c:v>
                </c:pt>
                <c:pt idx="17">
                  <c:v>0.11819165196810016</c:v>
                </c:pt>
                <c:pt idx="18">
                  <c:v>0.11741662230633169</c:v>
                </c:pt>
                <c:pt idx="19">
                  <c:v>0.12144333808520534</c:v>
                </c:pt>
                <c:pt idx="20">
                  <c:v>0.12192955425837113</c:v>
                </c:pt>
                <c:pt idx="21">
                  <c:v>0.12281006350512513</c:v>
                </c:pt>
                <c:pt idx="22">
                  <c:v>0.12425163579586433</c:v>
                </c:pt>
                <c:pt idx="23">
                  <c:v>0.12184701276009736</c:v>
                </c:pt>
                <c:pt idx="24">
                  <c:v>0.11863457462542162</c:v>
                </c:pt>
                <c:pt idx="25">
                  <c:v>0.11964476124666612</c:v>
                </c:pt>
                <c:pt idx="26">
                  <c:v>0.11656185104056936</c:v>
                </c:pt>
                <c:pt idx="27">
                  <c:v>0.11655382628568245</c:v>
                </c:pt>
                <c:pt idx="28">
                  <c:v>0.11964179281552997</c:v>
                </c:pt>
                <c:pt idx="29">
                  <c:v>0.11726376096023496</c:v>
                </c:pt>
                <c:pt idx="30">
                  <c:v>0.11295284951487126</c:v>
                </c:pt>
                <c:pt idx="31">
                  <c:v>0.11196912426132813</c:v>
                </c:pt>
                <c:pt idx="32">
                  <c:v>0.10863274538259814</c:v>
                </c:pt>
                <c:pt idx="33">
                  <c:v>0.1098859590433636</c:v>
                </c:pt>
                <c:pt idx="34">
                  <c:v>0.11004565599455146</c:v>
                </c:pt>
                <c:pt idx="35">
                  <c:v>0.11196385372961659</c:v>
                </c:pt>
                <c:pt idx="36">
                  <c:v>0.11029486421541052</c:v>
                </c:pt>
                <c:pt idx="37">
                  <c:v>0.11357215532634343</c:v>
                </c:pt>
                <c:pt idx="38">
                  <c:v>0.11926168672742142</c:v>
                </c:pt>
                <c:pt idx="39">
                  <c:v>0.12701524061628852</c:v>
                </c:pt>
                <c:pt idx="40">
                  <c:v>0.12400441389419301</c:v>
                </c:pt>
                <c:pt idx="41">
                  <c:v>0.12559955492326302</c:v>
                </c:pt>
                <c:pt idx="42">
                  <c:v>0.1243858565968186</c:v>
                </c:pt>
                <c:pt idx="43">
                  <c:v>0.12596536149158113</c:v>
                </c:pt>
                <c:pt idx="44">
                  <c:v>0.12943513402786588</c:v>
                </c:pt>
                <c:pt idx="45">
                  <c:v>0.13626301397466076</c:v>
                </c:pt>
                <c:pt idx="46">
                  <c:v>0.14208653928253021</c:v>
                </c:pt>
                <c:pt idx="47">
                  <c:v>0.13498884691073287</c:v>
                </c:pt>
              </c:numCache>
            </c:numRef>
          </c:val>
          <c:smooth val="0"/>
          <c:extLst>
            <c:ext xmlns:c16="http://schemas.microsoft.com/office/drawing/2014/chart" uri="{C3380CC4-5D6E-409C-BE32-E72D297353CC}">
              <c16:uniqueId val="{00000000-6663-46E9-B717-3520D8703F75}"/>
            </c:ext>
          </c:extLst>
        </c:ser>
        <c:ser>
          <c:idx val="1"/>
          <c:order val="1"/>
          <c:tx>
            <c:strRef>
              <c:f>Compute_intensities!$DY$16</c:f>
              <c:strCache>
                <c:ptCount val="1"/>
                <c:pt idx="0">
                  <c:v>Gas</c:v>
                </c:pt>
              </c:strCache>
            </c:strRef>
          </c:tx>
          <c:marker>
            <c:symbol val="square"/>
            <c:size val="5"/>
          </c:marker>
          <c:cat>
            <c:numRef>
              <c:f>Compute_intensities!$DW$17:$DW$64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Compute_intensities!$DY$17:$DY$64</c:f>
              <c:numCache>
                <c:formatCode>General</c:formatCode>
                <c:ptCount val="48"/>
                <c:pt idx="0">
                  <c:v>0.47339652760336248</c:v>
                </c:pt>
                <c:pt idx="1">
                  <c:v>0.51946923104383924</c:v>
                </c:pt>
                <c:pt idx="2">
                  <c:v>0.53746006902871213</c:v>
                </c:pt>
                <c:pt idx="3">
                  <c:v>0.55966763709764134</c:v>
                </c:pt>
                <c:pt idx="4">
                  <c:v>0.5321179746162904</c:v>
                </c:pt>
                <c:pt idx="5">
                  <c:v>0.48577732269548984</c:v>
                </c:pt>
                <c:pt idx="6">
                  <c:v>0.48671081684194067</c:v>
                </c:pt>
                <c:pt idx="7">
                  <c:v>0.4922467760771751</c:v>
                </c:pt>
                <c:pt idx="8">
                  <c:v>0.50333562794316655</c:v>
                </c:pt>
                <c:pt idx="9">
                  <c:v>0.48078974916972311</c:v>
                </c:pt>
                <c:pt idx="10">
                  <c:v>0.45406773918968507</c:v>
                </c:pt>
                <c:pt idx="11">
                  <c:v>0.42597084322801898</c:v>
                </c:pt>
                <c:pt idx="12">
                  <c:v>0.37954428942006962</c:v>
                </c:pt>
                <c:pt idx="13">
                  <c:v>0.38648009160996538</c:v>
                </c:pt>
                <c:pt idx="14">
                  <c:v>0.39341617275266799</c:v>
                </c:pt>
                <c:pt idx="15">
                  <c:v>0.3940276984035983</c:v>
                </c:pt>
                <c:pt idx="16">
                  <c:v>0.3829092911806074</c:v>
                </c:pt>
                <c:pt idx="17">
                  <c:v>0.36556425114440971</c:v>
                </c:pt>
                <c:pt idx="18">
                  <c:v>0.35241908555715989</c:v>
                </c:pt>
                <c:pt idx="19">
                  <c:v>0.33953619585614431</c:v>
                </c:pt>
                <c:pt idx="20">
                  <c:v>0.32451772155389852</c:v>
                </c:pt>
                <c:pt idx="21">
                  <c:v>0.31337329228703559</c:v>
                </c:pt>
                <c:pt idx="22">
                  <c:v>0.3031984222956724</c:v>
                </c:pt>
                <c:pt idx="23">
                  <c:v>0.30119650201219256</c:v>
                </c:pt>
                <c:pt idx="24">
                  <c:v>0.29526545748697447</c:v>
                </c:pt>
                <c:pt idx="25">
                  <c:v>0.29476900749188351</c:v>
                </c:pt>
                <c:pt idx="26">
                  <c:v>0.28725902718583002</c:v>
                </c:pt>
                <c:pt idx="27">
                  <c:v>0.29108535531758983</c:v>
                </c:pt>
                <c:pt idx="28">
                  <c:v>0.28683232934588709</c:v>
                </c:pt>
                <c:pt idx="29">
                  <c:v>0.27653786710215816</c:v>
                </c:pt>
                <c:pt idx="30">
                  <c:v>0.26451776511614444</c:v>
                </c:pt>
                <c:pt idx="31">
                  <c:v>0.25254489440314909</c:v>
                </c:pt>
                <c:pt idx="32">
                  <c:v>0.24175206778343783</c:v>
                </c:pt>
                <c:pt idx="33">
                  <c:v>0.23804025349722882</c:v>
                </c:pt>
                <c:pt idx="34">
                  <c:v>0.23936071716513518</c:v>
                </c:pt>
                <c:pt idx="35">
                  <c:v>0.2384232754191204</c:v>
                </c:pt>
                <c:pt idx="36">
                  <c:v>0.23336933228714746</c:v>
                </c:pt>
                <c:pt idx="37">
                  <c:v>0.23261757382656759</c:v>
                </c:pt>
                <c:pt idx="38">
                  <c:v>0.26579466774557003</c:v>
                </c:pt>
                <c:pt idx="39">
                  <c:v>0.30116111502428872</c:v>
                </c:pt>
                <c:pt idx="40">
                  <c:v>0.3277525851434413</c:v>
                </c:pt>
                <c:pt idx="41">
                  <c:v>0.35955106042849766</c:v>
                </c:pt>
                <c:pt idx="42">
                  <c:v>0.37908123123888665</c:v>
                </c:pt>
                <c:pt idx="43">
                  <c:v>0.38368587339720001</c:v>
                </c:pt>
                <c:pt idx="44">
                  <c:v>0.39319446777848815</c:v>
                </c:pt>
                <c:pt idx="45">
                  <c:v>0.4160759940412363</c:v>
                </c:pt>
                <c:pt idx="46">
                  <c:v>0.43742885342328514</c:v>
                </c:pt>
                <c:pt idx="47">
                  <c:v>0.41839441139372713</c:v>
                </c:pt>
              </c:numCache>
            </c:numRef>
          </c:val>
          <c:smooth val="0"/>
          <c:extLst>
            <c:ext xmlns:c16="http://schemas.microsoft.com/office/drawing/2014/chart" uri="{C3380CC4-5D6E-409C-BE32-E72D297353CC}">
              <c16:uniqueId val="{00000001-6663-46E9-B717-3520D8703F75}"/>
            </c:ext>
          </c:extLst>
        </c:ser>
        <c:dLbls>
          <c:showLegendKey val="0"/>
          <c:showVal val="0"/>
          <c:showCatName val="0"/>
          <c:showSerName val="0"/>
          <c:showPercent val="0"/>
          <c:showBubbleSize val="0"/>
        </c:dLbls>
        <c:marker val="1"/>
        <c:smooth val="0"/>
        <c:axId val="247440384"/>
        <c:axId val="209612160"/>
      </c:lineChart>
      <c:catAx>
        <c:axId val="247440384"/>
        <c:scaling>
          <c:orientation val="minMax"/>
        </c:scaling>
        <c:delete val="0"/>
        <c:axPos val="b"/>
        <c:numFmt formatCode="General" sourceLinked="1"/>
        <c:majorTickMark val="out"/>
        <c:minorTickMark val="none"/>
        <c:tickLblPos val="nextTo"/>
        <c:crossAx val="209612160"/>
        <c:crosses val="autoZero"/>
        <c:auto val="1"/>
        <c:lblAlgn val="ctr"/>
        <c:lblOffset val="100"/>
        <c:noMultiLvlLbl val="0"/>
      </c:catAx>
      <c:valAx>
        <c:axId val="209612160"/>
        <c:scaling>
          <c:orientation val="minMax"/>
        </c:scaling>
        <c:delete val="0"/>
        <c:axPos val="l"/>
        <c:majorGridlines/>
        <c:numFmt formatCode="General" sourceLinked="1"/>
        <c:majorTickMark val="out"/>
        <c:minorTickMark val="none"/>
        <c:tickLblPos val="nextTo"/>
        <c:crossAx val="2474403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Compute_intensities!$GA$16</c:f>
              <c:strCache>
                <c:ptCount val="1"/>
                <c:pt idx="0">
                  <c:v>BLS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Compute_intensities!$FZ$17:$FZ$64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Compute_intensities!$GA$17:$GA$64</c:f>
              <c:numCache>
                <c:formatCode>General</c:formatCode>
                <c:ptCount val="48"/>
                <c:pt idx="2">
                  <c:v>50234.3</c:v>
                </c:pt>
                <c:pt idx="3">
                  <c:v>53680.2</c:v>
                </c:pt>
                <c:pt idx="4">
                  <c:v>66822.100000000006</c:v>
                </c:pt>
                <c:pt idx="5">
                  <c:v>74745.600000000006</c:v>
                </c:pt>
                <c:pt idx="6">
                  <c:v>81432.899999999994</c:v>
                </c:pt>
                <c:pt idx="7">
                  <c:v>92264.9</c:v>
                </c:pt>
                <c:pt idx="8">
                  <c:v>103413.2</c:v>
                </c:pt>
                <c:pt idx="9">
                  <c:v>109162.5</c:v>
                </c:pt>
                <c:pt idx="10">
                  <c:v>151805.79999999999</c:v>
                </c:pt>
                <c:pt idx="11">
                  <c:v>177235.7</c:v>
                </c:pt>
                <c:pt idx="12">
                  <c:v>162146.1</c:v>
                </c:pt>
                <c:pt idx="13">
                  <c:v>133648.1</c:v>
                </c:pt>
                <c:pt idx="14">
                  <c:v>151997.79999999999</c:v>
                </c:pt>
                <c:pt idx="15">
                  <c:v>135885</c:v>
                </c:pt>
                <c:pt idx="16">
                  <c:v>80458</c:v>
                </c:pt>
                <c:pt idx="17">
                  <c:v>78761.2</c:v>
                </c:pt>
                <c:pt idx="18">
                  <c:v>86367.9</c:v>
                </c:pt>
                <c:pt idx="19">
                  <c:v>78016.5</c:v>
                </c:pt>
                <c:pt idx="20">
                  <c:v>88696.4</c:v>
                </c:pt>
                <c:pt idx="21">
                  <c:v>86517.7</c:v>
                </c:pt>
                <c:pt idx="22">
                  <c:v>73728.5</c:v>
                </c:pt>
                <c:pt idx="23">
                  <c:v>95014.399999999994</c:v>
                </c:pt>
                <c:pt idx="24">
                  <c:v>88177.1</c:v>
                </c:pt>
                <c:pt idx="25">
                  <c:v>77032.5</c:v>
                </c:pt>
                <c:pt idx="26">
                  <c:v>83508.7</c:v>
                </c:pt>
                <c:pt idx="27">
                  <c:v>86955.4</c:v>
                </c:pt>
                <c:pt idx="28">
                  <c:v>85243.1</c:v>
                </c:pt>
                <c:pt idx="29">
                  <c:v>69785.5</c:v>
                </c:pt>
                <c:pt idx="30">
                  <c:v>81237.5</c:v>
                </c:pt>
                <c:pt idx="31">
                  <c:v>92480.6</c:v>
                </c:pt>
                <c:pt idx="32">
                  <c:v>68678</c:v>
                </c:pt>
                <c:pt idx="33">
                  <c:v>73652.899999999994</c:v>
                </c:pt>
                <c:pt idx="34">
                  <c:v>90137.5</c:v>
                </c:pt>
                <c:pt idx="35">
                  <c:v>98758.3</c:v>
                </c:pt>
                <c:pt idx="36">
                  <c:v>109700.9</c:v>
                </c:pt>
                <c:pt idx="37">
                  <c:v>110984.5</c:v>
                </c:pt>
                <c:pt idx="38">
                  <c:v>117665.4</c:v>
                </c:pt>
                <c:pt idx="39">
                  <c:v>83463</c:v>
                </c:pt>
                <c:pt idx="40">
                  <c:v>94868.9</c:v>
                </c:pt>
                <c:pt idx="41">
                  <c:v>106756</c:v>
                </c:pt>
                <c:pt idx="42">
                  <c:v>125732</c:v>
                </c:pt>
                <c:pt idx="43">
                  <c:v>121777</c:v>
                </c:pt>
                <c:pt idx="44">
                  <c:v>133818.29999999999</c:v>
                </c:pt>
                <c:pt idx="45">
                  <c:v>103575</c:v>
                </c:pt>
                <c:pt idx="46">
                  <c:v>54172.9</c:v>
                </c:pt>
                <c:pt idx="47">
                  <c:v>76414.100000000006</c:v>
                </c:pt>
              </c:numCache>
            </c:numRef>
          </c:val>
          <c:smooth val="0"/>
          <c:extLst>
            <c:ext xmlns:c16="http://schemas.microsoft.com/office/drawing/2014/chart" uri="{C3380CC4-5D6E-409C-BE32-E72D297353CC}">
              <c16:uniqueId val="{00000000-80F7-4676-9731-84E66A0AD369}"/>
            </c:ext>
          </c:extLst>
        </c:ser>
        <c:ser>
          <c:idx val="1"/>
          <c:order val="1"/>
          <c:tx>
            <c:strRef>
              <c:f>Compute_intensities!$GB$16</c:f>
              <c:strCache>
                <c:ptCount val="1"/>
                <c:pt idx="0">
                  <c:v>BEA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Compute_intensities!$FZ$17:$FZ$64</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Compute_intensities!$GB$17:$GB$64</c:f>
              <c:numCache>
                <c:formatCode>General</c:formatCode>
                <c:ptCount val="48"/>
                <c:pt idx="0">
                  <c:v>17144.67916</c:v>
                </c:pt>
                <c:pt idx="1">
                  <c:v>15903.714190000001</c:v>
                </c:pt>
                <c:pt idx="2">
                  <c:v>18396.959919999998</c:v>
                </c:pt>
                <c:pt idx="3">
                  <c:v>18945.147079999999</c:v>
                </c:pt>
                <c:pt idx="4">
                  <c:v>22371.316829999996</c:v>
                </c:pt>
                <c:pt idx="5">
                  <c:v>24816.784780000002</c:v>
                </c:pt>
                <c:pt idx="6">
                  <c:v>26864.942770000001</c:v>
                </c:pt>
                <c:pt idx="7">
                  <c:v>30693.451719999997</c:v>
                </c:pt>
                <c:pt idx="8">
                  <c:v>34696.726759999998</c:v>
                </c:pt>
                <c:pt idx="9">
                  <c:v>35824.53383</c:v>
                </c:pt>
                <c:pt idx="10">
                  <c:v>46952.984639999995</c:v>
                </c:pt>
                <c:pt idx="11">
                  <c:v>54990.967470000003</c:v>
                </c:pt>
                <c:pt idx="12">
                  <c:v>51498.16029</c:v>
                </c:pt>
                <c:pt idx="13">
                  <c:v>41095.177350000005</c:v>
                </c:pt>
                <c:pt idx="14">
                  <c:v>45972.28284</c:v>
                </c:pt>
                <c:pt idx="15">
                  <c:v>41445.966840000001</c:v>
                </c:pt>
                <c:pt idx="16">
                  <c:v>25725.819909999998</c:v>
                </c:pt>
                <c:pt idx="17">
                  <c:v>24237.164870000004</c:v>
                </c:pt>
                <c:pt idx="18">
                  <c:v>27318.831680000003</c:v>
                </c:pt>
                <c:pt idx="19">
                  <c:v>24648.305239999998</c:v>
                </c:pt>
                <c:pt idx="20">
                  <c:v>27838.100709999999</c:v>
                </c:pt>
                <c:pt idx="21">
                  <c:v>27937.428199999998</c:v>
                </c:pt>
                <c:pt idx="22">
                  <c:v>23497.866590000001</c:v>
                </c:pt>
                <c:pt idx="23">
                  <c:v>28561.053960000001</c:v>
                </c:pt>
                <c:pt idx="24">
                  <c:v>25821.375469999999</c:v>
                </c:pt>
                <c:pt idx="25">
                  <c:v>22263.188170000005</c:v>
                </c:pt>
                <c:pt idx="26">
                  <c:v>22899.387030000002</c:v>
                </c:pt>
                <c:pt idx="27">
                  <c:v>28727.01888</c:v>
                </c:pt>
                <c:pt idx="28">
                  <c:v>28963.393160000003</c:v>
                </c:pt>
                <c:pt idx="29">
                  <c:v>23399.796410000003</c:v>
                </c:pt>
                <c:pt idx="30">
                  <c:v>29019.972110000002</c:v>
                </c:pt>
                <c:pt idx="31">
                  <c:v>41956.434699999998</c:v>
                </c:pt>
                <c:pt idx="32">
                  <c:v>35351.78527</c:v>
                </c:pt>
                <c:pt idx="33">
                  <c:v>41154.270919999995</c:v>
                </c:pt>
                <c:pt idx="34">
                  <c:v>56081.055240000002</c:v>
                </c:pt>
                <c:pt idx="35">
                  <c:v>75628.453810000006</c:v>
                </c:pt>
                <c:pt idx="36">
                  <c:v>100969.53685999999</c:v>
                </c:pt>
                <c:pt idx="37">
                  <c:v>106519.30320000001</c:v>
                </c:pt>
                <c:pt idx="38">
                  <c:v>117180.03469</c:v>
                </c:pt>
                <c:pt idx="39">
                  <c:v>80579.740590000001</c:v>
                </c:pt>
                <c:pt idx="40">
                  <c:v>89468.922290000002</c:v>
                </c:pt>
                <c:pt idx="41">
                  <c:v>101565.5018</c:v>
                </c:pt>
                <c:pt idx="42">
                  <c:v>125731</c:v>
                </c:pt>
                <c:pt idx="43">
                  <c:v>119830.44417</c:v>
                </c:pt>
                <c:pt idx="44">
                  <c:v>146982.05361999999</c:v>
                </c:pt>
                <c:pt idx="45">
                  <c:v>116156.58435</c:v>
                </c:pt>
                <c:pt idx="46">
                  <c:v>59814.008629999997</c:v>
                </c:pt>
                <c:pt idx="47">
                  <c:v>84870.93961999999</c:v>
                </c:pt>
              </c:numCache>
            </c:numRef>
          </c:val>
          <c:smooth val="0"/>
          <c:extLst>
            <c:ext xmlns:c16="http://schemas.microsoft.com/office/drawing/2014/chart" uri="{C3380CC4-5D6E-409C-BE32-E72D297353CC}">
              <c16:uniqueId val="{00000001-80F7-4676-9731-84E66A0AD369}"/>
            </c:ext>
          </c:extLst>
        </c:ser>
        <c:dLbls>
          <c:showLegendKey val="0"/>
          <c:showVal val="0"/>
          <c:showCatName val="0"/>
          <c:showSerName val="0"/>
          <c:showPercent val="0"/>
          <c:showBubbleSize val="0"/>
        </c:dLbls>
        <c:marker val="1"/>
        <c:smooth val="0"/>
        <c:axId val="555527248"/>
        <c:axId val="555534608"/>
      </c:lineChart>
      <c:catAx>
        <c:axId val="55552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34608"/>
        <c:crosses val="autoZero"/>
        <c:auto val="1"/>
        <c:lblAlgn val="ctr"/>
        <c:lblOffset val="100"/>
        <c:noMultiLvlLbl val="0"/>
      </c:catAx>
      <c:valAx>
        <c:axId val="55553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527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30</xdr:col>
      <xdr:colOff>104775</xdr:colOff>
      <xdr:row>18</xdr:row>
      <xdr:rowOff>61912</xdr:rowOff>
    </xdr:from>
    <xdr:to>
      <xdr:col>37</xdr:col>
      <xdr:colOff>409575</xdr:colOff>
      <xdr:row>35</xdr:row>
      <xdr:rowOff>52387</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19050</xdr:colOff>
      <xdr:row>17</xdr:row>
      <xdr:rowOff>100012</xdr:rowOff>
    </xdr:from>
    <xdr:to>
      <xdr:col>59</xdr:col>
      <xdr:colOff>381000</xdr:colOff>
      <xdr:row>36</xdr:row>
      <xdr:rowOff>104775</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74</xdr:col>
      <xdr:colOff>76200</xdr:colOff>
      <xdr:row>16</xdr:row>
      <xdr:rowOff>100012</xdr:rowOff>
    </xdr:from>
    <xdr:to>
      <xdr:col>81</xdr:col>
      <xdr:colOff>381000</xdr:colOff>
      <xdr:row>33</xdr:row>
      <xdr:rowOff>90487</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96</xdr:col>
      <xdr:colOff>57150</xdr:colOff>
      <xdr:row>15</xdr:row>
      <xdr:rowOff>166687</xdr:rowOff>
    </xdr:from>
    <xdr:to>
      <xdr:col>103</xdr:col>
      <xdr:colOff>361950</xdr:colOff>
      <xdr:row>31</xdr:row>
      <xdr:rowOff>157162</xdr:rowOff>
    </xdr:to>
    <xdr:graphicFrame macro="">
      <xdr:nvGraphicFramePr>
        <xdr:cNvPr id="6" name="Chart 5">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135</xdr:col>
      <xdr:colOff>472440</xdr:colOff>
      <xdr:row>14</xdr:row>
      <xdr:rowOff>256222</xdr:rowOff>
    </xdr:from>
    <xdr:to>
      <xdr:col>143</xdr:col>
      <xdr:colOff>167640</xdr:colOff>
      <xdr:row>30</xdr:row>
      <xdr:rowOff>84772</xdr:rowOff>
    </xdr:to>
    <xdr:graphicFrame macro="">
      <xdr:nvGraphicFramePr>
        <xdr:cNvPr id="8" name="Chart 7">
          <a:extLst>
            <a:ext uri="{FF2B5EF4-FFF2-40B4-BE49-F238E27FC236}">
              <a16:creationId xmlns:a16="http://schemas.microsoft.com/office/drawing/2014/main" id="{00000000-0008-0000-0A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117</xdr:col>
      <xdr:colOff>504825</xdr:colOff>
      <xdr:row>15</xdr:row>
      <xdr:rowOff>119062</xdr:rowOff>
    </xdr:from>
    <xdr:to>
      <xdr:col>125</xdr:col>
      <xdr:colOff>200025</xdr:colOff>
      <xdr:row>31</xdr:row>
      <xdr:rowOff>109537</xdr:rowOff>
    </xdr:to>
    <xdr:graphicFrame macro="">
      <xdr:nvGraphicFramePr>
        <xdr:cNvPr id="9" name="Chart 8">
          <a:extLst>
            <a:ext uri="{FF2B5EF4-FFF2-40B4-BE49-F238E27FC236}">
              <a16:creationId xmlns:a16="http://schemas.microsoft.com/office/drawing/2014/main" id="{00000000-0008-0000-0A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117</xdr:col>
      <xdr:colOff>466725</xdr:colOff>
      <xdr:row>33</xdr:row>
      <xdr:rowOff>90487</xdr:rowOff>
    </xdr:from>
    <xdr:to>
      <xdr:col>125</xdr:col>
      <xdr:colOff>161925</xdr:colOff>
      <xdr:row>50</xdr:row>
      <xdr:rowOff>80962</xdr:rowOff>
    </xdr:to>
    <xdr:graphicFrame macro="">
      <xdr:nvGraphicFramePr>
        <xdr:cNvPr id="10" name="Chart 9">
          <a:extLst>
            <a:ext uri="{FF2B5EF4-FFF2-40B4-BE49-F238E27FC236}">
              <a16:creationId xmlns:a16="http://schemas.microsoft.com/office/drawing/2014/main" id="{00000000-0008-0000-0A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184</xdr:col>
      <xdr:colOff>381000</xdr:colOff>
      <xdr:row>20</xdr:row>
      <xdr:rowOff>71437</xdr:rowOff>
    </xdr:from>
    <xdr:to>
      <xdr:col>192</xdr:col>
      <xdr:colOff>76200</xdr:colOff>
      <xdr:row>37</xdr:row>
      <xdr:rowOff>61912</xdr:rowOff>
    </xdr:to>
    <xdr:graphicFrame macro="">
      <xdr:nvGraphicFramePr>
        <xdr:cNvPr id="5" name="Chart 4">
          <a:extLst>
            <a:ext uri="{FF2B5EF4-FFF2-40B4-BE49-F238E27FC236}">
              <a16:creationId xmlns:a16="http://schemas.microsoft.com/office/drawing/2014/main" id="{C2E30B58-E646-4E2A-BEB8-C0CB2D0C42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ECN_2012_US_21SM1_with_ann_pnn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dicators_12/Industrial/ALLFOSNEA_HAP_0628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CN_2012_US_21SG1_with_ann_pnn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CN_2012_US_21SM1_with_ann_pnn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Indicators%20-%20Industrial_2020/NonMan_output_data_0104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BLS_output_data_081312.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Indicators%20-%20Industrial_2020/Nonmanufacturing/Agriculture/BLS%20Output%20data%201972-201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Indicators%20-%20Industrial_2020/GrossOutput_1947-2018_PNNL_123119.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Indicators_12/Industrial/ALLFOSNEA_H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Indicators_12/Industrial/ELECNEA_HAP_06281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Indicators_12/Agriculture/Agricultural_energy.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Indicators%20-%20Industrial_2020/ASMdata_0102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2012"/>
      <sheetName val="Census_data"/>
      <sheetName val="ECN_2012_US_21SM1_with_ann"/>
    </sheetNames>
    <sheetDataSet>
      <sheetData sheetId="0">
        <row r="4">
          <cell r="B4" t="str">
            <v>Coal (bituminous, subbituminous, lignite, and anthracite) consumed as a fuel</v>
          </cell>
          <cell r="D4" t="str">
            <v>Distillate (light) grade numbers 1, 2, 4, and light diesel fuel used as a fuel</v>
          </cell>
          <cell r="F4" t="str">
            <v>Gas (natural, manufactured, and mixed) used as a fuel</v>
          </cell>
          <cell r="H4" t="str">
            <v>Gasoline used as a fuel</v>
          </cell>
          <cell r="J4" t="str">
            <v>Other fuels (liquefied petroleum gas, coke, wood, etc.)</v>
          </cell>
          <cell r="L4" t="str">
            <v>Residual (heavy) grade numbers 5 and 6 and heavy diesel fuel used as a fuel</v>
          </cell>
          <cell r="N4" t="str">
            <v>Total fuels</v>
          </cell>
          <cell r="P4" t="str">
            <v>Undistributed fuels</v>
          </cell>
          <cell r="R4" t="str">
            <v>Total Sum of MATFUELCOST</v>
          </cell>
          <cell r="S4" t="str">
            <v>Total Sum of MATFUELQTY</v>
          </cell>
        </row>
        <row r="5">
          <cell r="A5" t="str">
            <v>Row Labels</v>
          </cell>
          <cell r="B5" t="str">
            <v>Sum of MATFUELCOST</v>
          </cell>
          <cell r="C5" t="str">
            <v>Sum of MATFUELQTY</v>
          </cell>
          <cell r="D5" t="str">
            <v>Sum of MATFUELCOST</v>
          </cell>
          <cell r="E5" t="str">
            <v>Sum of MATFUELQTY</v>
          </cell>
          <cell r="F5" t="str">
            <v>Sum of MATFUELCOST</v>
          </cell>
          <cell r="G5" t="str">
            <v>Sum of MATFUELQTY</v>
          </cell>
          <cell r="H5" t="str">
            <v>Sum of MATFUELCOST</v>
          </cell>
          <cell r="I5" t="str">
            <v>Sum of MATFUELQTY</v>
          </cell>
          <cell r="J5" t="str">
            <v>Sum of MATFUELCOST</v>
          </cell>
          <cell r="K5" t="str">
            <v>Sum of MATFUELQTY</v>
          </cell>
          <cell r="L5" t="str">
            <v>Sum of MATFUELCOST</v>
          </cell>
          <cell r="M5" t="str">
            <v>Sum of MATFUELQTY</v>
          </cell>
          <cell r="N5" t="str">
            <v>Sum of MATFUELCOST</v>
          </cell>
          <cell r="O5" t="str">
            <v>Sum of MATFUELQTY</v>
          </cell>
          <cell r="P5" t="str">
            <v>Sum of MATFUELCOST</v>
          </cell>
          <cell r="Q5" t="str">
            <v>Sum of MATFUELQTY</v>
          </cell>
        </row>
        <row r="6">
          <cell r="A6">
            <v>211111</v>
          </cell>
          <cell r="B6">
            <v>0</v>
          </cell>
          <cell r="C6">
            <v>0</v>
          </cell>
          <cell r="D6">
            <v>743744</v>
          </cell>
          <cell r="E6">
            <v>0</v>
          </cell>
          <cell r="F6">
            <v>558505</v>
          </cell>
          <cell r="G6">
            <v>0</v>
          </cell>
          <cell r="H6">
            <v>325708</v>
          </cell>
          <cell r="I6">
            <v>0</v>
          </cell>
          <cell r="J6">
            <v>46821</v>
          </cell>
          <cell r="K6">
            <v>0</v>
          </cell>
          <cell r="L6">
            <v>88565</v>
          </cell>
          <cell r="M6">
            <v>0</v>
          </cell>
          <cell r="N6">
            <v>1882003</v>
          </cell>
          <cell r="O6">
            <v>0</v>
          </cell>
          <cell r="P6">
            <v>0</v>
          </cell>
          <cell r="Q6">
            <v>0</v>
          </cell>
          <cell r="R6">
            <v>3645346</v>
          </cell>
          <cell r="S6">
            <v>0</v>
          </cell>
        </row>
        <row r="7">
          <cell r="A7">
            <v>211112</v>
          </cell>
          <cell r="D7">
            <v>13686</v>
          </cell>
          <cell r="E7">
            <v>0</v>
          </cell>
          <cell r="F7">
            <v>114195</v>
          </cell>
          <cell r="G7">
            <v>0</v>
          </cell>
          <cell r="H7">
            <v>13627</v>
          </cell>
          <cell r="I7">
            <v>0</v>
          </cell>
          <cell r="J7">
            <v>5744</v>
          </cell>
          <cell r="K7">
            <v>0</v>
          </cell>
          <cell r="L7">
            <v>1420</v>
          </cell>
          <cell r="M7">
            <v>0</v>
          </cell>
          <cell r="N7">
            <v>153539</v>
          </cell>
          <cell r="O7">
            <v>0</v>
          </cell>
          <cell r="P7">
            <v>4867</v>
          </cell>
          <cell r="Q7">
            <v>0</v>
          </cell>
          <cell r="R7">
            <v>307078</v>
          </cell>
          <cell r="S7">
            <v>0</v>
          </cell>
        </row>
        <row r="8">
          <cell r="A8">
            <v>212111</v>
          </cell>
          <cell r="B8">
            <v>0</v>
          </cell>
          <cell r="C8">
            <v>0</v>
          </cell>
          <cell r="D8">
            <v>1241878</v>
          </cell>
          <cell r="E8">
            <v>0</v>
          </cell>
          <cell r="F8">
            <v>5570</v>
          </cell>
          <cell r="G8">
            <v>0</v>
          </cell>
          <cell r="H8">
            <v>118985</v>
          </cell>
          <cell r="I8">
            <v>0</v>
          </cell>
          <cell r="J8">
            <v>2183</v>
          </cell>
          <cell r="K8">
            <v>0</v>
          </cell>
          <cell r="L8">
            <v>446353</v>
          </cell>
          <cell r="M8">
            <v>0</v>
          </cell>
          <cell r="N8">
            <v>1853542</v>
          </cell>
          <cell r="O8">
            <v>0</v>
          </cell>
          <cell r="P8">
            <v>0</v>
          </cell>
          <cell r="Q8">
            <v>0</v>
          </cell>
          <cell r="R8">
            <v>3668511</v>
          </cell>
          <cell r="S8">
            <v>0</v>
          </cell>
        </row>
        <row r="9">
          <cell r="A9">
            <v>212112</v>
          </cell>
          <cell r="B9">
            <v>2986</v>
          </cell>
          <cell r="C9">
            <v>0</v>
          </cell>
          <cell r="D9">
            <v>137850</v>
          </cell>
          <cell r="E9">
            <v>0</v>
          </cell>
          <cell r="F9">
            <v>4648</v>
          </cell>
          <cell r="G9">
            <v>0</v>
          </cell>
          <cell r="H9">
            <v>27331</v>
          </cell>
          <cell r="I9">
            <v>0</v>
          </cell>
          <cell r="J9">
            <v>2589</v>
          </cell>
          <cell r="K9">
            <v>0</v>
          </cell>
          <cell r="L9">
            <v>97094</v>
          </cell>
          <cell r="M9">
            <v>0</v>
          </cell>
          <cell r="N9">
            <v>272810</v>
          </cell>
          <cell r="O9">
            <v>0</v>
          </cell>
          <cell r="P9">
            <v>312</v>
          </cell>
          <cell r="Q9">
            <v>0</v>
          </cell>
          <cell r="R9">
            <v>545620</v>
          </cell>
          <cell r="S9">
            <v>0</v>
          </cell>
        </row>
        <row r="10">
          <cell r="A10">
            <v>212113</v>
          </cell>
          <cell r="B10">
            <v>0</v>
          </cell>
          <cell r="C10">
            <v>0</v>
          </cell>
          <cell r="D10">
            <v>8353</v>
          </cell>
          <cell r="E10">
            <v>0</v>
          </cell>
          <cell r="F10">
            <v>0</v>
          </cell>
          <cell r="G10">
            <v>0</v>
          </cell>
          <cell r="H10">
            <v>812</v>
          </cell>
          <cell r="I10">
            <v>0</v>
          </cell>
          <cell r="J10">
            <v>0</v>
          </cell>
          <cell r="K10">
            <v>0</v>
          </cell>
          <cell r="L10">
            <v>3486</v>
          </cell>
          <cell r="M10">
            <v>0</v>
          </cell>
          <cell r="N10">
            <v>12990</v>
          </cell>
          <cell r="O10">
            <v>0</v>
          </cell>
          <cell r="P10">
            <v>218</v>
          </cell>
          <cell r="Q10">
            <v>0</v>
          </cell>
          <cell r="R10">
            <v>25859</v>
          </cell>
          <cell r="S10">
            <v>0</v>
          </cell>
        </row>
        <row r="11">
          <cell r="A11">
            <v>212210</v>
          </cell>
          <cell r="B11">
            <v>0</v>
          </cell>
          <cell r="C11">
            <v>0</v>
          </cell>
          <cell r="D11">
            <v>111679</v>
          </cell>
          <cell r="E11">
            <v>3888</v>
          </cell>
          <cell r="F11">
            <v>103974</v>
          </cell>
          <cell r="G11">
            <v>0</v>
          </cell>
          <cell r="H11">
            <v>4182</v>
          </cell>
          <cell r="I11">
            <v>0</v>
          </cell>
          <cell r="J11">
            <v>0</v>
          </cell>
          <cell r="K11">
            <v>0</v>
          </cell>
          <cell r="L11">
            <v>0</v>
          </cell>
          <cell r="M11">
            <v>0</v>
          </cell>
          <cell r="N11">
            <v>0</v>
          </cell>
          <cell r="O11">
            <v>0</v>
          </cell>
          <cell r="P11">
            <v>4009</v>
          </cell>
          <cell r="Q11">
            <v>0</v>
          </cell>
          <cell r="R11">
            <v>223844</v>
          </cell>
          <cell r="S11">
            <v>3888</v>
          </cell>
        </row>
        <row r="12">
          <cell r="A12">
            <v>212221</v>
          </cell>
          <cell r="B12">
            <v>17219</v>
          </cell>
          <cell r="C12">
            <v>0</v>
          </cell>
          <cell r="D12">
            <v>326273</v>
          </cell>
          <cell r="E12">
            <v>0</v>
          </cell>
          <cell r="F12">
            <v>69435</v>
          </cell>
          <cell r="G12">
            <v>0</v>
          </cell>
          <cell r="H12">
            <v>19119</v>
          </cell>
          <cell r="I12">
            <v>0</v>
          </cell>
          <cell r="J12">
            <v>10402</v>
          </cell>
          <cell r="K12">
            <v>0</v>
          </cell>
          <cell r="L12">
            <v>0</v>
          </cell>
          <cell r="M12">
            <v>0</v>
          </cell>
          <cell r="N12">
            <v>706634</v>
          </cell>
          <cell r="O12">
            <v>0</v>
          </cell>
          <cell r="P12">
            <v>0</v>
          </cell>
          <cell r="Q12">
            <v>0</v>
          </cell>
          <cell r="R12">
            <v>1149082</v>
          </cell>
          <cell r="S12">
            <v>0</v>
          </cell>
        </row>
        <row r="13">
          <cell r="A13">
            <v>212222</v>
          </cell>
          <cell r="B13">
            <v>0</v>
          </cell>
          <cell r="C13">
            <v>0</v>
          </cell>
          <cell r="D13">
            <v>20323</v>
          </cell>
          <cell r="E13">
            <v>0</v>
          </cell>
          <cell r="F13">
            <v>909</v>
          </cell>
          <cell r="G13">
            <v>0</v>
          </cell>
          <cell r="H13">
            <v>544</v>
          </cell>
          <cell r="I13">
            <v>0</v>
          </cell>
          <cell r="L13">
            <v>0</v>
          </cell>
          <cell r="M13">
            <v>0</v>
          </cell>
          <cell r="N13">
            <v>23196</v>
          </cell>
          <cell r="O13">
            <v>0</v>
          </cell>
          <cell r="P13">
            <v>10</v>
          </cell>
          <cell r="Q13">
            <v>0</v>
          </cell>
          <cell r="R13">
            <v>44982</v>
          </cell>
          <cell r="S13">
            <v>0</v>
          </cell>
        </row>
        <row r="14">
          <cell r="A14">
            <v>212231</v>
          </cell>
          <cell r="D14">
            <v>0</v>
          </cell>
          <cell r="E14">
            <v>0</v>
          </cell>
          <cell r="F14">
            <v>0</v>
          </cell>
          <cell r="G14">
            <v>0</v>
          </cell>
          <cell r="H14">
            <v>0</v>
          </cell>
          <cell r="I14">
            <v>0</v>
          </cell>
          <cell r="J14">
            <v>0</v>
          </cell>
          <cell r="K14">
            <v>0</v>
          </cell>
          <cell r="N14">
            <v>72890</v>
          </cell>
          <cell r="O14">
            <v>0</v>
          </cell>
          <cell r="R14">
            <v>72890</v>
          </cell>
          <cell r="S14">
            <v>0</v>
          </cell>
        </row>
        <row r="15">
          <cell r="A15">
            <v>212234</v>
          </cell>
          <cell r="B15">
            <v>0</v>
          </cell>
          <cell r="C15">
            <v>0</v>
          </cell>
          <cell r="D15">
            <v>347501</v>
          </cell>
          <cell r="E15">
            <v>0</v>
          </cell>
          <cell r="F15">
            <v>0</v>
          </cell>
          <cell r="G15">
            <v>0</v>
          </cell>
          <cell r="H15">
            <v>32115</v>
          </cell>
          <cell r="I15">
            <v>0</v>
          </cell>
          <cell r="J15">
            <v>174</v>
          </cell>
          <cell r="K15">
            <v>0</v>
          </cell>
          <cell r="L15">
            <v>106873</v>
          </cell>
          <cell r="M15">
            <v>0</v>
          </cell>
          <cell r="N15">
            <v>501681</v>
          </cell>
          <cell r="O15">
            <v>0</v>
          </cell>
          <cell r="R15">
            <v>988344</v>
          </cell>
          <cell r="S15">
            <v>0</v>
          </cell>
        </row>
        <row r="16">
          <cell r="A16">
            <v>212291</v>
          </cell>
          <cell r="D16">
            <v>1913</v>
          </cell>
          <cell r="E16">
            <v>0</v>
          </cell>
          <cell r="F16">
            <v>0</v>
          </cell>
          <cell r="G16">
            <v>0</v>
          </cell>
          <cell r="H16">
            <v>1285</v>
          </cell>
          <cell r="I16">
            <v>0</v>
          </cell>
          <cell r="J16">
            <v>264</v>
          </cell>
          <cell r="K16">
            <v>0</v>
          </cell>
          <cell r="N16">
            <v>0</v>
          </cell>
          <cell r="O16">
            <v>0</v>
          </cell>
          <cell r="R16">
            <v>3462</v>
          </cell>
          <cell r="S16">
            <v>0</v>
          </cell>
        </row>
        <row r="17">
          <cell r="A17">
            <v>212299</v>
          </cell>
          <cell r="D17">
            <v>19274</v>
          </cell>
          <cell r="E17">
            <v>0</v>
          </cell>
          <cell r="F17">
            <v>8760</v>
          </cell>
          <cell r="G17">
            <v>0</v>
          </cell>
          <cell r="H17">
            <v>25386</v>
          </cell>
          <cell r="I17">
            <v>0</v>
          </cell>
          <cell r="J17">
            <v>0</v>
          </cell>
          <cell r="K17">
            <v>0</v>
          </cell>
          <cell r="L17">
            <v>9805</v>
          </cell>
          <cell r="M17">
            <v>0</v>
          </cell>
          <cell r="N17">
            <v>0</v>
          </cell>
          <cell r="O17">
            <v>0</v>
          </cell>
          <cell r="P17">
            <v>214</v>
          </cell>
          <cell r="Q17">
            <v>0</v>
          </cell>
          <cell r="R17">
            <v>63439</v>
          </cell>
          <cell r="S17">
            <v>0</v>
          </cell>
        </row>
        <row r="18">
          <cell r="A18">
            <v>212311</v>
          </cell>
          <cell r="D18">
            <v>8287</v>
          </cell>
          <cell r="E18">
            <v>0</v>
          </cell>
          <cell r="F18">
            <v>100</v>
          </cell>
          <cell r="G18">
            <v>0</v>
          </cell>
          <cell r="H18">
            <v>2320</v>
          </cell>
          <cell r="I18">
            <v>0</v>
          </cell>
          <cell r="J18">
            <v>297</v>
          </cell>
          <cell r="K18">
            <v>0</v>
          </cell>
          <cell r="L18">
            <v>3428</v>
          </cell>
          <cell r="M18">
            <v>59</v>
          </cell>
          <cell r="N18">
            <v>15043</v>
          </cell>
          <cell r="O18">
            <v>0</v>
          </cell>
          <cell r="P18">
            <v>611</v>
          </cell>
          <cell r="Q18">
            <v>0</v>
          </cell>
          <cell r="R18">
            <v>30086</v>
          </cell>
          <cell r="S18">
            <v>59</v>
          </cell>
        </row>
        <row r="19">
          <cell r="A19">
            <v>212312</v>
          </cell>
          <cell r="B19">
            <v>0</v>
          </cell>
          <cell r="C19">
            <v>0</v>
          </cell>
          <cell r="D19">
            <v>266054</v>
          </cell>
          <cell r="E19">
            <v>0</v>
          </cell>
          <cell r="F19">
            <v>15136</v>
          </cell>
          <cell r="G19">
            <v>0</v>
          </cell>
          <cell r="H19">
            <v>52669</v>
          </cell>
          <cell r="I19">
            <v>0</v>
          </cell>
          <cell r="J19">
            <v>37196</v>
          </cell>
          <cell r="K19">
            <v>0</v>
          </cell>
          <cell r="L19">
            <v>71761</v>
          </cell>
          <cell r="M19">
            <v>0</v>
          </cell>
          <cell r="N19">
            <v>486914</v>
          </cell>
          <cell r="O19">
            <v>0</v>
          </cell>
          <cell r="P19">
            <v>0</v>
          </cell>
          <cell r="Q19">
            <v>0</v>
          </cell>
          <cell r="R19">
            <v>929730</v>
          </cell>
          <cell r="S19">
            <v>0</v>
          </cell>
        </row>
        <row r="20">
          <cell r="A20">
            <v>212313</v>
          </cell>
          <cell r="B20">
            <v>0</v>
          </cell>
          <cell r="C20">
            <v>0</v>
          </cell>
          <cell r="D20">
            <v>36124</v>
          </cell>
          <cell r="E20">
            <v>0</v>
          </cell>
          <cell r="F20">
            <v>0</v>
          </cell>
          <cell r="G20">
            <v>0</v>
          </cell>
          <cell r="H20">
            <v>6584</v>
          </cell>
          <cell r="I20">
            <v>0</v>
          </cell>
          <cell r="J20">
            <v>3054</v>
          </cell>
          <cell r="K20">
            <v>0</v>
          </cell>
          <cell r="L20">
            <v>0</v>
          </cell>
          <cell r="M20">
            <v>0</v>
          </cell>
          <cell r="N20">
            <v>75953</v>
          </cell>
          <cell r="O20">
            <v>0</v>
          </cell>
          <cell r="P20">
            <v>0</v>
          </cell>
          <cell r="Q20">
            <v>0</v>
          </cell>
          <cell r="R20">
            <v>121715</v>
          </cell>
          <cell r="S20">
            <v>0</v>
          </cell>
        </row>
        <row r="21">
          <cell r="A21">
            <v>212319</v>
          </cell>
          <cell r="B21">
            <v>0</v>
          </cell>
          <cell r="C21">
            <v>0</v>
          </cell>
          <cell r="D21">
            <v>44209</v>
          </cell>
          <cell r="E21">
            <v>0</v>
          </cell>
          <cell r="F21">
            <v>13223</v>
          </cell>
          <cell r="G21">
            <v>0</v>
          </cell>
          <cell r="H21">
            <v>11831</v>
          </cell>
          <cell r="I21">
            <v>0</v>
          </cell>
          <cell r="J21">
            <v>2836</v>
          </cell>
          <cell r="K21">
            <v>0</v>
          </cell>
          <cell r="L21">
            <v>16936</v>
          </cell>
          <cell r="M21">
            <v>0</v>
          </cell>
          <cell r="N21">
            <v>100559</v>
          </cell>
          <cell r="O21">
            <v>0</v>
          </cell>
          <cell r="P21">
            <v>0</v>
          </cell>
          <cell r="Q21">
            <v>0</v>
          </cell>
          <cell r="R21">
            <v>189594</v>
          </cell>
          <cell r="S21">
            <v>0</v>
          </cell>
        </row>
        <row r="22">
          <cell r="A22">
            <v>212321</v>
          </cell>
          <cell r="B22">
            <v>3530</v>
          </cell>
          <cell r="C22">
            <v>0</v>
          </cell>
          <cell r="D22">
            <v>165916</v>
          </cell>
          <cell r="E22">
            <v>0</v>
          </cell>
          <cell r="F22">
            <v>6946</v>
          </cell>
          <cell r="G22">
            <v>0</v>
          </cell>
          <cell r="H22">
            <v>52022</v>
          </cell>
          <cell r="I22">
            <v>0</v>
          </cell>
          <cell r="J22">
            <v>16209</v>
          </cell>
          <cell r="K22">
            <v>0</v>
          </cell>
          <cell r="L22">
            <v>25905</v>
          </cell>
          <cell r="M22">
            <v>0</v>
          </cell>
          <cell r="N22">
            <v>300296</v>
          </cell>
          <cell r="O22">
            <v>0</v>
          </cell>
          <cell r="P22">
            <v>29768</v>
          </cell>
          <cell r="Q22">
            <v>0</v>
          </cell>
          <cell r="R22">
            <v>600592</v>
          </cell>
          <cell r="S22">
            <v>0</v>
          </cell>
        </row>
        <row r="23">
          <cell r="A23">
            <v>212322</v>
          </cell>
          <cell r="B23">
            <v>0</v>
          </cell>
          <cell r="C23">
            <v>0</v>
          </cell>
          <cell r="D23">
            <v>23781</v>
          </cell>
          <cell r="E23">
            <v>0</v>
          </cell>
          <cell r="F23">
            <v>15396</v>
          </cell>
          <cell r="G23">
            <v>0</v>
          </cell>
          <cell r="H23">
            <v>5437</v>
          </cell>
          <cell r="I23">
            <v>0</v>
          </cell>
          <cell r="J23">
            <v>32782</v>
          </cell>
          <cell r="K23">
            <v>0</v>
          </cell>
          <cell r="L23">
            <v>6759</v>
          </cell>
          <cell r="M23">
            <v>0</v>
          </cell>
          <cell r="N23">
            <v>85023</v>
          </cell>
          <cell r="O23">
            <v>0</v>
          </cell>
          <cell r="P23">
            <v>0</v>
          </cell>
          <cell r="Q23">
            <v>0</v>
          </cell>
          <cell r="R23">
            <v>169178</v>
          </cell>
          <cell r="S23">
            <v>0</v>
          </cell>
        </row>
        <row r="24">
          <cell r="A24">
            <v>212324</v>
          </cell>
          <cell r="B24">
            <v>0</v>
          </cell>
          <cell r="C24">
            <v>0</v>
          </cell>
          <cell r="D24">
            <v>0</v>
          </cell>
          <cell r="E24">
            <v>0</v>
          </cell>
          <cell r="F24">
            <v>58011</v>
          </cell>
          <cell r="G24">
            <v>0</v>
          </cell>
          <cell r="H24">
            <v>6177</v>
          </cell>
          <cell r="I24">
            <v>0</v>
          </cell>
          <cell r="J24">
            <v>0</v>
          </cell>
          <cell r="K24">
            <v>0</v>
          </cell>
          <cell r="L24">
            <v>0</v>
          </cell>
          <cell r="M24">
            <v>0</v>
          </cell>
          <cell r="N24">
            <v>78130</v>
          </cell>
          <cell r="O24">
            <v>0</v>
          </cell>
          <cell r="R24">
            <v>142318</v>
          </cell>
          <cell r="S24">
            <v>0</v>
          </cell>
        </row>
        <row r="25">
          <cell r="A25">
            <v>212325</v>
          </cell>
          <cell r="B25">
            <v>5692</v>
          </cell>
          <cell r="C25">
            <v>0</v>
          </cell>
          <cell r="D25">
            <v>9111</v>
          </cell>
          <cell r="E25">
            <v>0</v>
          </cell>
          <cell r="F25">
            <v>21770</v>
          </cell>
          <cell r="G25">
            <v>0</v>
          </cell>
          <cell r="H25">
            <v>1811</v>
          </cell>
          <cell r="I25">
            <v>0</v>
          </cell>
          <cell r="J25">
            <v>272</v>
          </cell>
          <cell r="K25">
            <v>0</v>
          </cell>
          <cell r="L25">
            <v>13576</v>
          </cell>
          <cell r="M25">
            <v>0</v>
          </cell>
          <cell r="N25">
            <v>55778</v>
          </cell>
          <cell r="O25">
            <v>0</v>
          </cell>
          <cell r="P25">
            <v>3546</v>
          </cell>
          <cell r="Q25">
            <v>0</v>
          </cell>
          <cell r="R25">
            <v>111556</v>
          </cell>
          <cell r="S25">
            <v>0</v>
          </cell>
        </row>
        <row r="26">
          <cell r="A26">
            <v>212391</v>
          </cell>
          <cell r="B26">
            <v>0</v>
          </cell>
          <cell r="C26">
            <v>0</v>
          </cell>
          <cell r="D26">
            <v>9231</v>
          </cell>
          <cell r="E26">
            <v>0</v>
          </cell>
          <cell r="F26">
            <v>150020</v>
          </cell>
          <cell r="G26">
            <v>0</v>
          </cell>
          <cell r="H26">
            <v>2955</v>
          </cell>
          <cell r="I26">
            <v>0</v>
          </cell>
          <cell r="L26">
            <v>0</v>
          </cell>
          <cell r="M26">
            <v>0</v>
          </cell>
          <cell r="N26">
            <v>224861</v>
          </cell>
          <cell r="O26">
            <v>0</v>
          </cell>
          <cell r="P26">
            <v>580</v>
          </cell>
          <cell r="Q26">
            <v>0</v>
          </cell>
          <cell r="R26">
            <v>387647</v>
          </cell>
          <cell r="S26">
            <v>0</v>
          </cell>
        </row>
        <row r="27">
          <cell r="A27">
            <v>212392</v>
          </cell>
          <cell r="B27">
            <v>0</v>
          </cell>
          <cell r="C27">
            <v>0</v>
          </cell>
          <cell r="D27">
            <v>35424</v>
          </cell>
          <cell r="E27">
            <v>0</v>
          </cell>
          <cell r="F27">
            <v>0</v>
          </cell>
          <cell r="G27">
            <v>0</v>
          </cell>
          <cell r="H27">
            <v>0</v>
          </cell>
          <cell r="I27">
            <v>0</v>
          </cell>
          <cell r="L27">
            <v>0</v>
          </cell>
          <cell r="M27">
            <v>0</v>
          </cell>
          <cell r="N27">
            <v>43495</v>
          </cell>
          <cell r="O27">
            <v>0</v>
          </cell>
          <cell r="R27">
            <v>78919</v>
          </cell>
          <cell r="S27">
            <v>0</v>
          </cell>
        </row>
        <row r="28">
          <cell r="A28">
            <v>212393</v>
          </cell>
          <cell r="D28">
            <v>8813</v>
          </cell>
          <cell r="E28">
            <v>0</v>
          </cell>
          <cell r="F28">
            <v>1764</v>
          </cell>
          <cell r="G28">
            <v>0</v>
          </cell>
          <cell r="H28">
            <v>3074</v>
          </cell>
          <cell r="I28">
            <v>0</v>
          </cell>
          <cell r="J28">
            <v>0</v>
          </cell>
          <cell r="K28">
            <v>0</v>
          </cell>
          <cell r="L28">
            <v>0</v>
          </cell>
          <cell r="M28">
            <v>0</v>
          </cell>
          <cell r="N28">
            <v>14433</v>
          </cell>
          <cell r="O28">
            <v>0</v>
          </cell>
          <cell r="P28">
            <v>172</v>
          </cell>
          <cell r="Q28">
            <v>0</v>
          </cell>
          <cell r="R28">
            <v>28256</v>
          </cell>
          <cell r="S28">
            <v>0</v>
          </cell>
        </row>
        <row r="29">
          <cell r="A29">
            <v>212399</v>
          </cell>
          <cell r="B29">
            <v>606</v>
          </cell>
          <cell r="C29">
            <v>0</v>
          </cell>
          <cell r="D29">
            <v>15712</v>
          </cell>
          <cell r="E29">
            <v>0</v>
          </cell>
          <cell r="F29">
            <v>12032</v>
          </cell>
          <cell r="G29">
            <v>0</v>
          </cell>
          <cell r="H29">
            <v>4211</v>
          </cell>
          <cell r="I29">
            <v>0</v>
          </cell>
          <cell r="J29">
            <v>440</v>
          </cell>
          <cell r="K29">
            <v>0</v>
          </cell>
          <cell r="L29">
            <v>3776</v>
          </cell>
          <cell r="M29">
            <v>0</v>
          </cell>
          <cell r="N29">
            <v>38649</v>
          </cell>
          <cell r="O29">
            <v>0</v>
          </cell>
          <cell r="P29">
            <v>1872</v>
          </cell>
          <cell r="Q29">
            <v>0</v>
          </cell>
          <cell r="R29">
            <v>77298</v>
          </cell>
          <cell r="S29">
            <v>0</v>
          </cell>
        </row>
        <row r="30">
          <cell r="A30">
            <v>213111</v>
          </cell>
          <cell r="B30">
            <v>0</v>
          </cell>
          <cell r="C30">
            <v>0</v>
          </cell>
          <cell r="D30">
            <v>292092</v>
          </cell>
          <cell r="E30">
            <v>0</v>
          </cell>
          <cell r="F30">
            <v>0</v>
          </cell>
          <cell r="G30">
            <v>0</v>
          </cell>
          <cell r="H30">
            <v>195661</v>
          </cell>
          <cell r="I30">
            <v>0</v>
          </cell>
          <cell r="J30">
            <v>8258</v>
          </cell>
          <cell r="K30">
            <v>0</v>
          </cell>
          <cell r="L30">
            <v>125574</v>
          </cell>
          <cell r="M30">
            <v>0</v>
          </cell>
          <cell r="N30">
            <v>638484</v>
          </cell>
          <cell r="O30">
            <v>0</v>
          </cell>
          <cell r="P30">
            <v>0</v>
          </cell>
          <cell r="Q30">
            <v>0</v>
          </cell>
          <cell r="R30">
            <v>1260069</v>
          </cell>
          <cell r="S30">
            <v>0</v>
          </cell>
        </row>
        <row r="31">
          <cell r="A31">
            <v>213112</v>
          </cell>
          <cell r="B31">
            <v>1377</v>
          </cell>
          <cell r="C31">
            <v>0</v>
          </cell>
          <cell r="D31">
            <v>700716</v>
          </cell>
          <cell r="E31">
            <v>0</v>
          </cell>
          <cell r="F31">
            <v>84702</v>
          </cell>
          <cell r="G31">
            <v>0</v>
          </cell>
          <cell r="H31">
            <v>635349</v>
          </cell>
          <cell r="I31">
            <v>0</v>
          </cell>
          <cell r="J31">
            <v>15334</v>
          </cell>
          <cell r="K31">
            <v>0</v>
          </cell>
          <cell r="L31">
            <v>425421</v>
          </cell>
          <cell r="M31">
            <v>0</v>
          </cell>
          <cell r="N31">
            <v>1867120</v>
          </cell>
          <cell r="O31">
            <v>0</v>
          </cell>
          <cell r="P31">
            <v>4221</v>
          </cell>
          <cell r="Q31">
            <v>0</v>
          </cell>
          <cell r="R31">
            <v>3734240</v>
          </cell>
          <cell r="S31">
            <v>0</v>
          </cell>
        </row>
        <row r="32">
          <cell r="A32">
            <v>213113</v>
          </cell>
          <cell r="B32">
            <v>1155</v>
          </cell>
          <cell r="C32">
            <v>0</v>
          </cell>
          <cell r="D32">
            <v>61063</v>
          </cell>
          <cell r="E32">
            <v>0</v>
          </cell>
          <cell r="F32">
            <v>345</v>
          </cell>
          <cell r="G32">
            <v>0</v>
          </cell>
          <cell r="H32">
            <v>20498</v>
          </cell>
          <cell r="I32">
            <v>0</v>
          </cell>
          <cell r="J32">
            <v>933</v>
          </cell>
          <cell r="K32">
            <v>0</v>
          </cell>
          <cell r="L32">
            <v>19995</v>
          </cell>
          <cell r="M32">
            <v>0</v>
          </cell>
          <cell r="N32">
            <v>106982</v>
          </cell>
          <cell r="O32">
            <v>0</v>
          </cell>
          <cell r="P32">
            <v>2993</v>
          </cell>
          <cell r="Q32">
            <v>0</v>
          </cell>
          <cell r="R32">
            <v>213964</v>
          </cell>
          <cell r="S32">
            <v>0</v>
          </cell>
        </row>
        <row r="33">
          <cell r="A33">
            <v>213114</v>
          </cell>
          <cell r="D33">
            <v>16878</v>
          </cell>
          <cell r="E33">
            <v>0</v>
          </cell>
          <cell r="F33">
            <v>1049</v>
          </cell>
          <cell r="G33">
            <v>0</v>
          </cell>
          <cell r="H33">
            <v>8402</v>
          </cell>
          <cell r="I33">
            <v>0</v>
          </cell>
          <cell r="J33">
            <v>0</v>
          </cell>
          <cell r="K33">
            <v>0</v>
          </cell>
          <cell r="L33">
            <v>3639</v>
          </cell>
          <cell r="M33">
            <v>0</v>
          </cell>
          <cell r="N33">
            <v>34393</v>
          </cell>
          <cell r="O33">
            <v>0</v>
          </cell>
          <cell r="P33">
            <v>0</v>
          </cell>
          <cell r="Q33">
            <v>0</v>
          </cell>
          <cell r="R33">
            <v>64361</v>
          </cell>
          <cell r="S33">
            <v>0</v>
          </cell>
        </row>
        <row r="34">
          <cell r="A34">
            <v>213115</v>
          </cell>
          <cell r="D34">
            <v>24170</v>
          </cell>
          <cell r="E34">
            <v>0</v>
          </cell>
          <cell r="F34">
            <v>0</v>
          </cell>
          <cell r="G34">
            <v>0</v>
          </cell>
          <cell r="H34">
            <v>9996</v>
          </cell>
          <cell r="I34">
            <v>0</v>
          </cell>
          <cell r="J34">
            <v>57</v>
          </cell>
          <cell r="K34">
            <v>0</v>
          </cell>
          <cell r="L34">
            <v>4178</v>
          </cell>
          <cell r="M34">
            <v>0</v>
          </cell>
          <cell r="N34">
            <v>47458</v>
          </cell>
          <cell r="O34">
            <v>0</v>
          </cell>
          <cell r="P34">
            <v>0</v>
          </cell>
          <cell r="Q34">
            <v>0</v>
          </cell>
          <cell r="R34">
            <v>85859</v>
          </cell>
          <cell r="S34">
            <v>0</v>
          </cell>
        </row>
        <row r="35">
          <cell r="A35" t="str">
            <v>Grand Total</v>
          </cell>
          <cell r="B35">
            <v>32565</v>
          </cell>
          <cell r="C35">
            <v>0</v>
          </cell>
          <cell r="D35">
            <v>4690055</v>
          </cell>
          <cell r="E35">
            <v>3888</v>
          </cell>
          <cell r="F35">
            <v>1246490</v>
          </cell>
          <cell r="G35">
            <v>0</v>
          </cell>
          <cell r="H35">
            <v>1588091</v>
          </cell>
          <cell r="I35">
            <v>0</v>
          </cell>
          <cell r="J35">
            <v>185845</v>
          </cell>
          <cell r="K35">
            <v>0</v>
          </cell>
          <cell r="L35">
            <v>1474544</v>
          </cell>
          <cell r="M35">
            <v>59</v>
          </cell>
          <cell r="N35">
            <v>9692856</v>
          </cell>
          <cell r="O35">
            <v>0</v>
          </cell>
          <cell r="P35">
            <v>53393</v>
          </cell>
          <cell r="Q35">
            <v>0</v>
          </cell>
          <cell r="R35">
            <v>18963839</v>
          </cell>
          <cell r="S35">
            <v>3947</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FOS"/>
    </sheetNames>
    <sheetDataSet>
      <sheetData sheetId="0">
        <row r="6">
          <cell r="AD6">
            <v>45.786999999999999</v>
          </cell>
        </row>
        <row r="7">
          <cell r="AD7">
            <v>2.25</v>
          </cell>
        </row>
        <row r="8">
          <cell r="AD8">
            <v>19.489000000000001</v>
          </cell>
        </row>
        <row r="9">
          <cell r="AD9">
            <v>1.8240000000000001</v>
          </cell>
        </row>
        <row r="10">
          <cell r="AD10">
            <v>93.287000000000006</v>
          </cell>
        </row>
        <row r="11">
          <cell r="AD11">
            <v>180.40899999999999</v>
          </cell>
        </row>
        <row r="12">
          <cell r="AD12">
            <v>21.308</v>
          </cell>
        </row>
        <row r="13">
          <cell r="AD13">
            <v>101.361</v>
          </cell>
        </row>
        <row r="14">
          <cell r="AD14">
            <v>85.91</v>
          </cell>
        </row>
        <row r="15">
          <cell r="AD15">
            <v>131.37700000000001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CN_2012_US_21SG1_with_ann"/>
    </sheetNames>
    <sheetDataSet>
      <sheetData sheetId="0">
        <row r="8">
          <cell r="D8">
            <v>34084869</v>
          </cell>
        </row>
        <row r="9">
          <cell r="D9">
            <v>3148294</v>
          </cell>
        </row>
        <row r="10">
          <cell r="D10">
            <v>3891986</v>
          </cell>
        </row>
        <row r="11">
          <cell r="D11">
            <v>8030068</v>
          </cell>
        </row>
        <row r="12">
          <cell r="D12">
            <v>97159</v>
          </cell>
        </row>
        <row r="14">
          <cell r="D14">
            <v>7154628</v>
          </cell>
        </row>
        <row r="15">
          <cell r="D15">
            <v>321784</v>
          </cell>
        </row>
        <row r="16">
          <cell r="D16">
            <v>889520</v>
          </cell>
        </row>
        <row r="17">
          <cell r="D17">
            <v>5246712</v>
          </cell>
        </row>
        <row r="19">
          <cell r="D19">
            <v>1139514</v>
          </cell>
        </row>
        <row r="20">
          <cell r="D20">
            <v>61809</v>
          </cell>
        </row>
        <row r="21">
          <cell r="D21">
            <v>2947122</v>
          </cell>
        </row>
        <row r="22">
          <cell r="D22">
            <v>545497</v>
          </cell>
        </row>
        <row r="23">
          <cell r="D23">
            <v>422024</v>
          </cell>
        </row>
        <row r="24">
          <cell r="D24">
            <v>1152430</v>
          </cell>
        </row>
        <row r="25">
          <cell r="D25">
            <v>773231</v>
          </cell>
        </row>
        <row r="26">
          <cell r="D26">
            <v>753513</v>
          </cell>
        </row>
        <row r="27">
          <cell r="D27">
            <v>369722</v>
          </cell>
        </row>
        <row r="28">
          <cell r="D28">
            <v>1458575</v>
          </cell>
        </row>
        <row r="29">
          <cell r="D29">
            <v>0</v>
          </cell>
        </row>
        <row r="30">
          <cell r="D30">
            <v>0</v>
          </cell>
        </row>
        <row r="31">
          <cell r="D31">
            <v>0</v>
          </cell>
        </row>
        <row r="32">
          <cell r="D32">
            <v>277362</v>
          </cell>
        </row>
        <row r="33">
          <cell r="D33">
            <v>1320367</v>
          </cell>
        </row>
        <row r="34">
          <cell r="D34">
            <v>157711</v>
          </cell>
        </row>
        <row r="35">
          <cell r="D35">
            <v>105493</v>
          </cell>
        </row>
        <row r="36">
          <cell r="D36">
            <v>34268</v>
          </cell>
        </row>
      </sheetData>
      <sheetData sheetId="1">
        <row r="11">
          <cell r="H11">
            <v>21</v>
          </cell>
          <cell r="L11">
            <v>6021</v>
          </cell>
        </row>
        <row r="27">
          <cell r="H27">
            <v>11</v>
          </cell>
          <cell r="L27">
            <v>2510</v>
          </cell>
        </row>
        <row r="28">
          <cell r="H28">
            <v>28</v>
          </cell>
          <cell r="L28">
            <v>1873</v>
          </cell>
        </row>
        <row r="29">
          <cell r="H29">
            <v>171</v>
          </cell>
          <cell r="L29">
            <v>2790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table"/>
      <sheetName val="ECN_2012_US_21SM1_with_ann"/>
    </sheetNames>
    <sheetDataSet>
      <sheetData sheetId="0"/>
      <sheetData sheetId="1">
        <row r="11">
          <cell r="L11">
            <v>558505</v>
          </cell>
        </row>
        <row r="14">
          <cell r="L14">
            <v>325708</v>
          </cell>
        </row>
        <row r="15">
          <cell r="L15">
            <v>743744</v>
          </cell>
        </row>
        <row r="16">
          <cell r="L16">
            <v>88565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ind10"/>
      <sheetName val="Sheet4_pivot1"/>
      <sheetName val="Output_2005"/>
      <sheetName val="Piv_table_from_ind14 data (2016"/>
      <sheetName val="ind14_data_from_BLS"/>
      <sheetName val="Nonmanufacturing_BLS"/>
      <sheetName val="Sheet2"/>
      <sheetName val="NAICS_3D_pivot2"/>
      <sheetName val="Stubs"/>
      <sheetName val="ip_sa"/>
      <sheetName val="Indicators_NonMan_2018_BEA"/>
      <sheetName val="Indicators_Data_2011_update"/>
      <sheetName val="Compare_311a"/>
      <sheetName val="Compare_311"/>
      <sheetName val="Compare_313"/>
      <sheetName val="Compare_313a"/>
      <sheetName val="Compare_315"/>
      <sheetName val="Compare_321"/>
      <sheetName val="Compare_322"/>
      <sheetName val="Compare_323"/>
      <sheetName val="Compare_324"/>
      <sheetName val="Compare_325"/>
      <sheetName val="Compare_326"/>
      <sheetName val="Compare_327"/>
      <sheetName val="Compare_331"/>
      <sheetName val="Compare_332"/>
      <sheetName val="Compare_333"/>
      <sheetName val="Compare_334"/>
      <sheetName val="Compare_335"/>
      <sheetName val="Compare_336"/>
      <sheetName val="Compare_337"/>
      <sheetName val="Compare_339"/>
      <sheetName val="Compare_211"/>
      <sheetName val="Compare_212"/>
      <sheetName val="Compare_213"/>
      <sheetName val="Compare_Construction"/>
      <sheetName val="Compare_Farms"/>
      <sheetName val="Indicators_Data_revised_old"/>
      <sheetName val="Indicators_Data_revised"/>
    </sheetNames>
    <sheetDataSet>
      <sheetData sheetId="0"/>
      <sheetData sheetId="1"/>
      <sheetData sheetId="2"/>
      <sheetData sheetId="3"/>
      <sheetData sheetId="4"/>
      <sheetData sheetId="5"/>
      <sheetData sheetId="6"/>
      <sheetData sheetId="7"/>
      <sheetData sheetId="8"/>
      <sheetData sheetId="9"/>
      <sheetData sheetId="10"/>
      <sheetData sheetId="11">
        <row r="5">
          <cell r="I5">
            <v>286934.34858000005</v>
          </cell>
          <cell r="U5">
            <v>344533.53800000006</v>
          </cell>
        </row>
        <row r="6">
          <cell r="I6">
            <v>273389.72408000001</v>
          </cell>
          <cell r="U6">
            <v>329096.96418000001</v>
          </cell>
        </row>
        <row r="7">
          <cell r="I7">
            <v>278014.63030000002</v>
          </cell>
          <cell r="U7">
            <v>333327.00228000002</v>
          </cell>
        </row>
        <row r="8">
          <cell r="I8">
            <v>284035.26074</v>
          </cell>
          <cell r="U8">
            <v>348714.53218000004</v>
          </cell>
        </row>
        <row r="9">
          <cell r="I9">
            <v>234851.2309</v>
          </cell>
          <cell r="U9">
            <v>361380.12452000001</v>
          </cell>
        </row>
        <row r="10">
          <cell r="I10">
            <v>204992.06134000001</v>
          </cell>
          <cell r="U10">
            <v>348469.31258000003</v>
          </cell>
        </row>
        <row r="11">
          <cell r="I11">
            <v>208124.36788000001</v>
          </cell>
          <cell r="U11">
            <v>355733.94322999998</v>
          </cell>
        </row>
        <row r="12">
          <cell r="I12">
            <v>212928.67309999999</v>
          </cell>
          <cell r="U12">
            <v>366725.9118</v>
          </cell>
        </row>
        <row r="13">
          <cell r="I13">
            <v>214945.11786</v>
          </cell>
          <cell r="U13">
            <v>381347.13045</v>
          </cell>
        </row>
        <row r="14">
          <cell r="I14">
            <v>179703.97830000002</v>
          </cell>
          <cell r="U14">
            <v>395962.21861000004</v>
          </cell>
        </row>
        <row r="15">
          <cell r="I15">
            <v>178527.12086</v>
          </cell>
          <cell r="U15">
            <v>410859.30931000004</v>
          </cell>
        </row>
        <row r="16">
          <cell r="I16">
            <v>163425.31304000001</v>
          </cell>
          <cell r="U16">
            <v>416756.84068999998</v>
          </cell>
        </row>
        <row r="17">
          <cell r="I17">
            <v>155137.07924000002</v>
          </cell>
          <cell r="U17">
            <v>386171.82607999997</v>
          </cell>
        </row>
        <row r="18">
          <cell r="I18">
            <v>153526.07622000002</v>
          </cell>
          <cell r="U18">
            <v>366266.12504999997</v>
          </cell>
        </row>
        <row r="19">
          <cell r="I19">
            <v>168312.14180000001</v>
          </cell>
          <cell r="U19">
            <v>400284.21405999997</v>
          </cell>
        </row>
        <row r="20">
          <cell r="I20">
            <v>183205.84677999999</v>
          </cell>
          <cell r="U20">
            <v>389408.72480000003</v>
          </cell>
        </row>
        <row r="21">
          <cell r="I21">
            <v>205404.67903999999</v>
          </cell>
          <cell r="U21">
            <v>354765.32581000001</v>
          </cell>
        </row>
        <row r="22">
          <cell r="I22">
            <v>208928.0754</v>
          </cell>
          <cell r="U22">
            <v>356843.56192000001</v>
          </cell>
        </row>
        <row r="23">
          <cell r="I23">
            <v>235758.98984000002</v>
          </cell>
          <cell r="U23">
            <v>378202.18907999998</v>
          </cell>
        </row>
        <row r="24">
          <cell r="I24">
            <v>224008.35533999998</v>
          </cell>
          <cell r="U24">
            <v>366229.34210999997</v>
          </cell>
        </row>
        <row r="25">
          <cell r="I25">
            <v>223305.11126000003</v>
          </cell>
          <cell r="U25">
            <v>380635.99361</v>
          </cell>
        </row>
        <row r="26">
          <cell r="I26">
            <v>231962.90700000004</v>
          </cell>
          <cell r="U26">
            <v>390481.56054999999</v>
          </cell>
        </row>
        <row r="27">
          <cell r="I27">
            <v>222024.20240000004</v>
          </cell>
          <cell r="U27">
            <v>375247.2929</v>
          </cell>
        </row>
        <row r="28">
          <cell r="I28">
            <v>235360.72406000001</v>
          </cell>
          <cell r="U28">
            <v>381935.65749000001</v>
          </cell>
        </row>
        <row r="29">
          <cell r="I29">
            <v>258406.31959999999</v>
          </cell>
          <cell r="U29">
            <v>389237.07107999997</v>
          </cell>
        </row>
        <row r="30">
          <cell r="I30">
            <v>266475.68661999999</v>
          </cell>
          <cell r="U30">
            <v>385393.25384999998</v>
          </cell>
        </row>
        <row r="31">
          <cell r="I31">
            <v>251542.51386000001</v>
          </cell>
          <cell r="U31">
            <v>397188.31660999998</v>
          </cell>
        </row>
        <row r="32">
          <cell r="I32">
            <v>263964.10062000004</v>
          </cell>
          <cell r="U32">
            <v>416143.79168999998</v>
          </cell>
        </row>
        <row r="33">
          <cell r="I33">
            <v>274623.98920000001</v>
          </cell>
          <cell r="U33">
            <v>413550.59442000004</v>
          </cell>
        </row>
        <row r="34">
          <cell r="I34">
            <v>266346.51934</v>
          </cell>
          <cell r="U34">
            <v>394306.98631000007</v>
          </cell>
        </row>
        <row r="35">
          <cell r="I35">
            <v>236200.31138</v>
          </cell>
          <cell r="U35">
            <v>414292.38371000002</v>
          </cell>
        </row>
        <row r="36">
          <cell r="I36">
            <v>273325.14043999999</v>
          </cell>
          <cell r="U36">
            <v>440812.88345000002</v>
          </cell>
        </row>
        <row r="37">
          <cell r="I37">
            <v>280554.92014</v>
          </cell>
          <cell r="U37">
            <v>409578.03690000006</v>
          </cell>
        </row>
        <row r="38">
          <cell r="I38">
            <v>248435.32318000001</v>
          </cell>
          <cell r="U38">
            <v>418001.33015999995</v>
          </cell>
        </row>
        <row r="39">
          <cell r="I39">
            <v>249877.69114000001</v>
          </cell>
          <cell r="U39">
            <v>427785.59220000001</v>
          </cell>
        </row>
        <row r="40">
          <cell r="I40">
            <v>254061.27581999998</v>
          </cell>
          <cell r="U40">
            <v>450443.88324</v>
          </cell>
        </row>
        <row r="41">
          <cell r="I41">
            <v>293062.61842000001</v>
          </cell>
          <cell r="U41">
            <v>481782.94812000002</v>
          </cell>
        </row>
        <row r="42">
          <cell r="I42">
            <v>315652.5405</v>
          </cell>
          <cell r="U42">
            <v>486576.99130000005</v>
          </cell>
        </row>
        <row r="43">
          <cell r="I43">
            <v>305545.20084</v>
          </cell>
          <cell r="U43">
            <v>511620.04295000003</v>
          </cell>
        </row>
        <row r="44">
          <cell r="I44">
            <v>350402.12680000003</v>
          </cell>
          <cell r="U44">
            <v>491775.64682000002</v>
          </cell>
        </row>
        <row r="45">
          <cell r="I45">
            <v>309258.76013999997</v>
          </cell>
          <cell r="U45">
            <v>509854.46182999999</v>
          </cell>
        </row>
        <row r="46">
          <cell r="I46">
            <v>320758.23603999999</v>
          </cell>
          <cell r="U46">
            <v>558922.90379000001</v>
          </cell>
        </row>
        <row r="47">
          <cell r="I47">
            <v>358798</v>
          </cell>
          <cell r="U47">
            <v>613049</v>
          </cell>
        </row>
        <row r="48">
          <cell r="I48">
            <v>372927.46524000005</v>
          </cell>
          <cell r="U48">
            <v>640954.99048000004</v>
          </cell>
        </row>
        <row r="49">
          <cell r="I49">
            <v>413808.90935999999</v>
          </cell>
          <cell r="U49">
            <v>725623.18787000002</v>
          </cell>
        </row>
        <row r="50">
          <cell r="I50">
            <v>448791.71435999998</v>
          </cell>
          <cell r="U50">
            <v>674151.59383000003</v>
          </cell>
        </row>
        <row r="51">
          <cell r="I51">
            <v>422832.67905999999</v>
          </cell>
          <cell r="U51">
            <v>562123.01957</v>
          </cell>
        </row>
        <row r="52">
          <cell r="I52">
            <v>453072.17450000002</v>
          </cell>
          <cell r="U52">
            <v>629822.02064</v>
          </cell>
        </row>
        <row r="53">
          <cell r="I53">
            <v>467904.88381999999</v>
          </cell>
          <cell r="U53">
            <v>709782.0017100001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10"/>
      <sheetName val="Sheet4_pivot1"/>
      <sheetName val="Output_2005"/>
      <sheetName val="Nonmanufacturing"/>
      <sheetName val="NAICS_3D_pivot2"/>
      <sheetName val="Stubs"/>
      <sheetName val="ip_sa"/>
      <sheetName val="Indicators_Data"/>
      <sheetName val="Compare_311a"/>
      <sheetName val="Compare_311"/>
      <sheetName val="Compare_313"/>
      <sheetName val="Compare_313a"/>
      <sheetName val="Compare_315"/>
      <sheetName val="Compare_321"/>
      <sheetName val="Compare_322"/>
      <sheetName val="Compare_323"/>
      <sheetName val="Compare_324"/>
      <sheetName val="Compare_325"/>
      <sheetName val="Compare_326"/>
      <sheetName val="Compare_327"/>
      <sheetName val="Compare_331"/>
      <sheetName val="Compare_332"/>
      <sheetName val="Compare_333"/>
      <sheetName val="Compare_334"/>
      <sheetName val="Compare_335"/>
      <sheetName val="Compare_336"/>
      <sheetName val="Compare_337"/>
      <sheetName val="Compare_339"/>
      <sheetName val="Compare_211"/>
      <sheetName val="Compare_212"/>
      <sheetName val="Compare_213"/>
      <sheetName val="Compare_Construction"/>
      <sheetName val="Compare_Farms"/>
      <sheetName val="Indicators_Data_revised"/>
    </sheetNames>
    <sheetDataSet>
      <sheetData sheetId="0" refreshError="1"/>
      <sheetData sheetId="1" refreshError="1"/>
      <sheetData sheetId="2">
        <row r="8">
          <cell r="A8" t="str">
            <v>Oil and gas extraction</v>
          </cell>
          <cell r="B8">
            <v>211</v>
          </cell>
          <cell r="D8">
            <v>7</v>
          </cell>
        </row>
        <row r="9">
          <cell r="A9" t="str">
            <v>Coal mining</v>
          </cell>
          <cell r="B9">
            <v>2121</v>
          </cell>
          <cell r="D9">
            <v>8</v>
          </cell>
        </row>
        <row r="10">
          <cell r="A10" t="str">
            <v>Metal ore mining</v>
          </cell>
          <cell r="B10">
            <v>2122</v>
          </cell>
          <cell r="D10">
            <v>9</v>
          </cell>
        </row>
        <row r="11">
          <cell r="A11" t="str">
            <v>Nonmetallic mineral mining and quarrying</v>
          </cell>
          <cell r="B11">
            <v>2123</v>
          </cell>
          <cell r="D11">
            <v>10</v>
          </cell>
        </row>
        <row r="12">
          <cell r="A12" t="str">
            <v>Support activities for mining</v>
          </cell>
          <cell r="B12">
            <v>213</v>
          </cell>
          <cell r="D12">
            <v>11</v>
          </cell>
        </row>
      </sheetData>
      <sheetData sheetId="3" refreshError="1"/>
      <sheetData sheetId="4" refreshError="1"/>
      <sheetData sheetId="5" refreshError="1"/>
      <sheetData sheetId="6" refreshError="1"/>
      <sheetData sheetId="7">
        <row r="5">
          <cell r="AR5">
            <v>34495.346340000004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2">
          <cell r="AZ2">
            <v>339544.86719908594</v>
          </cell>
        </row>
      </sheetData>
      <sheetData sheetId="29">
        <row r="2">
          <cell r="AZ2">
            <v>45531.886494143415</v>
          </cell>
        </row>
      </sheetData>
      <sheetData sheetId="30">
        <row r="2">
          <cell r="AZ2">
            <v>9039.8751240229267</v>
          </cell>
        </row>
      </sheetData>
      <sheetData sheetId="31">
        <row r="2">
          <cell r="AZ2">
            <v>830154.80721638026</v>
          </cell>
        </row>
      </sheetData>
      <sheetData sheetId="32">
        <row r="2">
          <cell r="AZ2">
            <v>138640.07671470649</v>
          </cell>
        </row>
      </sheetData>
      <sheetData sheetId="3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18"/>
    </sheetNames>
    <sheetDataSet>
      <sheetData sheetId="0">
        <row r="21">
          <cell r="C21">
            <v>309991.3</v>
          </cell>
          <cell r="D21">
            <v>309749.2</v>
          </cell>
          <cell r="E21">
            <v>302494.59999999998</v>
          </cell>
          <cell r="F21">
            <v>285147.7</v>
          </cell>
          <cell r="G21">
            <v>287641.40000000002</v>
          </cell>
          <cell r="H21">
            <v>293324.3</v>
          </cell>
          <cell r="I21">
            <v>296484.8</v>
          </cell>
          <cell r="J21">
            <v>290227.90000000002</v>
          </cell>
          <cell r="K21">
            <v>283580.5</v>
          </cell>
          <cell r="L21">
            <v>275395.8</v>
          </cell>
          <cell r="M21">
            <v>261998.7</v>
          </cell>
          <cell r="N21">
            <v>256619</v>
          </cell>
          <cell r="O21">
            <v>273724.59999999998</v>
          </cell>
          <cell r="P21">
            <v>273362.8</v>
          </cell>
          <cell r="Q21">
            <v>265565.2</v>
          </cell>
          <cell r="R21">
            <v>271811.09999999998</v>
          </cell>
          <cell r="S21">
            <v>277201</v>
          </cell>
          <cell r="T21">
            <v>263837.90000000002</v>
          </cell>
          <cell r="U21">
            <v>267884.3</v>
          </cell>
          <cell r="V21">
            <v>275220.09999999998</v>
          </cell>
          <cell r="W21">
            <v>267824.2</v>
          </cell>
          <cell r="X21">
            <v>265507.8</v>
          </cell>
          <cell r="Y21">
            <v>265105.8</v>
          </cell>
          <cell r="Z21">
            <v>271588.7</v>
          </cell>
          <cell r="AA21">
            <v>270205.59999999998</v>
          </cell>
          <cell r="AB21">
            <v>288357.2</v>
          </cell>
          <cell r="AC21">
            <v>286848</v>
          </cell>
          <cell r="AD21">
            <v>270358</v>
          </cell>
          <cell r="AE21">
            <v>266174</v>
          </cell>
          <cell r="AF21">
            <v>272008.2</v>
          </cell>
          <cell r="AG21">
            <v>265291.09999999998</v>
          </cell>
          <cell r="AH21">
            <v>256829.1</v>
          </cell>
          <cell r="AI21">
            <v>234846</v>
          </cell>
          <cell r="AJ21">
            <v>226629</v>
          </cell>
          <cell r="AK21">
            <v>236568.1</v>
          </cell>
          <cell r="AL21">
            <v>244748.79999999999</v>
          </cell>
          <cell r="AM21">
            <v>260214.8</v>
          </cell>
          <cell r="AN21">
            <v>278010.40000000002</v>
          </cell>
          <cell r="AO21">
            <v>296416.8</v>
          </cell>
          <cell r="AP21">
            <v>341802.4</v>
          </cell>
          <cell r="AQ21">
            <v>362651</v>
          </cell>
          <cell r="AR21">
            <v>365585.4</v>
          </cell>
          <cell r="AS21">
            <v>395206.2</v>
          </cell>
          <cell r="AT21">
            <v>409657.3</v>
          </cell>
          <cell r="AU21">
            <v>387770.2</v>
          </cell>
          <cell r="AV21">
            <v>433056.5</v>
          </cell>
          <cell r="AW21">
            <v>466007.4</v>
          </cell>
        </row>
        <row r="24">
          <cell r="C24">
            <v>26254.7</v>
          </cell>
          <cell r="D24">
            <v>27935</v>
          </cell>
          <cell r="E24">
            <v>29955</v>
          </cell>
          <cell r="F24">
            <v>30547.599999999999</v>
          </cell>
          <cell r="G24">
            <v>30807.3</v>
          </cell>
          <cell r="H24">
            <v>31221.9</v>
          </cell>
          <cell r="I24">
            <v>30922.9</v>
          </cell>
          <cell r="J24">
            <v>36961.5</v>
          </cell>
          <cell r="K24">
            <v>40121.300000000003</v>
          </cell>
          <cell r="L24">
            <v>39546.800000000003</v>
          </cell>
          <cell r="M24">
            <v>36781.1</v>
          </cell>
          <cell r="N24">
            <v>36144.400000000001</v>
          </cell>
          <cell r="O24">
            <v>41794.5</v>
          </cell>
          <cell r="P24">
            <v>39784.9</v>
          </cell>
          <cell r="Q24">
            <v>39861.300000000003</v>
          </cell>
          <cell r="R24">
            <v>39160.9</v>
          </cell>
          <cell r="S24">
            <v>42907.9</v>
          </cell>
          <cell r="T24">
            <v>43378.3</v>
          </cell>
          <cell r="U24">
            <v>45954.8</v>
          </cell>
          <cell r="V24">
            <v>47600.9</v>
          </cell>
          <cell r="W24">
            <v>46454.1</v>
          </cell>
          <cell r="X24">
            <v>43899.4</v>
          </cell>
          <cell r="Y24">
            <v>48470.7</v>
          </cell>
          <cell r="Z24">
            <v>46743.7</v>
          </cell>
          <cell r="AA24">
            <v>48546.7</v>
          </cell>
          <cell r="AB24">
            <v>50852</v>
          </cell>
          <cell r="AC24">
            <v>51075.3</v>
          </cell>
          <cell r="AD24">
            <v>50191.5</v>
          </cell>
          <cell r="AE24">
            <v>51202.2</v>
          </cell>
          <cell r="AF24">
            <v>49237.4</v>
          </cell>
          <cell r="AG24">
            <v>46056.4</v>
          </cell>
          <cell r="AH24">
            <v>45653.9</v>
          </cell>
          <cell r="AI24">
            <v>48325.5</v>
          </cell>
          <cell r="AJ24">
            <v>52203.1</v>
          </cell>
          <cell r="AK24">
            <v>59843.9</v>
          </cell>
          <cell r="AL24">
            <v>60779.5</v>
          </cell>
          <cell r="AM24">
            <v>58513.4</v>
          </cell>
          <cell r="AN24">
            <v>50887.4</v>
          </cell>
          <cell r="AO24">
            <v>52086.400000000001</v>
          </cell>
          <cell r="AP24">
            <v>60402.2</v>
          </cell>
          <cell r="AQ24">
            <v>54424.3</v>
          </cell>
          <cell r="AR24">
            <v>46871.7</v>
          </cell>
          <cell r="AS24">
            <v>51497.7</v>
          </cell>
          <cell r="AT24">
            <v>49311.4</v>
          </cell>
          <cell r="AU24">
            <v>45160.5</v>
          </cell>
          <cell r="AV24">
            <v>43535.4</v>
          </cell>
          <cell r="AW24">
            <v>44385.8</v>
          </cell>
        </row>
        <row r="27">
          <cell r="C27">
            <v>35480.1</v>
          </cell>
          <cell r="D27">
            <v>43506.400000000001</v>
          </cell>
          <cell r="E27">
            <v>42016.6</v>
          </cell>
          <cell r="F27">
            <v>35789.800000000003</v>
          </cell>
          <cell r="G27">
            <v>37280.400000000001</v>
          </cell>
          <cell r="H27">
            <v>35985.599999999999</v>
          </cell>
          <cell r="I27">
            <v>40087.699999999997</v>
          </cell>
          <cell r="J27">
            <v>43596.3</v>
          </cell>
          <cell r="K27">
            <v>42202.7</v>
          </cell>
          <cell r="L27">
            <v>40787.300000000003</v>
          </cell>
          <cell r="M27">
            <v>25816.1</v>
          </cell>
          <cell r="N27">
            <v>23521.599999999999</v>
          </cell>
          <cell r="O27">
            <v>31103.3</v>
          </cell>
          <cell r="P27">
            <v>31507.7</v>
          </cell>
          <cell r="Q27">
            <v>29646.3</v>
          </cell>
          <cell r="R27">
            <v>27296.400000000001</v>
          </cell>
          <cell r="S27">
            <v>29600.6</v>
          </cell>
          <cell r="T27">
            <v>33669.1</v>
          </cell>
          <cell r="U27">
            <v>35790.199999999997</v>
          </cell>
          <cell r="V27">
            <v>37644.1</v>
          </cell>
          <cell r="W27">
            <v>37689.5</v>
          </cell>
          <cell r="X27">
            <v>35930</v>
          </cell>
          <cell r="Y27">
            <v>37455.800000000003</v>
          </cell>
          <cell r="Z27">
            <v>39135.599999999999</v>
          </cell>
          <cell r="AA27">
            <v>39496.699999999997</v>
          </cell>
          <cell r="AB27">
            <v>40360.1</v>
          </cell>
          <cell r="AC27">
            <v>45213.1</v>
          </cell>
          <cell r="AD27">
            <v>42828.3</v>
          </cell>
          <cell r="AE27">
            <v>40076.699999999997</v>
          </cell>
          <cell r="AF27">
            <v>41148.1</v>
          </cell>
          <cell r="AG27">
            <v>37024.800000000003</v>
          </cell>
          <cell r="AH27">
            <v>37166.5</v>
          </cell>
          <cell r="AI27">
            <v>34750.400000000001</v>
          </cell>
          <cell r="AJ27">
            <v>36232.300000000003</v>
          </cell>
          <cell r="AK27">
            <v>34244.300000000003</v>
          </cell>
          <cell r="AL27">
            <v>34237.5</v>
          </cell>
          <cell r="AM27">
            <v>37974</v>
          </cell>
          <cell r="AN27">
            <v>40915.699999999997</v>
          </cell>
          <cell r="AO27">
            <v>35807.300000000003</v>
          </cell>
          <cell r="AP27">
            <v>36301.9</v>
          </cell>
          <cell r="AQ27">
            <v>36413.300000000003</v>
          </cell>
          <cell r="AR27">
            <v>38102.5</v>
          </cell>
          <cell r="AS27">
            <v>40821.1</v>
          </cell>
          <cell r="AT27">
            <v>41256.800000000003</v>
          </cell>
          <cell r="AU27">
            <v>37321.199999999997</v>
          </cell>
          <cell r="AV27">
            <v>35659.4</v>
          </cell>
          <cell r="AW27">
            <v>42597.599999999999</v>
          </cell>
        </row>
        <row r="30">
          <cell r="C30">
            <v>25783.200000000001</v>
          </cell>
          <cell r="D30">
            <v>29727.1</v>
          </cell>
          <cell r="E30">
            <v>30502.3</v>
          </cell>
          <cell r="F30">
            <v>25397.8</v>
          </cell>
          <cell r="G30">
            <v>25468.5</v>
          </cell>
          <cell r="H30">
            <v>26501.7</v>
          </cell>
          <cell r="I30">
            <v>28943.4</v>
          </cell>
          <cell r="J30">
            <v>30835.4</v>
          </cell>
          <cell r="K30">
            <v>28245.5</v>
          </cell>
          <cell r="L30">
            <v>25288</v>
          </cell>
          <cell r="M30">
            <v>19424.900000000001</v>
          </cell>
          <cell r="N30">
            <v>22089.5</v>
          </cell>
          <cell r="O30">
            <v>25179.200000000001</v>
          </cell>
          <cell r="P30">
            <v>24742.7</v>
          </cell>
          <cell r="Q30">
            <v>24554.5</v>
          </cell>
          <cell r="R30">
            <v>25125.5</v>
          </cell>
          <cell r="S30">
            <v>27864.5</v>
          </cell>
          <cell r="T30">
            <v>26706.799999999999</v>
          </cell>
          <cell r="U30">
            <v>26945.4</v>
          </cell>
          <cell r="V30">
            <v>27710</v>
          </cell>
          <cell r="W30">
            <v>26905.3</v>
          </cell>
          <cell r="X30">
            <v>27218.9</v>
          </cell>
          <cell r="Y30">
            <v>29686.3</v>
          </cell>
          <cell r="Z30">
            <v>29523.3</v>
          </cell>
          <cell r="AA30">
            <v>30188.3</v>
          </cell>
          <cell r="AB30">
            <v>33191.1</v>
          </cell>
          <cell r="AC30">
            <v>34525.4</v>
          </cell>
          <cell r="AD30">
            <v>35047.300000000003</v>
          </cell>
          <cell r="AE30">
            <v>37362.9</v>
          </cell>
          <cell r="AF30">
            <v>37496.199999999997</v>
          </cell>
          <cell r="AG30">
            <v>37843.9</v>
          </cell>
          <cell r="AH30">
            <v>37366.9</v>
          </cell>
          <cell r="AI30">
            <v>40584.6</v>
          </cell>
          <cell r="AJ30">
            <v>42941.8</v>
          </cell>
          <cell r="AK30">
            <v>44954.1</v>
          </cell>
          <cell r="AL30">
            <v>41740.1</v>
          </cell>
          <cell r="AM30">
            <v>41037.1</v>
          </cell>
          <cell r="AN30">
            <v>33449.4</v>
          </cell>
          <cell r="AO30">
            <v>35608.699999999997</v>
          </cell>
          <cell r="AP30">
            <v>38369.300000000003</v>
          </cell>
          <cell r="AQ30">
            <v>33829.4</v>
          </cell>
          <cell r="AR30">
            <v>30541.9</v>
          </cell>
          <cell r="AS30">
            <v>29905.599999999999</v>
          </cell>
          <cell r="AT30">
            <v>27609.5</v>
          </cell>
          <cell r="AU30">
            <v>26235.5</v>
          </cell>
          <cell r="AV30">
            <v>26555.4</v>
          </cell>
          <cell r="AW30">
            <v>26196.5</v>
          </cell>
        </row>
        <row r="33">
          <cell r="C33">
            <v>50234.3</v>
          </cell>
          <cell r="D33">
            <v>53680.2</v>
          </cell>
          <cell r="E33">
            <v>66822.100000000006</v>
          </cell>
          <cell r="F33">
            <v>74745.600000000006</v>
          </cell>
          <cell r="G33">
            <v>81432.899999999994</v>
          </cell>
          <cell r="H33">
            <v>92264.9</v>
          </cell>
          <cell r="I33">
            <v>103413.2</v>
          </cell>
          <cell r="J33">
            <v>109162.5</v>
          </cell>
          <cell r="K33">
            <v>151805.79999999999</v>
          </cell>
          <cell r="L33">
            <v>177235.7</v>
          </cell>
          <cell r="M33">
            <v>162146.1</v>
          </cell>
          <cell r="N33">
            <v>133648.1</v>
          </cell>
          <cell r="O33">
            <v>151997.79999999999</v>
          </cell>
          <cell r="P33">
            <v>135885</v>
          </cell>
          <cell r="Q33">
            <v>80458</v>
          </cell>
          <cell r="R33">
            <v>78761.2</v>
          </cell>
          <cell r="S33">
            <v>86367.9</v>
          </cell>
          <cell r="T33">
            <v>78016.5</v>
          </cell>
          <cell r="U33">
            <v>88696.4</v>
          </cell>
          <cell r="V33">
            <v>86517.7</v>
          </cell>
          <cell r="W33">
            <v>73728.5</v>
          </cell>
          <cell r="X33">
            <v>95014.399999999994</v>
          </cell>
          <cell r="Y33">
            <v>88177.1</v>
          </cell>
          <cell r="Z33">
            <v>77032.5</v>
          </cell>
          <cell r="AA33">
            <v>83508.7</v>
          </cell>
          <cell r="AB33">
            <v>86955.4</v>
          </cell>
          <cell r="AC33">
            <v>85243.1</v>
          </cell>
          <cell r="AD33">
            <v>69785.5</v>
          </cell>
          <cell r="AE33">
            <v>81237.5</v>
          </cell>
          <cell r="AF33">
            <v>92480.6</v>
          </cell>
          <cell r="AG33">
            <v>68678</v>
          </cell>
          <cell r="AH33">
            <v>73652.899999999994</v>
          </cell>
          <cell r="AI33">
            <v>90137.5</v>
          </cell>
          <cell r="AJ33">
            <v>98758.3</v>
          </cell>
          <cell r="AK33">
            <v>109700.9</v>
          </cell>
          <cell r="AL33">
            <v>110984.5</v>
          </cell>
          <cell r="AM33">
            <v>117665.4</v>
          </cell>
          <cell r="AN33">
            <v>83463</v>
          </cell>
          <cell r="AO33">
            <v>94868.9</v>
          </cell>
          <cell r="AP33">
            <v>106756</v>
          </cell>
          <cell r="AQ33">
            <v>125732</v>
          </cell>
          <cell r="AR33">
            <v>121777</v>
          </cell>
          <cell r="AS33">
            <v>133818.29999999999</v>
          </cell>
          <cell r="AT33">
            <v>103575</v>
          </cell>
          <cell r="AU33">
            <v>54172.9</v>
          </cell>
          <cell r="AV33">
            <v>76414.100000000006</v>
          </cell>
          <cell r="AW33">
            <v>65379.4</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
      <sheetName val="ChainQtyIndexes"/>
      <sheetName val="Sheet0_Downloaded fr. BEA"/>
      <sheetName val="Downloaded GO"/>
      <sheetName val="%ChangeChainQtyIndexes"/>
      <sheetName val="ChainPriceIndexes"/>
      <sheetName val="%ChangeChainPriceIndexes"/>
      <sheetName val="Real GO"/>
    </sheetNames>
    <sheetDataSet>
      <sheetData sheetId="0"/>
      <sheetData sheetId="1">
        <row r="301">
          <cell r="DH301">
            <v>60426.460099999997</v>
          </cell>
          <cell r="EF301">
            <v>278893.89408</v>
          </cell>
          <cell r="EG301">
            <v>86668.354649999994</v>
          </cell>
          <cell r="EH301">
            <v>17144.67916</v>
          </cell>
        </row>
        <row r="302">
          <cell r="EF302">
            <v>276050.70240000001</v>
          </cell>
          <cell r="EG302">
            <v>79951.404450000002</v>
          </cell>
          <cell r="EH302">
            <v>15903.714190000001</v>
          </cell>
        </row>
        <row r="303">
          <cell r="EF303">
            <v>274262.82803999999</v>
          </cell>
          <cell r="EG303">
            <v>80174.554799999998</v>
          </cell>
          <cell r="EH303">
            <v>18396.959919999998</v>
          </cell>
        </row>
        <row r="304">
          <cell r="EF304">
            <v>272558.36364</v>
          </cell>
          <cell r="EG304">
            <v>89265.126600000003</v>
          </cell>
          <cell r="EH304">
            <v>18945.147079999999</v>
          </cell>
        </row>
        <row r="305">
          <cell r="EF305">
            <v>267473.98259999999</v>
          </cell>
          <cell r="EG305">
            <v>95290.186050000004</v>
          </cell>
          <cell r="EH305">
            <v>22371.316829999996</v>
          </cell>
        </row>
        <row r="306">
          <cell r="EF306">
            <v>253073.07168000002</v>
          </cell>
          <cell r="EG306">
            <v>90464.403900000005</v>
          </cell>
          <cell r="EH306">
            <v>24816.784780000002</v>
          </cell>
        </row>
        <row r="307">
          <cell r="EF307">
            <v>256228.14408</v>
          </cell>
          <cell r="EG307">
            <v>91605.088650000005</v>
          </cell>
          <cell r="EH307">
            <v>26864.942770000001</v>
          </cell>
        </row>
        <row r="308">
          <cell r="EF308">
            <v>262074.09432000003</v>
          </cell>
          <cell r="EG308">
            <v>91874.365050000008</v>
          </cell>
          <cell r="EH308">
            <v>30693.451719999997</v>
          </cell>
        </row>
        <row r="309">
          <cell r="EF309">
            <v>265062.3468</v>
          </cell>
          <cell r="EG309">
            <v>95591.875350000002</v>
          </cell>
          <cell r="EH309">
            <v>34696.726759999998</v>
          </cell>
        </row>
        <row r="310">
          <cell r="EF310">
            <v>260123.02656</v>
          </cell>
          <cell r="EG310">
            <v>107730.50639999998</v>
          </cell>
          <cell r="EH310">
            <v>35824.53383</v>
          </cell>
        </row>
        <row r="311">
          <cell r="EF311">
            <v>255506.46660000001</v>
          </cell>
          <cell r="EG311">
            <v>107911.27065000002</v>
          </cell>
          <cell r="EH311">
            <v>46952.984639999995</v>
          </cell>
        </row>
        <row r="312">
          <cell r="EF312">
            <v>250984.19616000002</v>
          </cell>
          <cell r="EG312">
            <v>105603.72149999999</v>
          </cell>
          <cell r="EH312">
            <v>54990.967470000003</v>
          </cell>
        </row>
        <row r="313">
          <cell r="EF313">
            <v>239158.11444000003</v>
          </cell>
          <cell r="EG313">
            <v>89583.022349999999</v>
          </cell>
          <cell r="EH313">
            <v>51498.16029</v>
          </cell>
        </row>
        <row r="314">
          <cell r="EF314">
            <v>234690.24179999999</v>
          </cell>
          <cell r="EG314">
            <v>90777.313049999997</v>
          </cell>
          <cell r="EH314">
            <v>41095.177350000005</v>
          </cell>
        </row>
        <row r="315">
          <cell r="EF315">
            <v>250973.31660000002</v>
          </cell>
          <cell r="EG315">
            <v>103444.52369999999</v>
          </cell>
          <cell r="EH315">
            <v>45972.28284</v>
          </cell>
        </row>
        <row r="316">
          <cell r="EF316">
            <v>249965.14404000004</v>
          </cell>
          <cell r="EG316">
            <v>99766.906200000012</v>
          </cell>
          <cell r="EH316">
            <v>41445.966840000001</v>
          </cell>
        </row>
        <row r="317">
          <cell r="EF317">
            <v>240427.39643999998</v>
          </cell>
          <cell r="EG317">
            <v>99476.436750000008</v>
          </cell>
          <cell r="EH317">
            <v>25725.819909999998</v>
          </cell>
        </row>
        <row r="318">
          <cell r="EF318">
            <v>246422.03400000001</v>
          </cell>
          <cell r="EG318">
            <v>99321.852150000021</v>
          </cell>
          <cell r="EH318">
            <v>24237.164870000004</v>
          </cell>
        </row>
        <row r="319">
          <cell r="EF319">
            <v>249907.11971999999</v>
          </cell>
          <cell r="EG319">
            <v>110370.91110000001</v>
          </cell>
          <cell r="EH319">
            <v>27318.831680000003</v>
          </cell>
        </row>
        <row r="320">
          <cell r="EF320">
            <v>238672.16076000003</v>
          </cell>
          <cell r="EG320">
            <v>111694.85340000001</v>
          </cell>
          <cell r="EH320">
            <v>24648.305239999998</v>
          </cell>
        </row>
        <row r="321">
          <cell r="EF321">
            <v>241979.54699999999</v>
          </cell>
          <cell r="EG321">
            <v>117220.00620000002</v>
          </cell>
          <cell r="EH321">
            <v>27838.100709999999</v>
          </cell>
        </row>
        <row r="322">
          <cell r="EF322">
            <v>247285.14576000001</v>
          </cell>
          <cell r="EG322">
            <v>121972.236</v>
          </cell>
          <cell r="EH322">
            <v>27937.428199999998</v>
          </cell>
        </row>
        <row r="323">
          <cell r="EF323">
            <v>241645.90715999997</v>
          </cell>
          <cell r="EG323">
            <v>119655.96029999999</v>
          </cell>
          <cell r="EH323">
            <v>23497.866590000001</v>
          </cell>
        </row>
        <row r="324">
          <cell r="EF324">
            <v>243803.68656</v>
          </cell>
          <cell r="EG324">
            <v>116366.05095</v>
          </cell>
          <cell r="EH324">
            <v>28561.053960000001</v>
          </cell>
        </row>
        <row r="325">
          <cell r="EF325">
            <v>244402.06236000001</v>
          </cell>
          <cell r="EG325">
            <v>126417.7899</v>
          </cell>
          <cell r="EH325">
            <v>25821.375469999999</v>
          </cell>
        </row>
        <row r="326">
          <cell r="EF326">
            <v>250483.73639999997</v>
          </cell>
          <cell r="EG326">
            <v>124411.93005</v>
          </cell>
          <cell r="EH326">
            <v>22263.188170000005</v>
          </cell>
        </row>
        <row r="327">
          <cell r="EF327">
            <v>258063.16320000001</v>
          </cell>
          <cell r="EG327">
            <v>128388.74354999998</v>
          </cell>
          <cell r="EH327">
            <v>22899.387030000002</v>
          </cell>
        </row>
        <row r="328">
          <cell r="EF328">
            <v>262777.63919999998</v>
          </cell>
          <cell r="EG328">
            <v>132899.12325</v>
          </cell>
          <cell r="EH328">
            <v>28727.01888</v>
          </cell>
        </row>
        <row r="329">
          <cell r="EF329">
            <v>255916.26336000001</v>
          </cell>
          <cell r="EG329">
            <v>135391.17660000001</v>
          </cell>
          <cell r="EH329">
            <v>28963.393160000003</v>
          </cell>
        </row>
        <row r="330">
          <cell r="EF330">
            <v>250552.64028000002</v>
          </cell>
          <cell r="EG330">
            <v>132152.3799</v>
          </cell>
          <cell r="EH330">
            <v>23399.796410000003</v>
          </cell>
        </row>
        <row r="331">
          <cell r="EF331">
            <v>260598.10067999997</v>
          </cell>
          <cell r="EG331">
            <v>134013.62834999998</v>
          </cell>
          <cell r="EH331">
            <v>29019.972110000002</v>
          </cell>
        </row>
        <row r="332">
          <cell r="EF332">
            <v>270494.87375999999</v>
          </cell>
          <cell r="EG332">
            <v>132722.09894999999</v>
          </cell>
          <cell r="EH332">
            <v>41956.434699999998</v>
          </cell>
        </row>
        <row r="333">
          <cell r="EF333">
            <v>253624.30272000004</v>
          </cell>
          <cell r="EG333">
            <v>126496.32885000001</v>
          </cell>
          <cell r="EH333">
            <v>35351.78527</v>
          </cell>
        </row>
        <row r="334">
          <cell r="EF334">
            <v>254019.59340000001</v>
          </cell>
          <cell r="EG334">
            <v>127178.2464</v>
          </cell>
          <cell r="EH334">
            <v>41154.270919999995</v>
          </cell>
        </row>
        <row r="335">
          <cell r="EF335">
            <v>244956.91992000001</v>
          </cell>
          <cell r="EG335">
            <v>131509.1085</v>
          </cell>
          <cell r="EH335">
            <v>56081.055240000002</v>
          </cell>
        </row>
        <row r="336">
          <cell r="EF336">
            <v>243295.97375999999</v>
          </cell>
          <cell r="EG336">
            <v>139159.79955</v>
          </cell>
          <cell r="EH336">
            <v>75628.453810000006</v>
          </cell>
        </row>
        <row r="337">
          <cell r="EF337">
            <v>245138.24592000002</v>
          </cell>
          <cell r="EG337">
            <v>147387.68955000001</v>
          </cell>
          <cell r="EH337">
            <v>100969.53685999999</v>
          </cell>
        </row>
        <row r="338">
          <cell r="EF338">
            <v>248325.95699999999</v>
          </cell>
          <cell r="EG338">
            <v>142164.22605</v>
          </cell>
          <cell r="EH338">
            <v>106519.30320000001</v>
          </cell>
        </row>
        <row r="339">
          <cell r="EF339">
            <v>263136.66467999999</v>
          </cell>
          <cell r="EG339">
            <v>140162.10615000001</v>
          </cell>
          <cell r="EH339">
            <v>117180.03469</v>
          </cell>
        </row>
        <row r="340">
          <cell r="EF340">
            <v>286067.15064000007</v>
          </cell>
          <cell r="EG340">
            <v>125216.0193</v>
          </cell>
          <cell r="EH340">
            <v>80579.740590000001</v>
          </cell>
        </row>
        <row r="341">
          <cell r="EF341">
            <v>297113.53055999998</v>
          </cell>
          <cell r="EG341">
            <v>123287.45174999999</v>
          </cell>
          <cell r="EH341">
            <v>89468.922290000002</v>
          </cell>
        </row>
        <row r="342">
          <cell r="EF342">
            <v>326850.99456000002</v>
          </cell>
          <cell r="EG342">
            <v>130474.38900000001</v>
          </cell>
          <cell r="EH342">
            <v>101565.5018</v>
          </cell>
        </row>
        <row r="343">
          <cell r="EF343">
            <v>362652</v>
          </cell>
          <cell r="EG343">
            <v>124665</v>
          </cell>
          <cell r="EH343">
            <v>125731</v>
          </cell>
        </row>
        <row r="344">
          <cell r="EF344">
            <v>399758.55264000001</v>
          </cell>
          <cell r="EG344">
            <v>120529.86195000001</v>
          </cell>
          <cell r="EH344">
            <v>119830.44417</v>
          </cell>
        </row>
        <row r="345">
          <cell r="EF345">
            <v>451073.81064000004</v>
          </cell>
          <cell r="EG345">
            <v>125770.77855</v>
          </cell>
          <cell r="EH345">
            <v>146982.05361999999</v>
          </cell>
        </row>
        <row r="346">
          <cell r="EF346">
            <v>442203.34272000002</v>
          </cell>
          <cell r="EG346">
            <v>118489.09590000001</v>
          </cell>
          <cell r="EH346">
            <v>116156.58435</v>
          </cell>
        </row>
        <row r="347">
          <cell r="EF347">
            <v>423998.21231999999</v>
          </cell>
          <cell r="EG347">
            <v>106046.28225</v>
          </cell>
          <cell r="EH347">
            <v>59814.008629999997</v>
          </cell>
        </row>
        <row r="348">
          <cell r="EF348">
            <v>456952.39955999999</v>
          </cell>
          <cell r="EG348">
            <v>110363.43120000001</v>
          </cell>
          <cell r="EH348">
            <v>84870.93961999999</v>
          </cell>
        </row>
        <row r="349">
          <cell r="EF349">
            <v>528278.79492000001</v>
          </cell>
          <cell r="EG349">
            <v>110200.12005000001</v>
          </cell>
          <cell r="EH349">
            <v>99273.425669999997</v>
          </cell>
        </row>
      </sheetData>
      <sheetData sheetId="2"/>
      <sheetData sheetId="3"/>
      <sheetData sheetId="4"/>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FOS"/>
    </sheetNames>
    <sheetDataSet>
      <sheetData sheetId="0">
        <row r="5">
          <cell r="B5">
            <v>35.573</v>
          </cell>
          <cell r="C5">
            <v>34.944000000000003</v>
          </cell>
          <cell r="D5">
            <v>52.655000000000001</v>
          </cell>
          <cell r="E5">
            <v>49.118000000000002</v>
          </cell>
          <cell r="F5">
            <v>48.795999999999999</v>
          </cell>
          <cell r="G5">
            <v>55.215000000000003</v>
          </cell>
          <cell r="H5">
            <v>65.194999999999993</v>
          </cell>
          <cell r="I5">
            <v>69.453999999999994</v>
          </cell>
          <cell r="J5">
            <v>77.468999999999994</v>
          </cell>
          <cell r="K5">
            <v>73.236999999999995</v>
          </cell>
          <cell r="L5">
            <v>76.831999999999994</v>
          </cell>
          <cell r="M5">
            <v>87.284999999999997</v>
          </cell>
          <cell r="N5">
            <v>88.350999999999999</v>
          </cell>
          <cell r="O5">
            <v>81.313999999999993</v>
          </cell>
          <cell r="P5">
            <v>85.024000000000001</v>
          </cell>
          <cell r="Q5">
            <v>100.309</v>
          </cell>
          <cell r="R5">
            <v>93.531000000000006</v>
          </cell>
          <cell r="S5">
            <v>83.114000000000004</v>
          </cell>
          <cell r="T5">
            <v>85.602999999999994</v>
          </cell>
          <cell r="U5">
            <v>66.667000000000002</v>
          </cell>
          <cell r="V5">
            <v>88.278000000000006</v>
          </cell>
          <cell r="W5">
            <v>89.41</v>
          </cell>
          <cell r="X5">
            <v>73.397999999999996</v>
          </cell>
          <cell r="Y5">
            <v>68.914000000000001</v>
          </cell>
          <cell r="Z5">
            <v>34.087000000000003</v>
          </cell>
          <cell r="AA5">
            <v>36.314</v>
          </cell>
          <cell r="AB5">
            <v>49.112000000000002</v>
          </cell>
          <cell r="AC5">
            <v>45.786999999999999</v>
          </cell>
        </row>
        <row r="6">
          <cell r="B6">
            <v>8.1859999999999999</v>
          </cell>
          <cell r="C6">
            <v>10.353</v>
          </cell>
          <cell r="D6">
            <v>10.8</v>
          </cell>
          <cell r="E6">
            <v>10.242000000000001</v>
          </cell>
          <cell r="F6">
            <v>8.8810000000000002</v>
          </cell>
          <cell r="G6">
            <v>7.3090000000000002</v>
          </cell>
          <cell r="H6">
            <v>6.9610000000000003</v>
          </cell>
          <cell r="I6">
            <v>5.2050000000000001</v>
          </cell>
          <cell r="J6">
            <v>5.0529999999999999</v>
          </cell>
          <cell r="K6">
            <v>5.5430000000000001</v>
          </cell>
          <cell r="L6">
            <v>6.5110000000000001</v>
          </cell>
          <cell r="M6">
            <v>6.4219999999999997</v>
          </cell>
          <cell r="N6">
            <v>6.7430000000000003</v>
          </cell>
          <cell r="O6">
            <v>6.7619999999999996</v>
          </cell>
          <cell r="P6">
            <v>7.141</v>
          </cell>
          <cell r="Q6">
            <v>7.3049999999999997</v>
          </cell>
          <cell r="R6">
            <v>6.8</v>
          </cell>
          <cell r="S6">
            <v>7.0039999999999996</v>
          </cell>
          <cell r="T6">
            <v>7.9329999999999998</v>
          </cell>
          <cell r="U6">
            <v>9.6</v>
          </cell>
          <cell r="V6">
            <v>11.053000000000001</v>
          </cell>
          <cell r="W6">
            <v>10.571</v>
          </cell>
          <cell r="X6">
            <v>11.577</v>
          </cell>
          <cell r="Y6">
            <v>9.5739999999999998</v>
          </cell>
          <cell r="Z6">
            <v>6.1559999999999997</v>
          </cell>
          <cell r="AA6">
            <v>4.5679999999999996</v>
          </cell>
          <cell r="AB6">
            <v>3.2879999999999998</v>
          </cell>
          <cell r="AC6">
            <v>2.25</v>
          </cell>
        </row>
        <row r="7">
          <cell r="B7">
            <v>36.893000000000001</v>
          </cell>
          <cell r="C7">
            <v>30.67</v>
          </cell>
          <cell r="D7">
            <v>33.015999999999998</v>
          </cell>
          <cell r="E7">
            <v>31.622</v>
          </cell>
          <cell r="F7">
            <v>29.895</v>
          </cell>
          <cell r="G7">
            <v>26.492999999999999</v>
          </cell>
          <cell r="H7">
            <v>28.367999999999999</v>
          </cell>
          <cell r="I7">
            <v>31.951000000000001</v>
          </cell>
          <cell r="J7">
            <v>34.131999999999998</v>
          </cell>
          <cell r="K7">
            <v>26.632999999999999</v>
          </cell>
          <cell r="L7">
            <v>31.513999999999999</v>
          </cell>
          <cell r="M7">
            <v>37.856000000000002</v>
          </cell>
          <cell r="N7">
            <v>42.697000000000003</v>
          </cell>
          <cell r="O7">
            <v>39.24</v>
          </cell>
          <cell r="P7">
            <v>41.936</v>
          </cell>
          <cell r="Q7">
            <v>43.134</v>
          </cell>
          <cell r="R7">
            <v>43.067</v>
          </cell>
          <cell r="S7">
            <v>40.777000000000001</v>
          </cell>
          <cell r="T7">
            <v>45.871000000000002</v>
          </cell>
          <cell r="U7">
            <v>45.854999999999997</v>
          </cell>
          <cell r="V7">
            <v>40.081000000000003</v>
          </cell>
          <cell r="W7">
            <v>37.295000000000002</v>
          </cell>
          <cell r="X7">
            <v>29.722999999999999</v>
          </cell>
          <cell r="Y7">
            <v>32.796999999999997</v>
          </cell>
          <cell r="Z7">
            <v>24.236999999999998</v>
          </cell>
          <cell r="AA7">
            <v>21.797000000000001</v>
          </cell>
          <cell r="AB7">
            <v>21.891999999999999</v>
          </cell>
          <cell r="AC7">
            <v>19.489000000000001</v>
          </cell>
        </row>
        <row r="8">
          <cell r="B8">
            <v>7.2670000000000003</v>
          </cell>
          <cell r="C8">
            <v>6.5229999999999997</v>
          </cell>
          <cell r="D8">
            <v>5.8869999999999996</v>
          </cell>
          <cell r="E8">
            <v>4.9749999999999996</v>
          </cell>
          <cell r="F8">
            <v>4.4619999999999997</v>
          </cell>
          <cell r="G8">
            <v>4.0019999999999998</v>
          </cell>
          <cell r="H8">
            <v>3.472</v>
          </cell>
          <cell r="I8">
            <v>3.8460000000000001</v>
          </cell>
          <cell r="J8">
            <v>3.6749999999999998</v>
          </cell>
          <cell r="K8">
            <v>3.46</v>
          </cell>
          <cell r="L8">
            <v>3.0619999999999998</v>
          </cell>
          <cell r="M8">
            <v>2.7919999999999998</v>
          </cell>
          <cell r="N8">
            <v>2.6179999999999999</v>
          </cell>
          <cell r="O8">
            <v>2.0529999999999999</v>
          </cell>
          <cell r="P8">
            <v>1.8380000000000001</v>
          </cell>
          <cell r="Q8">
            <v>1.744</v>
          </cell>
          <cell r="R8">
            <v>1.6950000000000001</v>
          </cell>
          <cell r="S8">
            <v>1.7310000000000001</v>
          </cell>
          <cell r="T8">
            <v>1.7190000000000001</v>
          </cell>
          <cell r="U8">
            <v>1.6579999999999999</v>
          </cell>
          <cell r="V8">
            <v>1.548</v>
          </cell>
          <cell r="W8">
            <v>1.7609999999999999</v>
          </cell>
          <cell r="X8">
            <v>1.8220000000000001</v>
          </cell>
          <cell r="Y8">
            <v>1.748</v>
          </cell>
          <cell r="Z8">
            <v>1.7470000000000001</v>
          </cell>
          <cell r="AA8">
            <v>1.6319999999999999</v>
          </cell>
          <cell r="AB8">
            <v>1.84</v>
          </cell>
          <cell r="AC8">
            <v>1.8240000000000001</v>
          </cell>
        </row>
        <row r="9">
          <cell r="B9">
            <v>22.36</v>
          </cell>
          <cell r="C9">
            <v>21.850999999999999</v>
          </cell>
          <cell r="D9">
            <v>21.582000000000001</v>
          </cell>
          <cell r="E9">
            <v>20.382999999999999</v>
          </cell>
          <cell r="F9">
            <v>20.864000000000001</v>
          </cell>
          <cell r="G9">
            <v>22.009</v>
          </cell>
          <cell r="H9">
            <v>20.66</v>
          </cell>
          <cell r="I9">
            <v>24.905999999999999</v>
          </cell>
          <cell r="J9">
            <v>26.152000000000001</v>
          </cell>
          <cell r="K9">
            <v>27.260999999999999</v>
          </cell>
          <cell r="L9">
            <v>29.242000000000001</v>
          </cell>
          <cell r="M9">
            <v>32.515999999999998</v>
          </cell>
          <cell r="N9">
            <v>37.567999999999998</v>
          </cell>
          <cell r="O9">
            <v>36.908999999999999</v>
          </cell>
          <cell r="P9">
            <v>42.427999999999997</v>
          </cell>
          <cell r="Q9">
            <v>47.241</v>
          </cell>
          <cell r="R9">
            <v>53.465000000000003</v>
          </cell>
          <cell r="S9">
            <v>63.031999999999996</v>
          </cell>
          <cell r="T9">
            <v>71.847999999999999</v>
          </cell>
          <cell r="U9">
            <v>79.236999999999995</v>
          </cell>
          <cell r="V9">
            <v>75.381</v>
          </cell>
          <cell r="W9">
            <v>87.352000000000004</v>
          </cell>
          <cell r="X9">
            <v>92.117000000000004</v>
          </cell>
          <cell r="Y9">
            <v>90.197999999999993</v>
          </cell>
          <cell r="Z9">
            <v>92.055999999999997</v>
          </cell>
          <cell r="AA9">
            <v>85.209000000000003</v>
          </cell>
          <cell r="AB9">
            <v>95.075999999999993</v>
          </cell>
          <cell r="AC9">
            <v>93.287000000000006</v>
          </cell>
        </row>
        <row r="10">
          <cell r="B10">
            <v>117.569</v>
          </cell>
          <cell r="C10">
            <v>118.708</v>
          </cell>
          <cell r="D10">
            <v>114.254</v>
          </cell>
          <cell r="E10">
            <v>111.38200000000001</v>
          </cell>
          <cell r="F10">
            <v>108.684</v>
          </cell>
          <cell r="G10">
            <v>105.852</v>
          </cell>
          <cell r="H10">
            <v>100.39400000000001</v>
          </cell>
          <cell r="I10">
            <v>95.45</v>
          </cell>
          <cell r="J10">
            <v>92.778000000000006</v>
          </cell>
          <cell r="K10">
            <v>92.194999999999993</v>
          </cell>
          <cell r="L10">
            <v>99.13</v>
          </cell>
          <cell r="M10">
            <v>104.52800000000001</v>
          </cell>
          <cell r="N10">
            <v>112.143</v>
          </cell>
          <cell r="O10">
            <v>113.79900000000001</v>
          </cell>
          <cell r="P10">
            <v>118.20099999999999</v>
          </cell>
          <cell r="Q10">
            <v>129.50299999999999</v>
          </cell>
          <cell r="R10">
            <v>138.88499999999999</v>
          </cell>
          <cell r="S10">
            <v>146.559</v>
          </cell>
          <cell r="T10">
            <v>156.708</v>
          </cell>
          <cell r="U10">
            <v>171.52600000000001</v>
          </cell>
          <cell r="V10">
            <v>181.90600000000001</v>
          </cell>
          <cell r="W10">
            <v>180.214</v>
          </cell>
          <cell r="X10">
            <v>183.346</v>
          </cell>
          <cell r="Y10">
            <v>183.84800000000001</v>
          </cell>
          <cell r="Z10">
            <v>185.279</v>
          </cell>
          <cell r="AA10">
            <v>188.56399999999999</v>
          </cell>
          <cell r="AB10">
            <v>184.21</v>
          </cell>
          <cell r="AC10">
            <v>180.40899999999999</v>
          </cell>
        </row>
        <row r="11">
          <cell r="B11">
            <v>3.1230000000000002</v>
          </cell>
          <cell r="C11">
            <v>5.3109999999999999</v>
          </cell>
          <cell r="D11">
            <v>7.6820000000000004</v>
          </cell>
          <cell r="E11">
            <v>10.093</v>
          </cell>
          <cell r="F11">
            <v>12.805999999999999</v>
          </cell>
          <cell r="G11">
            <v>15.885</v>
          </cell>
          <cell r="H11">
            <v>16.004999999999999</v>
          </cell>
          <cell r="I11">
            <v>15.983000000000001</v>
          </cell>
          <cell r="J11">
            <v>16.309000000000001</v>
          </cell>
          <cell r="K11">
            <v>16.446999999999999</v>
          </cell>
          <cell r="L11">
            <v>16.940000000000001</v>
          </cell>
          <cell r="M11">
            <v>17.606000000000002</v>
          </cell>
          <cell r="N11">
            <v>17.873999999999999</v>
          </cell>
          <cell r="O11">
            <v>17.664999999999999</v>
          </cell>
          <cell r="P11">
            <v>17.119</v>
          </cell>
          <cell r="Q11">
            <v>19.783999999999999</v>
          </cell>
          <cell r="R11">
            <v>21.617000000000001</v>
          </cell>
          <cell r="S11">
            <v>22.56</v>
          </cell>
          <cell r="T11">
            <v>24.876000000000001</v>
          </cell>
          <cell r="U11">
            <v>27.375</v>
          </cell>
          <cell r="V11">
            <v>26.978999999999999</v>
          </cell>
          <cell r="W11">
            <v>27.591000000000001</v>
          </cell>
          <cell r="X11">
            <v>27.141999999999999</v>
          </cell>
          <cell r="Y11">
            <v>26.75</v>
          </cell>
          <cell r="Z11">
            <v>24.518999999999998</v>
          </cell>
          <cell r="AA11">
            <v>22.311</v>
          </cell>
          <cell r="AB11">
            <v>22.431000000000001</v>
          </cell>
          <cell r="AC11">
            <v>21.308</v>
          </cell>
        </row>
        <row r="12">
          <cell r="B12">
            <v>34.085999999999999</v>
          </cell>
          <cell r="C12">
            <v>35.389000000000003</v>
          </cell>
          <cell r="D12">
            <v>35.728999999999999</v>
          </cell>
          <cell r="E12">
            <v>35.040999999999997</v>
          </cell>
          <cell r="F12">
            <v>34.572000000000003</v>
          </cell>
          <cell r="G12">
            <v>34.247999999999998</v>
          </cell>
          <cell r="H12">
            <v>37.270000000000003</v>
          </cell>
          <cell r="I12">
            <v>40.173999999999999</v>
          </cell>
          <cell r="J12">
            <v>44.311999999999998</v>
          </cell>
          <cell r="K12">
            <v>48.363999999999997</v>
          </cell>
          <cell r="L12">
            <v>53.087000000000003</v>
          </cell>
          <cell r="M12">
            <v>58.793999999999997</v>
          </cell>
          <cell r="N12">
            <v>63.64</v>
          </cell>
          <cell r="O12">
            <v>67.091999999999999</v>
          </cell>
          <cell r="P12">
            <v>69.403999999999996</v>
          </cell>
          <cell r="Q12">
            <v>79.525999999999996</v>
          </cell>
          <cell r="R12">
            <v>86.566999999999993</v>
          </cell>
          <cell r="S12">
            <v>90.012</v>
          </cell>
          <cell r="T12">
            <v>98.984999999999999</v>
          </cell>
          <cell r="U12">
            <v>108.654</v>
          </cell>
          <cell r="V12">
            <v>109.03</v>
          </cell>
          <cell r="W12">
            <v>113.77200000000001</v>
          </cell>
          <cell r="X12">
            <v>114.164</v>
          </cell>
          <cell r="Y12">
            <v>114.627</v>
          </cell>
          <cell r="Z12">
            <v>107.08799999999999</v>
          </cell>
          <cell r="AA12">
            <v>100.245</v>
          </cell>
          <cell r="AB12">
            <v>103.41500000000001</v>
          </cell>
          <cell r="AC12">
            <v>101.361</v>
          </cell>
        </row>
        <row r="13">
          <cell r="B13">
            <v>74.198999999999998</v>
          </cell>
          <cell r="C13">
            <v>81.831999999999994</v>
          </cell>
          <cell r="D13">
            <v>84.456999999999994</v>
          </cell>
          <cell r="E13">
            <v>87.203999999999994</v>
          </cell>
          <cell r="F13">
            <v>91.876999999999995</v>
          </cell>
          <cell r="G13">
            <v>97.847999999999999</v>
          </cell>
          <cell r="H13">
            <v>106.21299999999999</v>
          </cell>
          <cell r="I13">
            <v>114.967</v>
          </cell>
          <cell r="J13">
            <v>121.59</v>
          </cell>
          <cell r="K13">
            <v>120.123</v>
          </cell>
          <cell r="L13">
            <v>126.639</v>
          </cell>
          <cell r="M13">
            <v>131.41200000000001</v>
          </cell>
          <cell r="N13">
            <v>135.952</v>
          </cell>
          <cell r="O13">
            <v>138.83000000000001</v>
          </cell>
          <cell r="P13">
            <v>145.71700000000001</v>
          </cell>
          <cell r="Q13">
            <v>155.13300000000001</v>
          </cell>
          <cell r="R13">
            <v>142.922</v>
          </cell>
          <cell r="S13">
            <v>117.669</v>
          </cell>
          <cell r="T13">
            <v>118.839</v>
          </cell>
          <cell r="U13">
            <v>119.595</v>
          </cell>
          <cell r="V13">
            <v>127.16500000000001</v>
          </cell>
          <cell r="W13">
            <v>127.313</v>
          </cell>
          <cell r="X13">
            <v>108.6</v>
          </cell>
          <cell r="Y13">
            <v>96.463999999999999</v>
          </cell>
          <cell r="Z13">
            <v>83.456000000000003</v>
          </cell>
          <cell r="AA13">
            <v>90.558000000000007</v>
          </cell>
          <cell r="AB13">
            <v>82.628</v>
          </cell>
          <cell r="AC13">
            <v>85.91</v>
          </cell>
        </row>
        <row r="14">
          <cell r="B14">
            <v>79.652000000000001</v>
          </cell>
          <cell r="C14">
            <v>85.908000000000001</v>
          </cell>
          <cell r="D14">
            <v>85.16</v>
          </cell>
          <cell r="E14">
            <v>82.954999999999998</v>
          </cell>
          <cell r="F14">
            <v>80.287999999999997</v>
          </cell>
          <cell r="G14">
            <v>81.013999999999996</v>
          </cell>
          <cell r="H14">
            <v>91.245000000000005</v>
          </cell>
          <cell r="I14">
            <v>103.22799999999999</v>
          </cell>
          <cell r="J14">
            <v>115.15300000000001</v>
          </cell>
          <cell r="K14">
            <v>117.154</v>
          </cell>
          <cell r="L14">
            <v>111.848</v>
          </cell>
          <cell r="M14">
            <v>110.461</v>
          </cell>
          <cell r="N14">
            <v>111.354</v>
          </cell>
          <cell r="O14">
            <v>110.047</v>
          </cell>
          <cell r="P14">
            <v>116.25</v>
          </cell>
          <cell r="Q14">
            <v>122.468</v>
          </cell>
          <cell r="R14">
            <v>132.81399999999999</v>
          </cell>
          <cell r="S14">
            <v>133.697</v>
          </cell>
          <cell r="T14">
            <v>143.12200000000001</v>
          </cell>
          <cell r="U14">
            <v>157.32900000000001</v>
          </cell>
          <cell r="V14">
            <v>159.34899999999999</v>
          </cell>
          <cell r="W14">
            <v>178.60499999999999</v>
          </cell>
          <cell r="X14">
            <v>178.22</v>
          </cell>
          <cell r="Y14">
            <v>167.49799999999999</v>
          </cell>
          <cell r="Z14">
            <v>131.285</v>
          </cell>
          <cell r="AA14">
            <v>141.27099999999999</v>
          </cell>
          <cell r="AB14">
            <v>145.61799999999999</v>
          </cell>
          <cell r="AC14">
            <v>131.37700000000001</v>
          </cell>
        </row>
        <row r="15">
          <cell r="B15">
            <v>117.773</v>
          </cell>
          <cell r="C15">
            <v>119.101</v>
          </cell>
          <cell r="D15">
            <v>109.735</v>
          </cell>
          <cell r="E15">
            <v>109.319</v>
          </cell>
          <cell r="F15">
            <v>112.58799999999999</v>
          </cell>
          <cell r="G15">
            <v>104.273</v>
          </cell>
          <cell r="H15">
            <v>106.011</v>
          </cell>
          <cell r="I15">
            <v>98.986999999999995</v>
          </cell>
          <cell r="J15">
            <v>88.599000000000004</v>
          </cell>
          <cell r="K15">
            <v>79.349000000000004</v>
          </cell>
          <cell r="L15">
            <v>80.274000000000001</v>
          </cell>
          <cell r="M15">
            <v>84.72</v>
          </cell>
          <cell r="N15">
            <v>79.72</v>
          </cell>
          <cell r="O15">
            <v>74.004000000000005</v>
          </cell>
          <cell r="P15">
            <v>80.938000000000002</v>
          </cell>
          <cell r="Q15">
            <v>79.108000000000004</v>
          </cell>
          <cell r="R15">
            <v>85.676000000000002</v>
          </cell>
          <cell r="S15">
            <v>91.721999999999994</v>
          </cell>
          <cell r="T15">
            <v>88.751999999999995</v>
          </cell>
          <cell r="U15">
            <v>91.686000000000007</v>
          </cell>
          <cell r="V15">
            <v>100.07299999999999</v>
          </cell>
          <cell r="W15">
            <v>103.596</v>
          </cell>
          <cell r="X15">
            <v>130.08000000000001</v>
          </cell>
          <cell r="Y15">
            <v>169.196</v>
          </cell>
          <cell r="Z15">
            <v>154.94300000000001</v>
          </cell>
          <cell r="AA15">
            <v>137.453</v>
          </cell>
          <cell r="AB15">
            <v>162.92400000000001</v>
          </cell>
          <cell r="AC15">
            <v>145.072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LECNEA"/>
    </sheetNames>
    <sheetDataSet>
      <sheetData sheetId="0"/>
      <sheetData sheetId="1">
        <row r="6">
          <cell r="C6">
            <v>4.2240000000000002</v>
          </cell>
          <cell r="D6">
            <v>4.1139999999999999</v>
          </cell>
          <cell r="E6">
            <v>6.0439999999999996</v>
          </cell>
          <cell r="F6">
            <v>5.5780000000000003</v>
          </cell>
          <cell r="G6">
            <v>5.4889999999999999</v>
          </cell>
          <cell r="H6">
            <v>6.1689999999999996</v>
          </cell>
          <cell r="I6">
            <v>7.867</v>
          </cell>
          <cell r="J6">
            <v>8.93</v>
          </cell>
          <cell r="K6">
            <v>10.701000000000001</v>
          </cell>
          <cell r="L6">
            <v>10.694000000000001</v>
          </cell>
          <cell r="M6">
            <v>11.835000000000001</v>
          </cell>
          <cell r="N6">
            <v>14.067</v>
          </cell>
          <cell r="O6">
            <v>14.896000000000001</v>
          </cell>
          <cell r="P6">
            <v>14.148999999999999</v>
          </cell>
          <cell r="Q6">
            <v>15.317</v>
          </cell>
          <cell r="R6">
            <v>20.552</v>
          </cell>
          <cell r="S6">
            <v>21.207999999999998</v>
          </cell>
          <cell r="T6">
            <v>20.768000000000001</v>
          </cell>
          <cell r="U6">
            <v>23.449000000000002</v>
          </cell>
          <cell r="V6">
            <v>19.725999999999999</v>
          </cell>
          <cell r="W6">
            <v>29.065000000000001</v>
          </cell>
          <cell r="X6">
            <v>31.96</v>
          </cell>
          <cell r="Y6">
            <v>28.582999999999998</v>
          </cell>
          <cell r="Z6">
            <v>29.181999999999999</v>
          </cell>
          <cell r="AA6">
            <v>15.781000000000001</v>
          </cell>
          <cell r="AB6">
            <v>18.039000000000001</v>
          </cell>
          <cell r="AC6">
            <v>26.466999999999999</v>
          </cell>
          <cell r="AD6">
            <v>26.812999999999999</v>
          </cell>
        </row>
        <row r="7">
          <cell r="C7">
            <v>0.72299999999999998</v>
          </cell>
          <cell r="D7">
            <v>1.016</v>
          </cell>
          <cell r="E7">
            <v>1.1759999999999999</v>
          </cell>
          <cell r="F7">
            <v>1.242</v>
          </cell>
          <cell r="G7">
            <v>1.1990000000000001</v>
          </cell>
          <cell r="H7">
            <v>1.099</v>
          </cell>
          <cell r="I7">
            <v>1.0820000000000001</v>
          </cell>
          <cell r="J7">
            <v>0.83899999999999997</v>
          </cell>
          <cell r="K7">
            <v>0.84199999999999997</v>
          </cell>
          <cell r="L7">
            <v>0.95299999999999996</v>
          </cell>
          <cell r="M7">
            <v>1.135</v>
          </cell>
          <cell r="N7">
            <v>1.1359999999999999</v>
          </cell>
          <cell r="O7">
            <v>1.2090000000000001</v>
          </cell>
          <cell r="P7">
            <v>1.228</v>
          </cell>
          <cell r="Q7">
            <v>1.3129999999999999</v>
          </cell>
          <cell r="R7">
            <v>1.474</v>
          </cell>
          <cell r="S7">
            <v>1.474</v>
          </cell>
          <cell r="T7">
            <v>1.62</v>
          </cell>
          <cell r="U7">
            <v>1.944</v>
          </cell>
          <cell r="V7">
            <v>2.468</v>
          </cell>
          <cell r="W7">
            <v>3.4060000000000001</v>
          </cell>
          <cell r="X7">
            <v>3.8140000000000001</v>
          </cell>
          <cell r="Y7">
            <v>4.8620000000000001</v>
          </cell>
          <cell r="Z7">
            <v>4.6589999999999998</v>
          </cell>
          <cell r="AA7">
            <v>3.4670000000000001</v>
          </cell>
          <cell r="AB7">
            <v>2.944</v>
          </cell>
          <cell r="AC7">
            <v>2.4350000000000001</v>
          </cell>
          <cell r="AD7">
            <v>1.913</v>
          </cell>
        </row>
        <row r="8">
          <cell r="C8">
            <v>8.2780000000000005</v>
          </cell>
          <cell r="D8">
            <v>7.8739999999999997</v>
          </cell>
          <cell r="E8">
            <v>9.6630000000000003</v>
          </cell>
          <cell r="F8">
            <v>10.669</v>
          </cell>
          <cell r="G8">
            <v>11.69</v>
          </cell>
          <cell r="H8">
            <v>12.106</v>
          </cell>
          <cell r="I8">
            <v>12.888</v>
          </cell>
          <cell r="J8">
            <v>14.464</v>
          </cell>
          <cell r="K8">
            <v>15.503</v>
          </cell>
          <cell r="L8">
            <v>12.092000000000001</v>
          </cell>
          <cell r="M8">
            <v>14.707000000000001</v>
          </cell>
          <cell r="N8">
            <v>18.113</v>
          </cell>
          <cell r="O8">
            <v>20.933</v>
          </cell>
          <cell r="P8">
            <v>19.637</v>
          </cell>
          <cell r="Q8">
            <v>21.419</v>
          </cell>
          <cell r="R8">
            <v>21.471</v>
          </cell>
          <cell r="S8">
            <v>20.765999999999998</v>
          </cell>
          <cell r="T8">
            <v>19.122</v>
          </cell>
          <cell r="U8">
            <v>20.960999999999999</v>
          </cell>
          <cell r="V8">
            <v>20.417000000000002</v>
          </cell>
          <cell r="W8">
            <v>20.190999999999999</v>
          </cell>
          <cell r="X8">
            <v>21.251999999999999</v>
          </cell>
          <cell r="Y8">
            <v>19.306000000000001</v>
          </cell>
          <cell r="Z8">
            <v>24.542000000000002</v>
          </cell>
          <cell r="AA8">
            <v>21.181000000000001</v>
          </cell>
          <cell r="AB8">
            <v>21.651</v>
          </cell>
          <cell r="AC8">
            <v>25.047999999999998</v>
          </cell>
          <cell r="AD8">
            <v>26.097000000000001</v>
          </cell>
        </row>
        <row r="9">
          <cell r="C9">
            <v>1.9239999999999999</v>
          </cell>
          <cell r="D9">
            <v>1.7729999999999999</v>
          </cell>
          <cell r="E9">
            <v>1.633</v>
          </cell>
          <cell r="F9">
            <v>1.43</v>
          </cell>
          <cell r="G9">
            <v>1.343</v>
          </cell>
          <cell r="H9">
            <v>1.2829999999999999</v>
          </cell>
          <cell r="I9">
            <v>1.0629999999999999</v>
          </cell>
          <cell r="J9">
            <v>1.113</v>
          </cell>
          <cell r="K9">
            <v>0.999</v>
          </cell>
          <cell r="L9">
            <v>0.86399999999999999</v>
          </cell>
          <cell r="M9">
            <v>0.84499999999999997</v>
          </cell>
          <cell r="N9">
            <v>0.86199999999999999</v>
          </cell>
          <cell r="O9">
            <v>0.92</v>
          </cell>
          <cell r="P9">
            <v>0.83599999999999997</v>
          </cell>
          <cell r="Q9">
            <v>0.89600000000000002</v>
          </cell>
          <cell r="R9">
            <v>0.82899999999999996</v>
          </cell>
          <cell r="S9">
            <v>0.78300000000000003</v>
          </cell>
          <cell r="T9">
            <v>0.77300000000000002</v>
          </cell>
          <cell r="U9">
            <v>0.74</v>
          </cell>
          <cell r="V9">
            <v>0.68100000000000005</v>
          </cell>
          <cell r="W9">
            <v>0.63200000000000001</v>
          </cell>
          <cell r="X9">
            <v>0.70699999999999996</v>
          </cell>
          <cell r="Y9">
            <v>0.72</v>
          </cell>
          <cell r="Z9">
            <v>0.67900000000000005</v>
          </cell>
          <cell r="AA9">
            <v>0.66600000000000004</v>
          </cell>
          <cell r="AB9">
            <v>0.58599999999999997</v>
          </cell>
          <cell r="AC9">
            <v>0.62</v>
          </cell>
          <cell r="AD9">
            <v>0.57399999999999995</v>
          </cell>
        </row>
        <row r="10">
          <cell r="C10">
            <v>14.849</v>
          </cell>
          <cell r="D10">
            <v>14.976000000000001</v>
          </cell>
          <cell r="E10">
            <v>15.214</v>
          </cell>
          <cell r="F10">
            <v>14.833</v>
          </cell>
          <cell r="G10">
            <v>15.683</v>
          </cell>
          <cell r="H10">
            <v>17.108000000000001</v>
          </cell>
          <cell r="I10">
            <v>15.606</v>
          </cell>
          <cell r="J10">
            <v>18.251999999999999</v>
          </cell>
          <cell r="K10">
            <v>18.678999999999998</v>
          </cell>
          <cell r="L10">
            <v>18.922999999999998</v>
          </cell>
          <cell r="M10">
            <v>19.931000000000001</v>
          </cell>
          <cell r="N10">
            <v>21.789000000000001</v>
          </cell>
          <cell r="O10">
            <v>24.847999999999999</v>
          </cell>
          <cell r="P10">
            <v>24.05</v>
          </cell>
          <cell r="Q10">
            <v>27.34</v>
          </cell>
          <cell r="R10">
            <v>27.669</v>
          </cell>
          <cell r="S10">
            <v>28.716000000000001</v>
          </cell>
          <cell r="T10">
            <v>31.367000000000001</v>
          </cell>
          <cell r="U10">
            <v>33.442</v>
          </cell>
          <cell r="V10">
            <v>34.584000000000003</v>
          </cell>
          <cell r="W10">
            <v>34.512</v>
          </cell>
          <cell r="X10">
            <v>41.639000000000003</v>
          </cell>
          <cell r="Y10">
            <v>45.753999999999998</v>
          </cell>
          <cell r="Z10">
            <v>46.622</v>
          </cell>
          <cell r="AA10">
            <v>49.542999999999999</v>
          </cell>
          <cell r="AB10">
            <v>47.357999999999997</v>
          </cell>
          <cell r="AC10">
            <v>54.597999999999999</v>
          </cell>
          <cell r="AD10">
            <v>55.32</v>
          </cell>
        </row>
        <row r="11">
          <cell r="C11">
            <v>12.201000000000001</v>
          </cell>
          <cell r="D11">
            <v>13.724</v>
          </cell>
          <cell r="E11">
            <v>14.67</v>
          </cell>
          <cell r="F11">
            <v>15.901999999999999</v>
          </cell>
          <cell r="G11">
            <v>17.216999999999999</v>
          </cell>
          <cell r="H11">
            <v>18.561</v>
          </cell>
          <cell r="I11">
            <v>19.939</v>
          </cell>
          <cell r="J11">
            <v>20.542000000000002</v>
          </cell>
          <cell r="K11">
            <v>21.73</v>
          </cell>
          <cell r="L11">
            <v>27.184999999999999</v>
          </cell>
          <cell r="M11">
            <v>30.423999999999999</v>
          </cell>
          <cell r="N11">
            <v>33.26</v>
          </cell>
          <cell r="O11">
            <v>36.853000000000002</v>
          </cell>
          <cell r="P11">
            <v>38.485999999999997</v>
          </cell>
          <cell r="Q11">
            <v>41.015000000000001</v>
          </cell>
          <cell r="R11">
            <v>44.404000000000003</v>
          </cell>
          <cell r="S11">
            <v>46.802</v>
          </cell>
          <cell r="T11">
            <v>48.825000000000003</v>
          </cell>
          <cell r="U11">
            <v>51.694000000000003</v>
          </cell>
          <cell r="V11">
            <v>56.15</v>
          </cell>
          <cell r="W11">
            <v>66.144000000000005</v>
          </cell>
          <cell r="X11">
            <v>71.668000000000006</v>
          </cell>
          <cell r="Y11">
            <v>78.838999999999999</v>
          </cell>
          <cell r="Z11">
            <v>85.031999999999996</v>
          </cell>
          <cell r="AA11">
            <v>91.643000000000001</v>
          </cell>
          <cell r="AB11">
            <v>98.902000000000001</v>
          </cell>
          <cell r="AC11">
            <v>102.271</v>
          </cell>
          <cell r="AD11">
            <v>106.288</v>
          </cell>
        </row>
        <row r="12">
          <cell r="C12">
            <v>0.28000000000000003</v>
          </cell>
          <cell r="D12">
            <v>0.35099999999999998</v>
          </cell>
          <cell r="E12">
            <v>0.42099999999999999</v>
          </cell>
          <cell r="F12">
            <v>0.48799999999999999</v>
          </cell>
          <cell r="G12">
            <v>0.56499999999999995</v>
          </cell>
          <cell r="H12">
            <v>0.65200000000000002</v>
          </cell>
          <cell r="I12">
            <v>0.79</v>
          </cell>
          <cell r="J12">
            <v>0.93799999999999994</v>
          </cell>
          <cell r="K12">
            <v>1.1220000000000001</v>
          </cell>
          <cell r="L12">
            <v>1.3129999999999999</v>
          </cell>
          <cell r="M12">
            <v>1.389</v>
          </cell>
          <cell r="N12">
            <v>1.4850000000000001</v>
          </cell>
          <cell r="O12">
            <v>1.5509999999999999</v>
          </cell>
          <cell r="P12">
            <v>1.58</v>
          </cell>
          <cell r="Q12">
            <v>1.579</v>
          </cell>
          <cell r="R12">
            <v>1.752</v>
          </cell>
          <cell r="S12">
            <v>1.8360000000000001</v>
          </cell>
          <cell r="T12">
            <v>1.859</v>
          </cell>
          <cell r="U12">
            <v>1.996</v>
          </cell>
          <cell r="V12">
            <v>2.1520000000000001</v>
          </cell>
          <cell r="W12">
            <v>2.4540000000000002</v>
          </cell>
          <cell r="X12">
            <v>2.839</v>
          </cell>
          <cell r="Y12">
            <v>3.11</v>
          </cell>
          <cell r="Z12">
            <v>3.3860000000000001</v>
          </cell>
          <cell r="AA12">
            <v>3.399</v>
          </cell>
          <cell r="AB12">
            <v>3.3519999999999999</v>
          </cell>
          <cell r="AC12">
            <v>3.6429999999999998</v>
          </cell>
          <cell r="AD12">
            <v>3.734</v>
          </cell>
        </row>
        <row r="13">
          <cell r="C13">
            <v>1.488</v>
          </cell>
          <cell r="D13">
            <v>1.73</v>
          </cell>
          <cell r="E13">
            <v>1.9530000000000001</v>
          </cell>
          <cell r="F13">
            <v>2.15</v>
          </cell>
          <cell r="G13">
            <v>2.3809999999999998</v>
          </cell>
          <cell r="H13">
            <v>2.6440000000000001</v>
          </cell>
          <cell r="I13">
            <v>2.823</v>
          </cell>
          <cell r="J13">
            <v>3.008</v>
          </cell>
          <cell r="K13">
            <v>3.2719999999999998</v>
          </cell>
          <cell r="L13">
            <v>3.524</v>
          </cell>
          <cell r="M13">
            <v>3.7909999999999999</v>
          </cell>
          <cell r="N13">
            <v>4.1219999999999999</v>
          </cell>
          <cell r="O13">
            <v>4.3810000000000002</v>
          </cell>
          <cell r="P13">
            <v>4.5369999999999999</v>
          </cell>
          <cell r="Q13">
            <v>4.6120000000000001</v>
          </cell>
          <cell r="R13">
            <v>5.3520000000000003</v>
          </cell>
          <cell r="S13">
            <v>5.81</v>
          </cell>
          <cell r="T13">
            <v>6.0519999999999996</v>
          </cell>
          <cell r="U13">
            <v>6.657</v>
          </cell>
          <cell r="V13">
            <v>7.319</v>
          </cell>
          <cell r="W13">
            <v>8.2959999999999994</v>
          </cell>
          <cell r="X13">
            <v>9.5470000000000006</v>
          </cell>
          <cell r="Y13">
            <v>10.417</v>
          </cell>
          <cell r="Z13">
            <v>11.305999999999999</v>
          </cell>
          <cell r="AA13">
            <v>11.317</v>
          </cell>
          <cell r="AB13">
            <v>11.137</v>
          </cell>
          <cell r="AC13">
            <v>12.08</v>
          </cell>
          <cell r="AD13">
            <v>12.361000000000001</v>
          </cell>
        </row>
        <row r="14">
          <cell r="C14">
            <v>7.7279999999999998</v>
          </cell>
          <cell r="D14">
            <v>8.6159999999999997</v>
          </cell>
          <cell r="E14">
            <v>8.9290000000000003</v>
          </cell>
          <cell r="F14">
            <v>9.3070000000000004</v>
          </cell>
          <cell r="G14">
            <v>9.8930000000000007</v>
          </cell>
          <cell r="H14">
            <v>10.625</v>
          </cell>
          <cell r="I14">
            <v>11.557</v>
          </cell>
          <cell r="J14">
            <v>12.548999999999999</v>
          </cell>
          <cell r="K14">
            <v>13.372</v>
          </cell>
          <cell r="L14">
            <v>13.271000000000001</v>
          </cell>
          <cell r="M14">
            <v>14.346</v>
          </cell>
          <cell r="N14">
            <v>15.228999999999999</v>
          </cell>
          <cell r="O14">
            <v>16.119</v>
          </cell>
          <cell r="P14">
            <v>16.757000000000001</v>
          </cell>
          <cell r="Q14">
            <v>17.925000000000001</v>
          </cell>
          <cell r="R14">
            <v>20.408999999999999</v>
          </cell>
          <cell r="S14">
            <v>19.940999999999999</v>
          </cell>
          <cell r="T14">
            <v>17.489000000000001</v>
          </cell>
          <cell r="U14">
            <v>18.866</v>
          </cell>
          <cell r="V14">
            <v>20.234000000000002</v>
          </cell>
          <cell r="W14">
            <v>23.465</v>
          </cell>
          <cell r="X14">
            <v>25.234999999999999</v>
          </cell>
          <cell r="Y14">
            <v>23.076000000000001</v>
          </cell>
          <cell r="Z14">
            <v>21.920999999999999</v>
          </cell>
          <cell r="AA14">
            <v>20.27</v>
          </cell>
          <cell r="AB14">
            <v>23.465</v>
          </cell>
          <cell r="AC14">
            <v>22.902000000000001</v>
          </cell>
          <cell r="AD14">
            <v>25.501999999999999</v>
          </cell>
        </row>
        <row r="15">
          <cell r="C15">
            <v>3.62</v>
          </cell>
          <cell r="D15">
            <v>4.24</v>
          </cell>
          <cell r="E15">
            <v>4.556</v>
          </cell>
          <cell r="F15">
            <v>4.8330000000000002</v>
          </cell>
          <cell r="G15">
            <v>5.0919999999999996</v>
          </cell>
          <cell r="H15">
            <v>5.5890000000000004</v>
          </cell>
          <cell r="I15">
            <v>6.5960000000000001</v>
          </cell>
          <cell r="J15">
            <v>7.843</v>
          </cell>
          <cell r="K15">
            <v>9.18</v>
          </cell>
          <cell r="L15">
            <v>9.7729999999999997</v>
          </cell>
          <cell r="M15">
            <v>9.3960000000000008</v>
          </cell>
          <cell r="N15">
            <v>9.3469999999999995</v>
          </cell>
          <cell r="O15">
            <v>9.4949999999999992</v>
          </cell>
          <cell r="P15">
            <v>9.4380000000000006</v>
          </cell>
          <cell r="Q15">
            <v>10.036</v>
          </cell>
          <cell r="R15">
            <v>10.726000000000001</v>
          </cell>
          <cell r="S15">
            <v>11.612</v>
          </cell>
          <cell r="T15">
            <v>11.711</v>
          </cell>
          <cell r="U15">
            <v>12.583</v>
          </cell>
          <cell r="V15">
            <v>13.755000000000001</v>
          </cell>
          <cell r="W15">
            <v>14.68</v>
          </cell>
          <cell r="X15">
            <v>16.84</v>
          </cell>
          <cell r="Y15">
            <v>17.257999999999999</v>
          </cell>
          <cell r="Z15">
            <v>16.623999999999999</v>
          </cell>
          <cell r="AA15">
            <v>13.41</v>
          </cell>
          <cell r="AB15">
            <v>14.53</v>
          </cell>
          <cell r="AC15">
            <v>15.234999999999999</v>
          </cell>
          <cell r="AD15">
            <v>13.965999999999999</v>
          </cell>
        </row>
        <row r="16">
          <cell r="C16">
            <v>1.8140000000000001</v>
          </cell>
          <cell r="D16">
            <v>1.915</v>
          </cell>
          <cell r="E16">
            <v>1.841</v>
          </cell>
          <cell r="F16">
            <v>1.9159999999999999</v>
          </cell>
          <cell r="G16">
            <v>2.06</v>
          </cell>
          <cell r="H16">
            <v>1.988</v>
          </cell>
          <cell r="I16">
            <v>2.0270000000000001</v>
          </cell>
          <cell r="J16">
            <v>1.9039999999999999</v>
          </cell>
          <cell r="K16">
            <v>1.712</v>
          </cell>
          <cell r="L16">
            <v>1.542</v>
          </cell>
          <cell r="M16">
            <v>1.51</v>
          </cell>
          <cell r="N16">
            <v>1.542</v>
          </cell>
          <cell r="O16">
            <v>1.4039999999999999</v>
          </cell>
          <cell r="P16">
            <v>1.26</v>
          </cell>
          <cell r="Q16">
            <v>1.331</v>
          </cell>
          <cell r="R16">
            <v>1.5029999999999999</v>
          </cell>
          <cell r="S16">
            <v>1.8779999999999999</v>
          </cell>
          <cell r="T16">
            <v>2.3319999999999999</v>
          </cell>
          <cell r="U16">
            <v>2.6360000000000001</v>
          </cell>
          <cell r="V16">
            <v>3.2090000000000001</v>
          </cell>
          <cell r="W16">
            <v>4.4349999999999996</v>
          </cell>
          <cell r="X16">
            <v>5.5510000000000002</v>
          </cell>
          <cell r="Y16">
            <v>8.1649999999999991</v>
          </cell>
          <cell r="Z16">
            <v>12.17</v>
          </cell>
          <cell r="AA16">
            <v>12.565</v>
          </cell>
          <cell r="AB16">
            <v>12.388</v>
          </cell>
          <cell r="AC16">
            <v>16.158000000000001</v>
          </cell>
          <cell r="AD16">
            <v>15.741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A_Data"/>
      <sheetName val="BB5AF8A8-8847-3795-A9E8-C8C2807"/>
      <sheetName val="Ag Cons by Use"/>
      <sheetName val="Farms"/>
      <sheetName val="Intensity_estimates"/>
      <sheetName val="stb0303"/>
      <sheetName val="stb0304"/>
      <sheetName val="stb0523"/>
      <sheetName val="stb0524"/>
      <sheetName val="Petroleum_prices"/>
    </sheetNames>
    <sheetDataSet>
      <sheetData sheetId="0"/>
      <sheetData sheetId="1"/>
      <sheetData sheetId="2"/>
      <sheetData sheetId="3"/>
      <sheetData sheetId="4">
        <row r="6">
          <cell r="I6">
            <v>1102</v>
          </cell>
        </row>
      </sheetData>
      <sheetData sheetId="5"/>
      <sheetData sheetId="6"/>
      <sheetData sheetId="7"/>
      <sheetData sheetId="8"/>
      <sheetData sheetId="9">
        <row r="5">
          <cell r="E5">
            <v>0.40410071942446046</v>
          </cell>
          <cell r="J5">
            <v>0.27941058655221745</v>
          </cell>
          <cell r="AA5">
            <v>0.3302241379310345</v>
          </cell>
        </row>
        <row r="6">
          <cell r="E6">
            <v>0.41272482014388495</v>
          </cell>
          <cell r="J6">
            <v>0.29288698140200281</v>
          </cell>
          <cell r="AA6">
            <v>0.32096551724137934</v>
          </cell>
        </row>
        <row r="7">
          <cell r="E7">
            <v>0.55625449640287772</v>
          </cell>
          <cell r="J7">
            <v>0.42136194563662377</v>
          </cell>
          <cell r="AA7">
            <v>0.43669827586206894</v>
          </cell>
        </row>
        <row r="8">
          <cell r="E8">
            <v>0.76692895683453244</v>
          </cell>
          <cell r="J8">
            <v>0.60194563662374823</v>
          </cell>
          <cell r="AA8">
            <v>0.59872413793103452</v>
          </cell>
        </row>
        <row r="9">
          <cell r="E9">
            <v>0.84885791366906471</v>
          </cell>
          <cell r="J9">
            <v>0.72143633762517878</v>
          </cell>
          <cell r="AA9">
            <v>0.75766379310344834</v>
          </cell>
        </row>
        <row r="10">
          <cell r="E10">
            <v>0.7983453237410072</v>
          </cell>
          <cell r="J10">
            <v>0.69897567954220319</v>
          </cell>
          <cell r="AA10">
            <v>0.71754310344827588</v>
          </cell>
        </row>
        <row r="11">
          <cell r="E11">
            <v>0.76446492805755406</v>
          </cell>
          <cell r="J11">
            <v>0.65764806866952796</v>
          </cell>
          <cell r="AA11">
            <v>0.69439655172413794</v>
          </cell>
        </row>
        <row r="12">
          <cell r="E12">
            <v>0.74660071942446038</v>
          </cell>
          <cell r="J12">
            <v>0.66214020028612308</v>
          </cell>
          <cell r="AA12">
            <v>0.7329741379310345</v>
          </cell>
        </row>
        <row r="13">
          <cell r="E13">
            <v>0.74044064748201444</v>
          </cell>
          <cell r="J13">
            <v>0.6486638054363375</v>
          </cell>
          <cell r="AA13">
            <v>0.6635344827586207</v>
          </cell>
        </row>
        <row r="14">
          <cell r="E14">
            <v>0.57103866906474821</v>
          </cell>
          <cell r="J14">
            <v>0.51030615164520743</v>
          </cell>
          <cell r="AA14">
            <v>0.3657155172413793</v>
          </cell>
        </row>
        <row r="15">
          <cell r="E15">
            <v>0.58397482014388491</v>
          </cell>
          <cell r="J15">
            <v>0.53636051502145921</v>
          </cell>
          <cell r="AA15">
            <v>0.44132758620689655</v>
          </cell>
        </row>
        <row r="16">
          <cell r="E16">
            <v>0.58274280575539572</v>
          </cell>
          <cell r="J16">
            <v>0.5237825464949929</v>
          </cell>
          <cell r="AA16">
            <v>0.36262931034482759</v>
          </cell>
        </row>
        <row r="17">
          <cell r="E17">
            <v>0.62894334532374097</v>
          </cell>
          <cell r="J17">
            <v>0.57768812589413443</v>
          </cell>
          <cell r="AA17">
            <v>0.41972413793103452</v>
          </cell>
        </row>
        <row r="18">
          <cell r="E18">
            <v>0.71703237410071941</v>
          </cell>
          <cell r="J18">
            <v>0.68999141630901284</v>
          </cell>
          <cell r="AA18">
            <v>0.48916379310344826</v>
          </cell>
        </row>
        <row r="19">
          <cell r="E19">
            <v>0.70224820143884892</v>
          </cell>
          <cell r="J19">
            <v>0.65495278969957083</v>
          </cell>
          <cell r="AA19">
            <v>0.4042931034482759</v>
          </cell>
        </row>
        <row r="20">
          <cell r="E20">
            <v>0.69424010791366897</v>
          </cell>
          <cell r="J20">
            <v>0.63698426323319024</v>
          </cell>
          <cell r="AA20">
            <v>0.35182758620689653</v>
          </cell>
        </row>
        <row r="21">
          <cell r="E21">
            <v>0.68253597122302168</v>
          </cell>
          <cell r="J21">
            <v>0.6360858369098713</v>
          </cell>
          <cell r="AA21">
            <v>0.34874137931034482</v>
          </cell>
        </row>
        <row r="22">
          <cell r="E22">
            <v>0.68500000000000005</v>
          </cell>
          <cell r="J22">
            <v>0.628</v>
          </cell>
          <cell r="AA22">
            <v>0.35799999999999998</v>
          </cell>
        </row>
        <row r="23">
          <cell r="E23">
            <v>0.71399999999999997</v>
          </cell>
          <cell r="J23">
            <v>0.63600000000000001</v>
          </cell>
          <cell r="AA23">
            <v>0.39700000000000002</v>
          </cell>
        </row>
        <row r="24">
          <cell r="E24">
            <v>0.80100000000000005</v>
          </cell>
          <cell r="J24">
            <v>0.75700000000000001</v>
          </cell>
          <cell r="AA24">
            <v>0.46400000000000002</v>
          </cell>
        </row>
        <row r="25">
          <cell r="E25">
            <v>0.78500000000000003</v>
          </cell>
          <cell r="J25">
            <v>0.71399999999999997</v>
          </cell>
          <cell r="AA25">
            <v>0.42899999999999999</v>
          </cell>
        </row>
        <row r="26">
          <cell r="E26">
            <v>0.61</v>
          </cell>
          <cell r="J26">
            <v>0.56200000000000006</v>
          </cell>
          <cell r="AA26">
            <v>0.311</v>
          </cell>
        </row>
        <row r="27">
          <cell r="E27">
            <v>0.70799999999999996</v>
          </cell>
          <cell r="J27">
            <v>0.65400000000000003</v>
          </cell>
          <cell r="AA27">
            <v>0.378</v>
          </cell>
        </row>
        <row r="28">
          <cell r="E28">
            <v>1.044</v>
          </cell>
          <cell r="J28">
            <v>1.006</v>
          </cell>
          <cell r="AA28">
            <v>0.60899999999999999</v>
          </cell>
        </row>
        <row r="29">
          <cell r="E29">
            <v>0.96799999999999997</v>
          </cell>
          <cell r="J29">
            <v>0.91200000000000003</v>
          </cell>
          <cell r="AA29">
            <v>0.53300000000000003</v>
          </cell>
        </row>
        <row r="30">
          <cell r="E30">
            <v>0.90100000000000002</v>
          </cell>
          <cell r="J30">
            <v>0.83699999999999997</v>
          </cell>
          <cell r="AA30">
            <v>0.56100000000000005</v>
          </cell>
        </row>
        <row r="31">
          <cell r="E31">
            <v>1.0820000000000001</v>
          </cell>
          <cell r="J31">
            <v>1.008</v>
          </cell>
          <cell r="AA31">
            <v>0.69599999999999995</v>
          </cell>
        </row>
        <row r="32">
          <cell r="E32">
            <v>1.373</v>
          </cell>
          <cell r="J32">
            <v>1.3160000000000001</v>
          </cell>
          <cell r="AA32">
            <v>0.72499999999999998</v>
          </cell>
        </row>
        <row r="33">
          <cell r="E33">
            <v>1.7889999999999999</v>
          </cell>
          <cell r="J33">
            <v>1.8859999999999999</v>
          </cell>
          <cell r="AA33">
            <v>1.0409999999999999</v>
          </cell>
        </row>
        <row r="34">
          <cell r="E34">
            <v>2.073</v>
          </cell>
          <cell r="J34">
            <v>2.165</v>
          </cell>
          <cell r="AA34">
            <v>1.212</v>
          </cell>
        </row>
        <row r="35">
          <cell r="E35">
            <v>2.2970000000000002</v>
          </cell>
          <cell r="J35">
            <v>2.3479999999999999</v>
          </cell>
          <cell r="AA35">
            <v>1.3759999999999999</v>
          </cell>
        </row>
        <row r="36">
          <cell r="E36">
            <v>2.7309999999999999</v>
          </cell>
          <cell r="J36">
            <v>3.23</v>
          </cell>
          <cell r="AA36">
            <v>1.944</v>
          </cell>
        </row>
        <row r="37">
          <cell r="E37">
            <v>1.8420000000000001</v>
          </cell>
          <cell r="J37">
            <v>1.9179999999999999</v>
          </cell>
          <cell r="AA37">
            <v>1.34</v>
          </cell>
        </row>
        <row r="38">
          <cell r="E38">
            <v>2.2669999999999999</v>
          </cell>
          <cell r="J38">
            <v>2.415</v>
          </cell>
          <cell r="AA38">
            <v>1.7290000000000001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Few Notes"/>
      <sheetName val="ASM_DB"/>
      <sheetName val="ELECTRICITY"/>
      <sheetName val="PURCHASED FUEL"/>
      <sheetName val="Distillate"/>
      <sheetName val="Resid"/>
      <sheetName val="Prices"/>
      <sheetName val="AER_11_Table3.4"/>
      <sheetName val="3DNAICS"/>
      <sheetName val="Original_MECS (110910)"/>
      <sheetName val="Pivot_table-(not used)"/>
      <sheetName val="Quantity_shares"/>
      <sheetName val="Quantity_shares_revised"/>
      <sheetName val="Expenditure_ratios (NOT USED)"/>
      <sheetName val="Expenditure_ratios_revised"/>
      <sheetName val="Expend_ratios_revised_1985-97"/>
      <sheetName val="Final_quant._elec_w_ASM_87"/>
      <sheetName val="Final_quantities_w_ASM_85"/>
      <sheetName val="Final_quantities-NOT USED"/>
      <sheetName val="BTU charts"/>
      <sheetName val="Chart6"/>
      <sheetName val="Asmt4"/>
      <sheetName val="Lookups"/>
      <sheetName val="3Digit"/>
      <sheetName val="313&amp;314"/>
      <sheetName val="334fix"/>
      <sheetName val="336fix"/>
      <sheetName val="339fix"/>
      <sheetName val="AERTable6.8"/>
      <sheetName val="Chart9"/>
      <sheetName val="Chart10"/>
      <sheetName val="Chart11"/>
      <sheetName val="Chart12"/>
      <sheetName val="Chart13"/>
      <sheetName val="Chart14"/>
      <sheetName val="Chart15"/>
      <sheetName val="Chart16"/>
      <sheetName val="Chart17"/>
      <sheetName val="Chart18"/>
      <sheetName val="Chart19"/>
      <sheetName val="Chart20"/>
      <sheetName val="Chart21"/>
      <sheetName val="Chart22"/>
    </sheetNames>
    <sheetDataSet>
      <sheetData sheetId="0"/>
      <sheetData sheetId="1"/>
      <sheetData sheetId="2"/>
      <sheetData sheetId="3"/>
      <sheetData sheetId="4"/>
      <sheetData sheetId="5"/>
      <sheetData sheetId="6">
        <row r="32">
          <cell r="F32">
            <v>66.040000000000006</v>
          </cell>
          <cell r="L32">
            <v>3.2857116165718931</v>
          </cell>
          <cell r="M32">
            <v>2.6162101576182137</v>
          </cell>
          <cell r="X32">
            <v>3.88</v>
          </cell>
        </row>
        <row r="37">
          <cell r="F37">
            <v>55.6</v>
          </cell>
          <cell r="L37">
            <v>1.966730300568643</v>
          </cell>
          <cell r="M37">
            <v>1.2990210157618214</v>
          </cell>
          <cell r="X37">
            <v>4.08</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Census%20Data%20for%20Mining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refreshedDate="43900.878950578706" createdVersion="6" refreshedVersion="6" minRefreshableVersion="3" recordCount="48" xr:uid="{401DDA4B-D9D2-459B-B04F-EF230C33109E}">
  <cacheSource type="worksheet">
    <worksheetSource ref="A1:BK49" sheet="Census_data_for_2017" r:id="rId2"/>
  </cacheSource>
  <cacheFields count="63">
    <cacheField name="66" numFmtId="0">
      <sharedItems/>
    </cacheField>
    <cacheField name="NAICS2017" numFmtId="0">
      <sharedItems containsSemiMixedTypes="0" containsString="0" containsNumber="1" containsInteger="1" minValue="21" maxValue="213115" count="48">
        <n v="21"/>
        <n v="211"/>
        <n v="2111"/>
        <n v="21112"/>
        <n v="211120"/>
        <n v="21113"/>
        <n v="211130"/>
        <n v="212"/>
        <n v="2121"/>
        <n v="21211"/>
        <n v="212111"/>
        <n v="212112"/>
        <n v="212113"/>
        <n v="2122"/>
        <n v="21221"/>
        <n v="212210"/>
        <n v="21222"/>
        <n v="212221"/>
        <n v="212222"/>
        <n v="21223"/>
        <n v="212230"/>
        <n v="21229"/>
        <n v="212291"/>
        <n v="212299"/>
        <n v="2123"/>
        <n v="21231"/>
        <n v="212311"/>
        <n v="212312"/>
        <n v="212313"/>
        <n v="212319"/>
        <n v="21232"/>
        <n v="212321"/>
        <n v="212322"/>
        <n v="212324"/>
        <n v="212325"/>
        <n v="21239"/>
        <n v="212391"/>
        <n v="212392"/>
        <n v="212393"/>
        <n v="212399"/>
        <n v="213"/>
        <n v="2131"/>
        <n v="21311"/>
        <n v="213111"/>
        <n v="213112"/>
        <n v="213113"/>
        <n v="213114"/>
        <n v="213115"/>
      </sharedItems>
    </cacheField>
    <cacheField name="YEAR" numFmtId="0">
      <sharedItems containsSemiMixedTypes="0" containsString="0" containsNumber="1" containsInteger="1" minValue="2017" maxValue="2017"/>
    </cacheField>
    <cacheField name="NAICS2017_F" numFmtId="0">
      <sharedItems count="1">
        <s v="null"/>
      </sharedItems>
    </cacheField>
    <cacheField name="GEO_ID_F" numFmtId="0">
      <sharedItems/>
    </cacheField>
    <cacheField name="NAICS2017_LABEL" numFmtId="0">
      <sharedItems count="40">
        <s v="Mining, quarrying, and oil and gas extraction"/>
        <s v="Oil and gas extraction"/>
        <s v="Crude petroleum extraction"/>
        <s v="Natural gas extraction"/>
        <s v="Mining (except oil and gas)"/>
        <s v="Coal mining"/>
        <s v="Bituminous coal and lignite surface mining"/>
        <s v="Bituminous coal underground mining"/>
        <s v="Anthracite mining"/>
        <s v="Metal ore mining"/>
        <s v="Iron ore mining"/>
        <s v="Gold ore and silver ore mining"/>
        <s v="Gold ore mining"/>
        <s v="Silver ore mining"/>
        <s v="Copper, nickel, lead, and zinc mining"/>
        <s v="Other metal ore mining"/>
        <s v="Uranium-radium-vanadium ore mining"/>
        <s v="All other metal ore mining"/>
        <s v="Nonmetallic mineral mining and quarrying"/>
        <s v="Stone mining and quarrying"/>
        <s v="Dimension stone mining and quarrying"/>
        <s v="Crushed and broken limestone mining and quarrying"/>
        <s v="Crushed and broken granite mining and quarrying"/>
        <s v="Other crushed and broken stone mining and quarrying"/>
        <s v="Sand, gravel, clay, and ceramic and refractory minerals mining and quarrying"/>
        <s v="Construction sand and gravel mining"/>
        <s v="Industrial sand mining"/>
        <s v="Kaolin and ball clay mining"/>
        <s v="Clay and ceramic and refractory minerals mining"/>
        <s v="Other nonmetallic mineral mining and quarrying"/>
        <s v="Potash, soda, and borate mineral mining"/>
        <s v="Phosphate rock mining"/>
        <s v="Other chemical and fertilizer mineral mining"/>
        <s v="All other nonmetallic mineral mining"/>
        <s v="Support activities for mining"/>
        <s v="Drilling oil and gas wells"/>
        <s v="Support activities for oil and gas operations"/>
        <s v="Support activities for coal mining"/>
        <s v="Support activities for metal mining"/>
        <s v="Support activities for nonmetallic minerals (except fuels) mining"/>
      </sharedItems>
    </cacheField>
    <cacheField name="NAME" numFmtId="0">
      <sharedItems/>
    </cacheField>
    <cacheField name="BENEFIT" numFmtId="0">
      <sharedItems/>
    </cacheField>
    <cacheField name="BENHEA" numFmtId="0">
      <sharedItems/>
    </cacheField>
    <cacheField name="BENOTH" numFmtId="0">
      <sharedItems/>
    </cacheField>
    <cacheField name="BENPEB" numFmtId="0">
      <sharedItems/>
    </cacheField>
    <cacheField name="BENPEC" numFmtId="0">
      <sharedItems/>
    </cacheField>
    <cacheField name="CEXND" numFmtId="0">
      <sharedItems/>
    </cacheField>
    <cacheField name="CEXNL" numFmtId="0">
      <sharedItems/>
    </cacheField>
    <cacheField name="CEXNTNL" numFmtId="0">
      <sharedItems/>
    </cacheField>
    <cacheField name="CEXTOT" numFmtId="0">
      <sharedItems/>
    </cacheField>
    <cacheField name="CSTCNT" numFmtId="0">
      <sharedItems containsMixedTypes="1" containsNumber="1" containsInteger="1" minValue="5853" maxValue="16892127"/>
    </cacheField>
    <cacheField name="CSTELEC" numFmtId="0">
      <sharedItems containsMixedTypes="1" containsNumber="1" containsInteger="1" minValue="4733" maxValue="6023519"/>
    </cacheField>
    <cacheField name="CSTFU" numFmtId="0">
      <sharedItems containsMixedTypes="1" containsNumber="1" containsInteger="1" minValue="3804" maxValue="8995680" count="37">
        <n v="8995680"/>
        <n v="3863157"/>
        <n v="3238335"/>
        <n v="624822"/>
        <n v="3606886"/>
        <n v="813773"/>
        <n v="631575"/>
        <n v="173075"/>
        <n v="9123"/>
        <n v="1671908"/>
        <n v="280016"/>
        <n v="719836"/>
        <s v="D"/>
        <n v="643127"/>
        <n v="28929"/>
        <n v="3804"/>
        <n v="25125"/>
        <n v="1121205"/>
        <n v="536805"/>
        <n v="15966"/>
        <n v="383180"/>
        <n v="77857"/>
        <n v="59802"/>
        <n v="391774"/>
        <n v="195159"/>
        <n v="94832"/>
        <n v="56548"/>
        <n v="45235"/>
        <n v="192626"/>
        <n v="107448"/>
        <n v="29891"/>
        <n v="1525637"/>
        <n v="186379"/>
        <n v="1281838"/>
        <n v="22202"/>
        <n v="14255"/>
        <n v="20963"/>
      </sharedItems>
    </cacheField>
    <cacheField name="CSTMPRT" numFmtId="0">
      <sharedItems containsSemiMixedTypes="0" containsString="0" containsNumber="1" containsInteger="1" minValue="34119" maxValue="66828973"/>
    </cacheField>
    <cacheField name="CSTMTOT" numFmtId="0">
      <sharedItems containsSemiMixedTypes="0" containsString="0" containsNumber="1" containsInteger="1" minValue="55804" maxValue="99624995"/>
    </cacheField>
    <cacheField name="CSTRSL" numFmtId="0">
      <sharedItems containsMixedTypes="1" containsNumber="1" containsInteger="1" minValue="0" maxValue="884696"/>
    </cacheField>
    <cacheField name="ELECGEN" numFmtId="0">
      <sharedItems containsMixedTypes="1" containsNumber="1" containsInteger="1" minValue="0" maxValue="2924958"/>
    </cacheField>
    <cacheField name="ELECPCH" numFmtId="0">
      <sharedItems containsSemiMixedTypes="0" containsString="0" containsNumber="1" containsInteger="1" minValue="51037" maxValue="90647652" count="40">
        <n v="90647652"/>
        <n v="38107448"/>
        <n v="24676154"/>
        <n v="13431294"/>
        <n v="43886051"/>
        <n v="9276110"/>
        <n v="2428470"/>
        <n v="6793613"/>
        <n v="54027"/>
        <n v="21568555"/>
        <n v="6300444"/>
        <n v="7910835"/>
        <n v="7776033"/>
        <n v="134802"/>
        <n v="6763564"/>
        <n v="593712"/>
        <n v="124242"/>
        <n v="469470"/>
        <n v="13041386"/>
        <n v="4592502"/>
        <n v="128006"/>
        <n v="3220418"/>
        <n v="699354"/>
        <n v="544724"/>
        <n v="4214480"/>
        <n v="1999088"/>
        <n v="951925"/>
        <n v="890061"/>
        <n v="373406"/>
        <n v="4234404"/>
        <n v="986164"/>
        <n v="2686387"/>
        <n v="223002"/>
        <n v="338851"/>
        <n v="8654153"/>
        <n v="1840495"/>
        <n v="6545885"/>
        <n v="144398"/>
        <n v="72338"/>
        <n v="51037"/>
      </sharedItems>
    </cacheField>
    <cacheField name="ELECSLD" numFmtId="0">
      <sharedItems containsMixedTypes="1" containsNumber="1" containsInteger="1" minValue="0" maxValue="4563"/>
    </cacheField>
    <cacheField name="EMP" numFmtId="0">
      <sharedItems containsSemiMixedTypes="0" containsString="0" containsNumber="1" containsInteger="1" minValue="475" maxValue="644698"/>
    </cacheField>
    <cacheField name="EMPQ1PW" numFmtId="0">
      <sharedItems containsSemiMixedTypes="0" containsString="0" containsNumber="1" containsInteger="1" minValue="350" maxValue="491567"/>
    </cacheField>
    <cacheField name="EMP_IMP" numFmtId="0">
      <sharedItems/>
    </cacheField>
    <cacheField name="ESTAB" numFmtId="0">
      <sharedItems containsSemiMixedTypes="0" containsString="0" containsNumber="1" containsInteger="1" minValue="9" maxValue="26006"/>
    </cacheField>
    <cacheField name="FIRM" numFmtId="0">
      <sharedItems containsSemiMixedTypes="0" containsString="0" containsNumber="1" containsInteger="1" minValue="5" maxValue="19250"/>
    </cacheField>
    <cacheField name="HOURS" numFmtId="0">
      <sharedItems containsSemiMixedTypes="0" containsString="0" containsNumber="1" containsInteger="1" minValue="660" maxValue="1003564"/>
    </cacheField>
    <cacheField name="INVFINB" numFmtId="0">
      <sharedItems containsMixedTypes="1" containsNumber="1" containsInteger="1" minValue="7417" maxValue="10351265"/>
    </cacheField>
    <cacheField name="INVFINE" numFmtId="0">
      <sharedItems containsMixedTypes="1" containsNumber="1" containsInteger="1" minValue="24634" maxValue="10751648"/>
    </cacheField>
    <cacheField name="INVMATB" numFmtId="0">
      <sharedItems containsMixedTypes="1" containsNumber="1" containsInteger="1" minValue="348" maxValue="4798641"/>
    </cacheField>
    <cacheField name="INVMATE" numFmtId="0">
      <sharedItems containsMixedTypes="1" containsNumber="1" containsInteger="1" minValue="435" maxValue="5710848"/>
    </cacheField>
    <cacheField name="INVTOTB" numFmtId="0">
      <sharedItems containsMixedTypes="1" containsNumber="1" containsInteger="1" minValue="20346" maxValue="15149906"/>
    </cacheField>
    <cacheField name="INVTOTE" numFmtId="0">
      <sharedItems containsMixedTypes="1" containsNumber="1" containsInteger="1" minValue="18107" maxValue="16462496"/>
    </cacheField>
    <cacheField name="OPEXMIN" numFmtId="0">
      <sharedItems/>
    </cacheField>
    <cacheField name="OPXMNRY" numFmtId="0">
      <sharedItems/>
    </cacheField>
    <cacheField name="OPXMNXR" numFmtId="0">
      <sharedItems/>
    </cacheField>
    <cacheField name="PAYANN" numFmtId="0">
      <sharedItems containsSemiMixedTypes="0" containsString="0" containsNumber="1" containsInteger="1" minValue="30995" maxValue="51260187"/>
    </cacheField>
    <cacheField name="PAYANN_IMP" numFmtId="0">
      <sharedItems/>
    </cacheField>
    <cacheField name="PAYANPW" numFmtId="0">
      <sharedItems containsSemiMixedTypes="0" containsString="0" containsNumber="1" containsInteger="1" minValue="21669" maxValue="37214014"/>
    </cacheField>
    <cacheField name="PAYQTR1" numFmtId="0">
      <sharedItems containsSemiMixedTypes="0" containsString="0" containsNumber="1" containsInteger="1" minValue="6659" maxValue="13550712"/>
    </cacheField>
    <cacheField name="PCHADVT" numFmtId="0">
      <sharedItems containsMixedTypes="1" containsNumber="1" containsInteger="1" minValue="10" maxValue="280432"/>
    </cacheField>
    <cacheField name="PCHCMPQ" numFmtId="0">
      <sharedItems containsMixedTypes="1" containsNumber="1" containsInteger="1" minValue="50" maxValue="735329"/>
    </cacheField>
    <cacheField name="PCHCSVC" numFmtId="0">
      <sharedItems containsMixedTypes="1" containsNumber="1" containsInteger="1" minValue="131" maxValue="1039058"/>
    </cacheField>
    <cacheField name="PCHDAPR" numFmtId="0">
      <sharedItems containsMixedTypes="1" containsNumber="1" containsInteger="1" minValue="37" maxValue="431817"/>
    </cacheField>
    <cacheField name="PCHEXSO" numFmtId="0">
      <sharedItems containsMixedTypes="1" containsNumber="1" containsInteger="1" minValue="35" maxValue="569744"/>
    </cacheField>
    <cacheField name="PCHOEXP" numFmtId="0">
      <sharedItems containsMixedTypes="1" containsNumber="1" containsInteger="1" minValue="2938" maxValue="23702150"/>
    </cacheField>
    <cacheField name="PCHPRTE" numFmtId="0">
      <sharedItems containsMixedTypes="1" containsNumber="1" containsInteger="1" minValue="1241" maxValue="4091999"/>
    </cacheField>
    <cacheField name="PCHRFUS" numFmtId="0">
      <sharedItems containsMixedTypes="1" containsNumber="1" containsInteger="1" minValue="38" maxValue="784743"/>
    </cacheField>
    <cacheField name="PCHRPR" numFmtId="0">
      <sharedItems containsMixedTypes="1" containsNumber="1" containsInteger="1" minValue="336" maxValue="7978331"/>
    </cacheField>
    <cacheField name="PCHTAX" numFmtId="0">
      <sharedItems containsMixedTypes="1" containsNumber="1" containsInteger="1" minValue="1179" maxValue="7504000"/>
    </cacheField>
    <cacheField name="PCHTEMP" numFmtId="0">
      <sharedItems containsMixedTypes="1" containsNumber="1" containsInteger="1" minValue="1406" maxValue="4986014"/>
    </cacheField>
    <cacheField name="PCHTT" numFmtId="0">
      <sharedItems containsMixedTypes="1" containsNumber="1" containsInteger="1" minValue="15695" maxValue="52103617"/>
    </cacheField>
    <cacheField name="RCPTOT" numFmtId="0">
      <sharedItems containsSemiMixedTypes="0" containsString="0" containsNumber="1" containsInteger="1" minValue="140517" maxValue="408792815"/>
    </cacheField>
    <cacheField name="RCPTOT_IMP" numFmtId="0">
      <sharedItems/>
    </cacheField>
    <cacheField name="RNPROP" numFmtId="0">
      <sharedItems/>
    </cacheField>
    <cacheField name="RPBLD" numFmtId="0">
      <sharedItems containsMixedTypes="1" containsNumber="1" containsInteger="1" minValue="9" maxValue="1532106"/>
    </cacheField>
    <cacheField name="RPMCH" numFmtId="0">
      <sharedItems containsMixedTypes="1" containsNumber="1" containsInteger="1" minValue="722" maxValue="4409236"/>
    </cacheField>
    <cacheField name="RPTOT" numFmtId="0">
      <sharedItems containsMixedTypes="1" containsNumber="1" containsInteger="1" minValue="1292" maxValue="5941342"/>
    </cacheField>
    <cacheField name="VALAD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0100000US"/>
    <x v="0"/>
    <n v="2017"/>
    <x v="0"/>
    <s v="null"/>
    <x v="0"/>
    <s v="United States"/>
    <s v="N"/>
    <s v="N"/>
    <s v="N"/>
    <s v="N"/>
    <s v="N"/>
    <s v="N"/>
    <s v="N"/>
    <s v="N"/>
    <s v="N"/>
    <n v="16892127"/>
    <n v="6023519"/>
    <x v="0"/>
    <n v="66828973"/>
    <n v="99624995"/>
    <n v="884696"/>
    <n v="2924958"/>
    <x v="0"/>
    <n v="4563"/>
    <n v="644698"/>
    <n v="491567"/>
    <s v="N"/>
    <n v="26006"/>
    <n v="19250"/>
    <n v="1003564"/>
    <n v="10351265"/>
    <n v="10751648"/>
    <n v="4798641"/>
    <n v="5710848"/>
    <n v="15149906"/>
    <n v="16462496"/>
    <s v="N"/>
    <s v="N"/>
    <s v="N"/>
    <n v="51260187"/>
    <s v="N"/>
    <n v="37214014"/>
    <n v="13550712"/>
    <n v="280432"/>
    <n v="735329"/>
    <n v="1039058"/>
    <n v="431817"/>
    <n v="569744"/>
    <n v="23702150"/>
    <n v="4091999"/>
    <n v="784743"/>
    <n v="7978331"/>
    <n v="7504000"/>
    <n v="4986014"/>
    <n v="52103617"/>
    <n v="408792815"/>
    <s v="N"/>
    <s v="N"/>
    <n v="1532106"/>
    <n v="4409236"/>
    <n v="5941342"/>
    <s v="N"/>
  </r>
  <r>
    <s v="0100000US"/>
    <x v="1"/>
    <n v="2017"/>
    <x v="0"/>
    <s v="null"/>
    <x v="1"/>
    <s v="United States"/>
    <s v="N"/>
    <s v="N"/>
    <s v="N"/>
    <s v="N"/>
    <s v="N"/>
    <s v="N"/>
    <s v="N"/>
    <s v="N"/>
    <s v="N"/>
    <n v="13574785"/>
    <s v="D"/>
    <x v="1"/>
    <n v="40007793"/>
    <n v="60605375"/>
    <s v="D"/>
    <s v="D"/>
    <x v="1"/>
    <s v="D"/>
    <n v="139812"/>
    <n v="78154"/>
    <s v="N"/>
    <n v="6469"/>
    <n v="5161"/>
    <n v="156660"/>
    <n v="2167155"/>
    <n v="2530180"/>
    <n v="1318756"/>
    <n v="1416747"/>
    <n v="3485911"/>
    <n v="3946927"/>
    <s v="N"/>
    <s v="N"/>
    <s v="N"/>
    <n v="14075852"/>
    <s v="N"/>
    <n v="7265269"/>
    <n v="4600907"/>
    <n v="36463"/>
    <n v="159627"/>
    <n v="326534"/>
    <n v="293729"/>
    <n v="288175"/>
    <n v="10343148"/>
    <n v="1590422"/>
    <n v="421525"/>
    <n v="1137431"/>
    <n v="4007518"/>
    <n v="1573089"/>
    <n v="20177661"/>
    <n v="234040532"/>
    <s v="N"/>
    <s v="N"/>
    <n v="838872"/>
    <n v="1704145"/>
    <n v="2543017"/>
    <s v="N"/>
  </r>
  <r>
    <s v="0100000US"/>
    <x v="2"/>
    <n v="2017"/>
    <x v="0"/>
    <s v="null"/>
    <x v="1"/>
    <s v="United States"/>
    <s v="N"/>
    <s v="N"/>
    <s v="N"/>
    <s v="N"/>
    <s v="N"/>
    <s v="N"/>
    <s v="N"/>
    <s v="N"/>
    <s v="N"/>
    <n v="13574785"/>
    <s v="D"/>
    <x v="1"/>
    <n v="40007793"/>
    <n v="60605375"/>
    <s v="D"/>
    <s v="D"/>
    <x v="1"/>
    <s v="D"/>
    <n v="139812"/>
    <n v="78154"/>
    <s v="N"/>
    <n v="6469"/>
    <n v="5161"/>
    <n v="156660"/>
    <n v="2167155"/>
    <n v="2530180"/>
    <n v="1318756"/>
    <n v="1416747"/>
    <n v="3485911"/>
    <n v="3946927"/>
    <s v="N"/>
    <s v="N"/>
    <s v="N"/>
    <n v="14075852"/>
    <s v="N"/>
    <n v="7265269"/>
    <n v="4600907"/>
    <n v="36463"/>
    <n v="159627"/>
    <n v="326534"/>
    <n v="293729"/>
    <n v="288175"/>
    <n v="10343148"/>
    <n v="1590422"/>
    <n v="421525"/>
    <n v="1137431"/>
    <n v="4007518"/>
    <n v="1573089"/>
    <n v="20177661"/>
    <n v="234040532"/>
    <s v="N"/>
    <s v="N"/>
    <n v="838872"/>
    <n v="1704145"/>
    <n v="2543017"/>
    <s v="N"/>
  </r>
  <r>
    <s v="0100000US"/>
    <x v="3"/>
    <n v="2017"/>
    <x v="0"/>
    <s v="null"/>
    <x v="2"/>
    <s v="United States"/>
    <s v="N"/>
    <s v="N"/>
    <s v="N"/>
    <s v="N"/>
    <s v="N"/>
    <s v="N"/>
    <s v="N"/>
    <s v="N"/>
    <s v="N"/>
    <n v="9280592"/>
    <s v="D"/>
    <x v="2"/>
    <n v="16390456"/>
    <n v="31113419"/>
    <s v="D"/>
    <s v="D"/>
    <x v="2"/>
    <s v="D"/>
    <n v="113228"/>
    <n v="60513"/>
    <s v="N"/>
    <n v="5498"/>
    <n v="4708"/>
    <n v="120502"/>
    <n v="1852010"/>
    <n v="2021822"/>
    <n v="1085045"/>
    <n v="1203140"/>
    <n v="2937055"/>
    <n v="3224962"/>
    <s v="N"/>
    <s v="N"/>
    <s v="N"/>
    <n v="11524199"/>
    <s v="N"/>
    <n v="5657739"/>
    <n v="3830689"/>
    <n v="24772"/>
    <n v="121891"/>
    <n v="281458"/>
    <n v="256426"/>
    <n v="226173"/>
    <n v="8362811"/>
    <n v="1125912"/>
    <n v="319890"/>
    <n v="862043"/>
    <n v="3192304"/>
    <n v="1228300"/>
    <n v="16001980"/>
    <n v="165358648"/>
    <s v="N"/>
    <s v="N"/>
    <n v="628499"/>
    <n v="1303563"/>
    <n v="1932062"/>
    <s v="N"/>
  </r>
  <r>
    <s v="0100000US"/>
    <x v="4"/>
    <n v="2017"/>
    <x v="0"/>
    <s v="null"/>
    <x v="2"/>
    <s v="United States"/>
    <s v="N"/>
    <s v="N"/>
    <s v="N"/>
    <s v="N"/>
    <s v="N"/>
    <s v="N"/>
    <s v="N"/>
    <s v="N"/>
    <s v="N"/>
    <n v="9280592"/>
    <s v="D"/>
    <x v="2"/>
    <n v="16390456"/>
    <n v="31113419"/>
    <s v="D"/>
    <s v="D"/>
    <x v="2"/>
    <s v="D"/>
    <n v="113228"/>
    <n v="60513"/>
    <s v="N"/>
    <n v="5498"/>
    <n v="4708"/>
    <n v="120502"/>
    <n v="1852010"/>
    <n v="2021822"/>
    <n v="1085045"/>
    <n v="1203140"/>
    <n v="2937055"/>
    <n v="3224962"/>
    <s v="N"/>
    <s v="N"/>
    <s v="N"/>
    <n v="11524199"/>
    <s v="N"/>
    <n v="5657739"/>
    <n v="3830689"/>
    <n v="24772"/>
    <n v="121891"/>
    <n v="281458"/>
    <n v="256426"/>
    <n v="226173"/>
    <n v="8362811"/>
    <n v="1125912"/>
    <n v="319890"/>
    <n v="862043"/>
    <n v="3192304"/>
    <n v="1228300"/>
    <n v="16001980"/>
    <n v="165358648"/>
    <s v="N"/>
    <s v="N"/>
    <n v="628499"/>
    <n v="1303563"/>
    <n v="1932062"/>
    <s v="N"/>
  </r>
  <r>
    <s v="0100000US"/>
    <x v="5"/>
    <n v="2017"/>
    <x v="0"/>
    <s v="null"/>
    <x v="3"/>
    <s v="United States"/>
    <s v="N"/>
    <s v="N"/>
    <s v="N"/>
    <s v="N"/>
    <s v="N"/>
    <s v="N"/>
    <s v="N"/>
    <s v="N"/>
    <s v="N"/>
    <n v="4294193"/>
    <s v="D"/>
    <x v="3"/>
    <n v="23617337"/>
    <n v="29491956"/>
    <s v="D"/>
    <n v="145"/>
    <x v="3"/>
    <s v="D"/>
    <n v="26584"/>
    <n v="17641"/>
    <s v="N"/>
    <n v="971"/>
    <n v="536"/>
    <n v="36158"/>
    <n v="315145"/>
    <n v="508358"/>
    <n v="233711"/>
    <n v="213607"/>
    <n v="548856"/>
    <n v="721965"/>
    <s v="N"/>
    <s v="N"/>
    <s v="N"/>
    <n v="2551653"/>
    <s v="N"/>
    <n v="1607530"/>
    <n v="770218"/>
    <n v="11691"/>
    <n v="37736"/>
    <n v="45076"/>
    <n v="37303"/>
    <n v="62002"/>
    <n v="1980337"/>
    <n v="464510"/>
    <n v="101635"/>
    <n v="275388"/>
    <n v="815214"/>
    <n v="344789"/>
    <n v="4175681"/>
    <n v="68681884"/>
    <s v="N"/>
    <s v="N"/>
    <n v="210373"/>
    <n v="400582"/>
    <n v="610955"/>
    <s v="N"/>
  </r>
  <r>
    <s v="0100000US"/>
    <x v="6"/>
    <n v="2017"/>
    <x v="0"/>
    <s v="null"/>
    <x v="3"/>
    <s v="United States"/>
    <s v="N"/>
    <s v="N"/>
    <s v="N"/>
    <s v="N"/>
    <s v="N"/>
    <s v="N"/>
    <s v="N"/>
    <s v="N"/>
    <s v="N"/>
    <n v="4294193"/>
    <s v="D"/>
    <x v="3"/>
    <n v="23617337"/>
    <n v="29491956"/>
    <s v="D"/>
    <n v="145"/>
    <x v="3"/>
    <s v="D"/>
    <n v="26584"/>
    <n v="17641"/>
    <s v="N"/>
    <n v="971"/>
    <n v="536"/>
    <n v="36158"/>
    <n v="315145"/>
    <n v="508358"/>
    <n v="233711"/>
    <n v="213607"/>
    <n v="548856"/>
    <n v="721965"/>
    <s v="N"/>
    <s v="N"/>
    <s v="N"/>
    <n v="2551653"/>
    <s v="N"/>
    <n v="1607530"/>
    <n v="770218"/>
    <n v="11691"/>
    <n v="37736"/>
    <n v="45076"/>
    <n v="37303"/>
    <n v="62002"/>
    <n v="1980337"/>
    <n v="464510"/>
    <n v="101635"/>
    <n v="275388"/>
    <n v="815214"/>
    <n v="344789"/>
    <n v="4175681"/>
    <n v="68681884"/>
    <s v="N"/>
    <s v="N"/>
    <n v="210373"/>
    <n v="400582"/>
    <n v="610955"/>
    <s v="N"/>
  </r>
  <r>
    <s v="0100000US"/>
    <x v="7"/>
    <n v="2017"/>
    <x v="0"/>
    <s v="null"/>
    <x v="4"/>
    <s v="United States"/>
    <s v="N"/>
    <s v="N"/>
    <s v="N"/>
    <s v="N"/>
    <s v="N"/>
    <s v="N"/>
    <s v="N"/>
    <s v="N"/>
    <s v="N"/>
    <n v="1799436"/>
    <n v="2823575"/>
    <x v="4"/>
    <n v="15985986"/>
    <n v="24355831"/>
    <n v="139948"/>
    <s v="D"/>
    <x v="4"/>
    <n v="4115"/>
    <n v="177042"/>
    <n v="147241"/>
    <s v="N"/>
    <n v="5932"/>
    <n v="3414"/>
    <n v="312195"/>
    <n v="6633403"/>
    <n v="7013650"/>
    <n v="2074042"/>
    <n v="2113492"/>
    <n v="8707445"/>
    <n v="9127142"/>
    <s v="N"/>
    <s v="N"/>
    <s v="N"/>
    <n v="12329520"/>
    <s v="N"/>
    <n v="10081743"/>
    <n v="2957622"/>
    <n v="34090"/>
    <n v="84632"/>
    <n v="90439"/>
    <n v="52094"/>
    <n v="40914"/>
    <n v="3470522"/>
    <n v="1152449"/>
    <n v="113689"/>
    <n v="2979139"/>
    <n v="1930042"/>
    <n v="856190"/>
    <n v="10804200"/>
    <n v="85827293"/>
    <s v="N"/>
    <s v="N"/>
    <n v="108129"/>
    <n v="959933"/>
    <n v="1068062"/>
    <s v="N"/>
  </r>
  <r>
    <s v="0100000US"/>
    <x v="8"/>
    <n v="2017"/>
    <x v="0"/>
    <s v="null"/>
    <x v="5"/>
    <s v="United States"/>
    <s v="N"/>
    <s v="N"/>
    <s v="N"/>
    <s v="N"/>
    <s v="N"/>
    <s v="N"/>
    <s v="N"/>
    <s v="N"/>
    <s v="N"/>
    <s v="D"/>
    <n v="568061"/>
    <x v="5"/>
    <n v="5532374"/>
    <n v="7356498"/>
    <s v="D"/>
    <s v="D"/>
    <x v="5"/>
    <n v="0"/>
    <n v="50388"/>
    <n v="43683"/>
    <s v="N"/>
    <n v="714"/>
    <n v="395"/>
    <n v="93755"/>
    <n v="634559"/>
    <n v="659861"/>
    <n v="645754"/>
    <n v="623383"/>
    <n v="1280313"/>
    <n v="1283244"/>
    <s v="N"/>
    <s v="N"/>
    <s v="N"/>
    <n v="4110365"/>
    <s v="N"/>
    <n v="3548742"/>
    <n v="1051978"/>
    <n v="2570"/>
    <n v="7662"/>
    <n v="11684"/>
    <n v="5371"/>
    <n v="7671"/>
    <n v="1383390"/>
    <n v="277401"/>
    <n v="49100"/>
    <n v="873441"/>
    <n v="1145840"/>
    <n v="233112"/>
    <n v="3997242"/>
    <n v="27336435"/>
    <s v="N"/>
    <s v="N"/>
    <n v="17201"/>
    <n v="323564"/>
    <n v="340765"/>
    <s v="N"/>
  </r>
  <r>
    <s v="0100000US"/>
    <x v="9"/>
    <n v="2017"/>
    <x v="0"/>
    <s v="null"/>
    <x v="5"/>
    <s v="United States"/>
    <s v="N"/>
    <s v="N"/>
    <s v="N"/>
    <s v="N"/>
    <s v="N"/>
    <s v="N"/>
    <s v="N"/>
    <s v="N"/>
    <s v="N"/>
    <s v="D"/>
    <n v="568061"/>
    <x v="5"/>
    <n v="5532374"/>
    <n v="7356498"/>
    <s v="D"/>
    <s v="D"/>
    <x v="5"/>
    <n v="0"/>
    <n v="50388"/>
    <n v="43683"/>
    <s v="N"/>
    <n v="714"/>
    <n v="395"/>
    <n v="93755"/>
    <n v="634559"/>
    <n v="659861"/>
    <n v="645754"/>
    <n v="623383"/>
    <n v="1280313"/>
    <n v="1283244"/>
    <s v="N"/>
    <s v="N"/>
    <s v="N"/>
    <n v="4110365"/>
    <s v="N"/>
    <n v="3548742"/>
    <n v="1051978"/>
    <n v="2570"/>
    <n v="7662"/>
    <n v="11684"/>
    <n v="5371"/>
    <n v="7671"/>
    <n v="1383390"/>
    <n v="277401"/>
    <n v="49100"/>
    <n v="873441"/>
    <n v="1145840"/>
    <n v="233112"/>
    <n v="3997242"/>
    <n v="27336435"/>
    <s v="N"/>
    <s v="N"/>
    <n v="17201"/>
    <n v="323564"/>
    <n v="340765"/>
    <s v="N"/>
  </r>
  <r>
    <s v="0100000US"/>
    <x v="10"/>
    <n v="2017"/>
    <x v="0"/>
    <s v="null"/>
    <x v="6"/>
    <s v="United States"/>
    <s v="N"/>
    <s v="N"/>
    <s v="N"/>
    <s v="N"/>
    <s v="N"/>
    <s v="N"/>
    <s v="N"/>
    <s v="N"/>
    <s v="N"/>
    <n v="223053"/>
    <n v="170576"/>
    <x v="6"/>
    <n v="2896655"/>
    <n v="3927957"/>
    <n v="6098"/>
    <s v="D"/>
    <x v="6"/>
    <n v="0"/>
    <n v="20458"/>
    <n v="17800"/>
    <s v="N"/>
    <n v="408"/>
    <n v="246"/>
    <n v="40165"/>
    <n v="270551"/>
    <n v="271859"/>
    <n v="438976"/>
    <n v="413693"/>
    <n v="709527"/>
    <n v="685552"/>
    <s v="N"/>
    <s v="N"/>
    <s v="N"/>
    <n v="1689477"/>
    <s v="N"/>
    <n v="1450869"/>
    <n v="437358"/>
    <n v="1577"/>
    <n v="2775"/>
    <n v="4310"/>
    <n v="1933"/>
    <n v="5134"/>
    <n v="413996"/>
    <n v="132213"/>
    <n v="27460"/>
    <n v="340802"/>
    <n v="534854"/>
    <n v="137204"/>
    <n v="1602258"/>
    <n v="12538438"/>
    <s v="N"/>
    <s v="N"/>
    <n v="12133"/>
    <n v="124294"/>
    <n v="136427"/>
    <s v="N"/>
  </r>
  <r>
    <s v="0100000US"/>
    <x v="11"/>
    <n v="2017"/>
    <x v="0"/>
    <s v="null"/>
    <x v="7"/>
    <s v="United States"/>
    <s v="N"/>
    <s v="N"/>
    <s v="N"/>
    <s v="N"/>
    <s v="N"/>
    <s v="N"/>
    <s v="N"/>
    <s v="N"/>
    <s v="N"/>
    <n v="184440"/>
    <n v="392752"/>
    <x v="7"/>
    <n v="2589598"/>
    <n v="3361460"/>
    <n v="21595"/>
    <s v="D"/>
    <x v="7"/>
    <n v="0"/>
    <n v="29246"/>
    <n v="25373"/>
    <s v="N"/>
    <n v="256"/>
    <n v="131"/>
    <n v="52651"/>
    <n v="337583"/>
    <n v="363368"/>
    <n v="206430"/>
    <n v="209255"/>
    <n v="544013"/>
    <n v="572623"/>
    <s v="N"/>
    <s v="N"/>
    <s v="N"/>
    <n v="2382547"/>
    <s v="N"/>
    <n v="2070920"/>
    <n v="605340"/>
    <n v="695"/>
    <n v="4837"/>
    <n v="7110"/>
    <n v="3401"/>
    <n v="2502"/>
    <n v="966456"/>
    <n v="143947"/>
    <n v="21406"/>
    <n v="524626"/>
    <n v="609807"/>
    <n v="94502"/>
    <n v="2379289"/>
    <n v="14605388"/>
    <s v="N"/>
    <s v="N"/>
    <n v="4713"/>
    <n v="195376"/>
    <n v="200089"/>
    <s v="N"/>
  </r>
  <r>
    <s v="0100000US"/>
    <x v="12"/>
    <n v="2017"/>
    <x v="0"/>
    <s v="null"/>
    <x v="8"/>
    <s v="United States"/>
    <s v="N"/>
    <s v="N"/>
    <s v="N"/>
    <s v="N"/>
    <s v="N"/>
    <s v="N"/>
    <s v="N"/>
    <s v="N"/>
    <s v="N"/>
    <s v="D"/>
    <n v="4733"/>
    <x v="8"/>
    <n v="46121"/>
    <n v="67081"/>
    <s v="D"/>
    <s v="D"/>
    <x v="8"/>
    <n v="0"/>
    <n v="684"/>
    <n v="510"/>
    <s v="N"/>
    <n v="50"/>
    <n v="41"/>
    <n v="939"/>
    <n v="26425"/>
    <n v="24634"/>
    <n v="348"/>
    <n v="435"/>
    <n v="26773"/>
    <n v="25069"/>
    <s v="N"/>
    <s v="N"/>
    <s v="N"/>
    <n v="38341"/>
    <s v="N"/>
    <n v="26953"/>
    <n v="9280"/>
    <n v="298"/>
    <n v="50"/>
    <n v="264"/>
    <n v="37"/>
    <n v="35"/>
    <n v="2938"/>
    <n v="1241"/>
    <n v="234"/>
    <n v="8013"/>
    <n v="1179"/>
    <n v="1406"/>
    <n v="15695"/>
    <n v="192609"/>
    <s v="N"/>
    <s v="N"/>
    <n v="355"/>
    <n v="3894"/>
    <n v="4249"/>
    <s v="N"/>
  </r>
  <r>
    <s v="0100000US"/>
    <x v="13"/>
    <n v="2017"/>
    <x v="0"/>
    <s v="null"/>
    <x v="9"/>
    <s v="United States"/>
    <s v="N"/>
    <s v="N"/>
    <s v="N"/>
    <s v="N"/>
    <s v="N"/>
    <s v="N"/>
    <s v="N"/>
    <s v="N"/>
    <s v="N"/>
    <s v="D"/>
    <n v="1296105"/>
    <x v="9"/>
    <n v="5976679"/>
    <n v="9600197"/>
    <s v="D"/>
    <s v="D"/>
    <x v="9"/>
    <s v="D"/>
    <n v="35543"/>
    <n v="30447"/>
    <s v="N"/>
    <n v="288"/>
    <n v="230"/>
    <n v="64331"/>
    <n v="3348832"/>
    <n v="3580675"/>
    <n v="850245"/>
    <n v="894465"/>
    <n v="4199077"/>
    <n v="4475140"/>
    <s v="N"/>
    <s v="N"/>
    <s v="N"/>
    <n v="2925434"/>
    <s v="N"/>
    <n v="2428884"/>
    <n v="720161"/>
    <n v="4995"/>
    <n v="24216"/>
    <n v="13886"/>
    <n v="30218"/>
    <n v="18000"/>
    <n v="467208"/>
    <n v="622469"/>
    <n v="12512"/>
    <n v="930847"/>
    <n v="421190"/>
    <n v="346512"/>
    <n v="2892053"/>
    <n v="26827690"/>
    <s v="N"/>
    <s v="N"/>
    <n v="10577"/>
    <n v="130942"/>
    <n v="141519"/>
    <s v="N"/>
  </r>
  <r>
    <s v="0100000US"/>
    <x v="14"/>
    <n v="2017"/>
    <x v="0"/>
    <s v="null"/>
    <x v="10"/>
    <s v="United States"/>
    <s v="N"/>
    <s v="N"/>
    <s v="N"/>
    <s v="N"/>
    <s v="N"/>
    <s v="N"/>
    <s v="N"/>
    <s v="N"/>
    <s v="N"/>
    <n v="12793"/>
    <n v="389633"/>
    <x v="10"/>
    <n v="984575"/>
    <n v="1667017"/>
    <n v="0"/>
    <s v="D"/>
    <x v="10"/>
    <s v="D"/>
    <n v="4925"/>
    <n v="4648"/>
    <s v="N"/>
    <n v="18"/>
    <n v="11"/>
    <n v="9527"/>
    <s v="D"/>
    <s v="D"/>
    <s v="D"/>
    <s v="D"/>
    <n v="141253"/>
    <n v="210508"/>
    <s v="N"/>
    <s v="N"/>
    <s v="N"/>
    <n v="410952"/>
    <s v="N"/>
    <n v="385888"/>
    <n v="105524"/>
    <n v="103"/>
    <s v="D"/>
    <n v="255"/>
    <s v="D"/>
    <s v="D"/>
    <n v="70105"/>
    <n v="60069"/>
    <n v="3719"/>
    <s v="D"/>
    <n v="117207"/>
    <s v="D"/>
    <n v="334992"/>
    <n v="3443968"/>
    <s v="N"/>
    <s v="N"/>
    <n v="9"/>
    <n v="34364"/>
    <n v="34373"/>
    <s v="N"/>
  </r>
  <r>
    <s v="0100000US"/>
    <x v="15"/>
    <n v="2017"/>
    <x v="0"/>
    <s v="null"/>
    <x v="10"/>
    <s v="United States"/>
    <s v="N"/>
    <s v="N"/>
    <s v="N"/>
    <s v="N"/>
    <s v="N"/>
    <s v="N"/>
    <s v="N"/>
    <s v="N"/>
    <s v="N"/>
    <n v="12793"/>
    <n v="389633"/>
    <x v="10"/>
    <n v="984575"/>
    <n v="1667017"/>
    <n v="0"/>
    <s v="D"/>
    <x v="10"/>
    <s v="D"/>
    <n v="4925"/>
    <n v="4648"/>
    <s v="N"/>
    <n v="18"/>
    <n v="11"/>
    <n v="9527"/>
    <s v="D"/>
    <s v="D"/>
    <s v="D"/>
    <s v="D"/>
    <n v="141253"/>
    <n v="210508"/>
    <s v="N"/>
    <s v="N"/>
    <s v="N"/>
    <n v="410952"/>
    <s v="N"/>
    <n v="385888"/>
    <n v="105524"/>
    <n v="103"/>
    <s v="D"/>
    <n v="255"/>
    <s v="D"/>
    <s v="D"/>
    <n v="70105"/>
    <n v="60069"/>
    <n v="3719"/>
    <s v="D"/>
    <n v="117207"/>
    <s v="D"/>
    <n v="334992"/>
    <n v="3443968"/>
    <s v="N"/>
    <s v="N"/>
    <n v="9"/>
    <n v="34364"/>
    <n v="34373"/>
    <s v="N"/>
  </r>
  <r>
    <s v="0100000US"/>
    <x v="16"/>
    <n v="2017"/>
    <x v="0"/>
    <s v="null"/>
    <x v="11"/>
    <s v="United States"/>
    <s v="N"/>
    <s v="N"/>
    <s v="N"/>
    <s v="N"/>
    <s v="N"/>
    <s v="N"/>
    <s v="N"/>
    <s v="N"/>
    <s v="N"/>
    <s v="D"/>
    <n v="459851"/>
    <x v="11"/>
    <n v="2653058"/>
    <n v="4313791"/>
    <s v="D"/>
    <s v="D"/>
    <x v="11"/>
    <n v="0"/>
    <n v="14868"/>
    <n v="12623"/>
    <s v="N"/>
    <n v="166"/>
    <n v="150"/>
    <n v="26392"/>
    <n v="2615317"/>
    <n v="2556177"/>
    <n v="376795"/>
    <n v="359521"/>
    <n v="2992112"/>
    <n v="2915698"/>
    <s v="N"/>
    <s v="N"/>
    <s v="N"/>
    <n v="1377548"/>
    <s v="N"/>
    <n v="1135455"/>
    <n v="318788"/>
    <s v="D"/>
    <n v="10103"/>
    <n v="7351"/>
    <s v="D"/>
    <n v="6067"/>
    <n v="84530"/>
    <n v="107805"/>
    <n v="1443"/>
    <n v="214353"/>
    <n v="108571"/>
    <n v="102920"/>
    <n v="662334"/>
    <n v="10019407"/>
    <s v="N"/>
    <s v="N"/>
    <n v="6000"/>
    <n v="57237"/>
    <n v="63237"/>
    <s v="N"/>
  </r>
  <r>
    <s v="0100000US"/>
    <x v="17"/>
    <n v="2017"/>
    <x v="0"/>
    <s v="null"/>
    <x v="12"/>
    <s v="United States"/>
    <s v="N"/>
    <s v="N"/>
    <s v="N"/>
    <s v="N"/>
    <s v="N"/>
    <s v="N"/>
    <s v="N"/>
    <s v="N"/>
    <s v="N"/>
    <n v="474958"/>
    <s v="D"/>
    <x v="12"/>
    <n v="2547945"/>
    <n v="4178407"/>
    <s v="D"/>
    <s v="D"/>
    <x v="12"/>
    <n v="0"/>
    <n v="13846"/>
    <n v="11702"/>
    <s v="N"/>
    <n v="156"/>
    <n v="141"/>
    <n v="24367"/>
    <s v="D"/>
    <s v="D"/>
    <s v="D"/>
    <s v="D"/>
    <s v="D"/>
    <s v="D"/>
    <s v="N"/>
    <s v="N"/>
    <s v="N"/>
    <n v="1313460"/>
    <s v="N"/>
    <n v="1080096"/>
    <n v="298997"/>
    <s v="D"/>
    <n v="9909"/>
    <s v="D"/>
    <s v="D"/>
    <s v="D"/>
    <s v="D"/>
    <n v="105310"/>
    <n v="1405"/>
    <n v="214017"/>
    <n v="101105"/>
    <s v="D"/>
    <n v="637888"/>
    <n v="9549412"/>
    <s v="N"/>
    <s v="N"/>
    <s v="D"/>
    <s v="D"/>
    <s v="D"/>
    <s v="N"/>
  </r>
  <r>
    <s v="0100000US"/>
    <x v="18"/>
    <n v="2017"/>
    <x v="0"/>
    <s v="null"/>
    <x v="13"/>
    <s v="United States"/>
    <s v="N"/>
    <s v="N"/>
    <s v="N"/>
    <s v="N"/>
    <s v="N"/>
    <s v="N"/>
    <s v="N"/>
    <s v="N"/>
    <s v="N"/>
    <s v="D"/>
    <s v="D"/>
    <x v="12"/>
    <n v="105113"/>
    <n v="135384"/>
    <n v="0"/>
    <n v="0"/>
    <x v="13"/>
    <n v="0"/>
    <n v="1022"/>
    <n v="921"/>
    <s v="N"/>
    <n v="10"/>
    <n v="10"/>
    <n v="2025"/>
    <s v="D"/>
    <s v="D"/>
    <s v="D"/>
    <s v="D"/>
    <s v="D"/>
    <s v="D"/>
    <s v="N"/>
    <s v="N"/>
    <s v="N"/>
    <n v="64088"/>
    <s v="N"/>
    <n v="55359"/>
    <n v="19791"/>
    <s v="D"/>
    <n v="194"/>
    <s v="D"/>
    <s v="D"/>
    <s v="D"/>
    <s v="D"/>
    <n v="2495"/>
    <n v="38"/>
    <n v="336"/>
    <n v="7466"/>
    <s v="D"/>
    <n v="24446"/>
    <n v="469995"/>
    <s v="N"/>
    <s v="N"/>
    <s v="D"/>
    <s v="D"/>
    <s v="D"/>
    <s v="N"/>
  </r>
  <r>
    <s v="0100000US"/>
    <x v="19"/>
    <n v="2017"/>
    <x v="0"/>
    <s v="null"/>
    <x v="14"/>
    <s v="United States"/>
    <s v="N"/>
    <s v="N"/>
    <s v="N"/>
    <s v="N"/>
    <s v="N"/>
    <s v="N"/>
    <s v="N"/>
    <s v="N"/>
    <s v="N"/>
    <n v="127580"/>
    <n v="406575"/>
    <x v="13"/>
    <n v="2118746"/>
    <n v="3296028"/>
    <n v="0"/>
    <n v="0"/>
    <x v="14"/>
    <n v="0"/>
    <n v="12986"/>
    <n v="11072"/>
    <s v="N"/>
    <n v="66"/>
    <n v="42"/>
    <n v="23566"/>
    <n v="620063"/>
    <n v="837613"/>
    <n v="362705"/>
    <n v="402149"/>
    <n v="982768"/>
    <n v="1239762"/>
    <s v="N"/>
    <s v="N"/>
    <s v="N"/>
    <n v="900020"/>
    <s v="N"/>
    <n v="730622"/>
    <n v="238999"/>
    <s v="D"/>
    <n v="11871"/>
    <n v="4312"/>
    <n v="9640"/>
    <n v="7105"/>
    <n v="274370"/>
    <n v="416739"/>
    <n v="5525"/>
    <n v="620916"/>
    <n v="160579"/>
    <s v="D"/>
    <n v="1739460"/>
    <n v="12350109"/>
    <s v="N"/>
    <s v="N"/>
    <n v="3701"/>
    <n v="36168"/>
    <n v="39869"/>
    <s v="N"/>
  </r>
  <r>
    <s v="0100000US"/>
    <x v="20"/>
    <n v="2017"/>
    <x v="0"/>
    <s v="null"/>
    <x v="14"/>
    <s v="United States"/>
    <s v="N"/>
    <s v="N"/>
    <s v="N"/>
    <s v="N"/>
    <s v="N"/>
    <s v="N"/>
    <s v="N"/>
    <s v="N"/>
    <s v="N"/>
    <n v="127580"/>
    <n v="406575"/>
    <x v="13"/>
    <n v="2118746"/>
    <n v="3296028"/>
    <n v="0"/>
    <n v="0"/>
    <x v="14"/>
    <n v="0"/>
    <n v="12986"/>
    <n v="11072"/>
    <s v="N"/>
    <n v="66"/>
    <n v="42"/>
    <n v="23566"/>
    <n v="620063"/>
    <n v="837613"/>
    <n v="362705"/>
    <n v="402149"/>
    <n v="982768"/>
    <n v="1239762"/>
    <s v="N"/>
    <s v="N"/>
    <s v="N"/>
    <n v="900020"/>
    <s v="N"/>
    <n v="730622"/>
    <n v="238999"/>
    <s v="D"/>
    <n v="11871"/>
    <n v="4312"/>
    <n v="9640"/>
    <n v="7105"/>
    <n v="274370"/>
    <n v="416739"/>
    <n v="5525"/>
    <n v="620916"/>
    <n v="160579"/>
    <s v="D"/>
    <n v="1739460"/>
    <n v="12350109"/>
    <s v="N"/>
    <s v="N"/>
    <n v="3701"/>
    <n v="36168"/>
    <n v="39869"/>
    <s v="N"/>
  </r>
  <r>
    <s v="0100000US"/>
    <x v="21"/>
    <n v="2017"/>
    <x v="0"/>
    <s v="null"/>
    <x v="15"/>
    <s v="United States"/>
    <s v="N"/>
    <s v="N"/>
    <s v="N"/>
    <s v="N"/>
    <s v="N"/>
    <s v="N"/>
    <s v="N"/>
    <s v="N"/>
    <s v="N"/>
    <n v="34086"/>
    <n v="40046"/>
    <x v="14"/>
    <n v="220300"/>
    <n v="323361"/>
    <n v="0"/>
    <n v="0"/>
    <x v="15"/>
    <n v="0"/>
    <n v="2764"/>
    <n v="2104"/>
    <s v="N"/>
    <n v="38"/>
    <n v="30"/>
    <n v="4846"/>
    <s v="D"/>
    <s v="D"/>
    <s v="D"/>
    <s v="D"/>
    <n v="82944"/>
    <n v="109172"/>
    <s v="N"/>
    <s v="N"/>
    <s v="N"/>
    <n v="236914"/>
    <s v="N"/>
    <n v="176919"/>
    <n v="56850"/>
    <s v="D"/>
    <s v="D"/>
    <n v="1968"/>
    <s v="D"/>
    <s v="D"/>
    <n v="38203"/>
    <n v="37856"/>
    <n v="1825"/>
    <s v="D"/>
    <n v="34833"/>
    <n v="12547"/>
    <n v="155267"/>
    <n v="1014206"/>
    <s v="N"/>
    <s v="N"/>
    <n v="867"/>
    <n v="3173"/>
    <n v="4040"/>
    <s v="N"/>
  </r>
  <r>
    <s v="0100000US"/>
    <x v="22"/>
    <n v="2017"/>
    <x v="0"/>
    <s v="null"/>
    <x v="16"/>
    <s v="United States"/>
    <s v="N"/>
    <s v="N"/>
    <s v="N"/>
    <s v="N"/>
    <s v="N"/>
    <s v="N"/>
    <s v="N"/>
    <s v="N"/>
    <s v="N"/>
    <n v="5853"/>
    <n v="12028"/>
    <x v="15"/>
    <n v="34119"/>
    <n v="55804"/>
    <n v="0"/>
    <n v="0"/>
    <x v="16"/>
    <n v="0"/>
    <n v="475"/>
    <n v="350"/>
    <s v="N"/>
    <n v="18"/>
    <n v="12"/>
    <n v="660"/>
    <s v="D"/>
    <s v="D"/>
    <s v="D"/>
    <s v="D"/>
    <s v="D"/>
    <s v="D"/>
    <s v="N"/>
    <s v="N"/>
    <s v="N"/>
    <n v="30995"/>
    <s v="N"/>
    <n v="21669"/>
    <n v="6659"/>
    <n v="10"/>
    <s v="D"/>
    <n v="305"/>
    <n v="101"/>
    <s v="D"/>
    <s v="D"/>
    <n v="1972"/>
    <s v="D"/>
    <n v="1810"/>
    <n v="5658"/>
    <s v="D"/>
    <n v="20586"/>
    <n v="140517"/>
    <s v="N"/>
    <s v="N"/>
    <n v="570"/>
    <n v="722"/>
    <n v="1292"/>
    <s v="N"/>
  </r>
  <r>
    <s v="0100000US"/>
    <x v="23"/>
    <n v="2017"/>
    <x v="0"/>
    <s v="null"/>
    <x v="17"/>
    <s v="United States"/>
    <s v="N"/>
    <s v="N"/>
    <s v="N"/>
    <s v="N"/>
    <s v="N"/>
    <s v="N"/>
    <s v="N"/>
    <s v="N"/>
    <s v="N"/>
    <n v="28233"/>
    <n v="28018"/>
    <x v="16"/>
    <n v="186181"/>
    <n v="267557"/>
    <n v="0"/>
    <n v="0"/>
    <x v="17"/>
    <n v="0"/>
    <n v="2289"/>
    <n v="1754"/>
    <s v="N"/>
    <n v="20"/>
    <n v="18"/>
    <n v="4186"/>
    <s v="D"/>
    <n v="46830"/>
    <s v="D"/>
    <s v="D"/>
    <s v="D"/>
    <s v="D"/>
    <s v="N"/>
    <s v="N"/>
    <s v="N"/>
    <n v="205919"/>
    <s v="N"/>
    <n v="155250"/>
    <n v="50191"/>
    <s v="D"/>
    <n v="816"/>
    <n v="1663"/>
    <s v="D"/>
    <s v="D"/>
    <s v="D"/>
    <n v="35884"/>
    <s v="D"/>
    <s v="D"/>
    <n v="29175"/>
    <s v="D"/>
    <n v="134681"/>
    <n v="873689"/>
    <s v="N"/>
    <s v="N"/>
    <n v="297"/>
    <n v="2451"/>
    <n v="2748"/>
    <s v="N"/>
  </r>
  <r>
    <s v="0100000US"/>
    <x v="24"/>
    <n v="2017"/>
    <x v="0"/>
    <s v="null"/>
    <x v="18"/>
    <s v="United States"/>
    <s v="N"/>
    <s v="N"/>
    <s v="N"/>
    <s v="N"/>
    <s v="N"/>
    <s v="N"/>
    <s v="N"/>
    <s v="N"/>
    <s v="N"/>
    <n v="731787"/>
    <n v="959409"/>
    <x v="17"/>
    <n v="4476933"/>
    <n v="7399136"/>
    <n v="109802"/>
    <n v="1714135"/>
    <x v="18"/>
    <s v="D"/>
    <n v="91111"/>
    <n v="73111"/>
    <s v="N"/>
    <n v="4930"/>
    <n v="2798"/>
    <n v="154109"/>
    <n v="2650012"/>
    <n v="2773114"/>
    <n v="578043"/>
    <n v="595644"/>
    <n v="3228055"/>
    <n v="3368758"/>
    <s v="N"/>
    <s v="N"/>
    <s v="N"/>
    <n v="5293721"/>
    <s v="N"/>
    <n v="4104117"/>
    <n v="1185483"/>
    <n v="26525"/>
    <n v="52754"/>
    <n v="64869"/>
    <n v="16505"/>
    <n v="15243"/>
    <n v="1619924"/>
    <n v="252579"/>
    <n v="52077"/>
    <n v="1174851"/>
    <n v="363012"/>
    <n v="276566"/>
    <n v="3914905"/>
    <n v="31663168"/>
    <s v="N"/>
    <s v="N"/>
    <n v="80351"/>
    <n v="505427"/>
    <n v="585778"/>
    <s v="N"/>
  </r>
  <r>
    <s v="0100000US"/>
    <x v="25"/>
    <n v="2017"/>
    <x v="0"/>
    <s v="null"/>
    <x v="19"/>
    <s v="United States"/>
    <s v="N"/>
    <s v="N"/>
    <s v="N"/>
    <s v="N"/>
    <s v="N"/>
    <s v="N"/>
    <s v="N"/>
    <s v="N"/>
    <s v="N"/>
    <n v="420068"/>
    <n v="397101"/>
    <x v="18"/>
    <n v="1820203"/>
    <n v="3222662"/>
    <n v="48485"/>
    <s v="D"/>
    <x v="19"/>
    <s v="D"/>
    <n v="48164"/>
    <n v="39164"/>
    <s v="N"/>
    <n v="2457"/>
    <n v="1216"/>
    <n v="82536"/>
    <n v="1571949"/>
    <n v="1680624"/>
    <n v="211339"/>
    <n v="214093"/>
    <n v="1783288"/>
    <n v="1894717"/>
    <s v="N"/>
    <s v="N"/>
    <s v="N"/>
    <n v="2712790"/>
    <s v="N"/>
    <n v="2113028"/>
    <n v="593087"/>
    <n v="11109"/>
    <n v="22830"/>
    <n v="34363"/>
    <n v="7927"/>
    <n v="8429"/>
    <n v="806003"/>
    <n v="96229"/>
    <n v="24051"/>
    <n v="493587"/>
    <n v="149977"/>
    <n v="142593"/>
    <n v="1797098"/>
    <n v="15516670"/>
    <s v="N"/>
    <s v="N"/>
    <n v="37919"/>
    <n v="251775"/>
    <n v="289694"/>
    <s v="N"/>
  </r>
  <r>
    <s v="0100000US"/>
    <x v="26"/>
    <n v="2017"/>
    <x v="0"/>
    <s v="null"/>
    <x v="20"/>
    <s v="United States"/>
    <s v="N"/>
    <s v="N"/>
    <s v="N"/>
    <s v="N"/>
    <s v="N"/>
    <s v="N"/>
    <s v="N"/>
    <s v="N"/>
    <s v="N"/>
    <n v="19321"/>
    <n v="10740"/>
    <x v="19"/>
    <n v="58443"/>
    <n v="106088"/>
    <n v="1618"/>
    <s v="D"/>
    <x v="20"/>
    <n v="0"/>
    <n v="4009"/>
    <n v="3443"/>
    <s v="N"/>
    <n v="298"/>
    <n v="270"/>
    <n v="6124"/>
    <n v="47896"/>
    <n v="55747"/>
    <n v="5398"/>
    <n v="6329"/>
    <n v="53294"/>
    <n v="62076"/>
    <s v="N"/>
    <s v="N"/>
    <s v="N"/>
    <n v="143106"/>
    <s v="N"/>
    <n v="115317"/>
    <n v="29751"/>
    <n v="975"/>
    <n v="1976"/>
    <n v="1628"/>
    <n v="295"/>
    <n v="162"/>
    <n v="25368"/>
    <n v="6199"/>
    <n v="1168"/>
    <n v="27094"/>
    <n v="7982"/>
    <n v="4996"/>
    <n v="77843"/>
    <n v="567426"/>
    <s v="N"/>
    <s v="N"/>
    <n v="1494"/>
    <n v="5047"/>
    <n v="6541"/>
    <s v="N"/>
  </r>
  <r>
    <s v="0100000US"/>
    <x v="27"/>
    <n v="2017"/>
    <x v="0"/>
    <s v="null"/>
    <x v="21"/>
    <s v="United States"/>
    <s v="N"/>
    <s v="N"/>
    <s v="N"/>
    <s v="N"/>
    <s v="N"/>
    <s v="N"/>
    <s v="N"/>
    <s v="N"/>
    <s v="N"/>
    <n v="255345"/>
    <n v="275209"/>
    <x v="20"/>
    <n v="1240042"/>
    <n v="2189864"/>
    <n v="36088"/>
    <s v="D"/>
    <x v="21"/>
    <s v="D"/>
    <n v="31315"/>
    <n v="25649"/>
    <s v="N"/>
    <n v="1431"/>
    <n v="566"/>
    <n v="55114"/>
    <n v="1083535"/>
    <n v="1159765"/>
    <n v="172628"/>
    <n v="181597"/>
    <n v="1256163"/>
    <n v="1341362"/>
    <s v="N"/>
    <s v="N"/>
    <s v="N"/>
    <n v="1868000"/>
    <s v="N"/>
    <n v="1463850"/>
    <n v="405678"/>
    <n v="7720"/>
    <n v="10895"/>
    <n v="21342"/>
    <n v="5572"/>
    <n v="7432"/>
    <n v="591391"/>
    <n v="57782"/>
    <n v="17103"/>
    <n v="350821"/>
    <n v="93855"/>
    <n v="104707"/>
    <n v="1268620"/>
    <n v="10500381"/>
    <s v="N"/>
    <s v="N"/>
    <n v="28073"/>
    <n v="169806"/>
    <n v="197879"/>
    <s v="N"/>
  </r>
  <r>
    <s v="0100000US"/>
    <x v="28"/>
    <n v="2017"/>
    <x v="0"/>
    <s v="null"/>
    <x v="22"/>
    <s v="United States"/>
    <s v="N"/>
    <s v="N"/>
    <s v="N"/>
    <s v="N"/>
    <s v="N"/>
    <s v="N"/>
    <s v="N"/>
    <s v="N"/>
    <s v="N"/>
    <n v="71225"/>
    <n v="61577"/>
    <x v="21"/>
    <n v="267677"/>
    <n v="482344"/>
    <n v="4008"/>
    <s v="D"/>
    <x v="22"/>
    <n v="0"/>
    <n v="5659"/>
    <n v="4616"/>
    <s v="N"/>
    <n v="315"/>
    <n v="121"/>
    <n v="9781"/>
    <n v="298597"/>
    <n v="314063"/>
    <n v="12939"/>
    <n v="15150"/>
    <n v="311536"/>
    <n v="329213"/>
    <s v="N"/>
    <s v="N"/>
    <s v="N"/>
    <n v="309703"/>
    <s v="N"/>
    <n v="234857"/>
    <n v="75051"/>
    <n v="868"/>
    <n v="3323"/>
    <n v="3559"/>
    <n v="1339"/>
    <n v="231"/>
    <n v="86379"/>
    <n v="13583"/>
    <n v="1932"/>
    <n v="51901"/>
    <n v="22159"/>
    <n v="11044"/>
    <n v="196318"/>
    <n v="2327607"/>
    <s v="N"/>
    <s v="N"/>
    <n v="3607"/>
    <n v="43735"/>
    <n v="47342"/>
    <s v="N"/>
  </r>
  <r>
    <s v="0100000US"/>
    <x v="29"/>
    <n v="2017"/>
    <x v="0"/>
    <s v="null"/>
    <x v="23"/>
    <s v="United States"/>
    <s v="N"/>
    <s v="N"/>
    <s v="N"/>
    <s v="N"/>
    <s v="N"/>
    <s v="N"/>
    <s v="N"/>
    <s v="N"/>
    <s v="N"/>
    <n v="74177"/>
    <n v="49575"/>
    <x v="22"/>
    <n v="254041"/>
    <n v="444366"/>
    <n v="6771"/>
    <s v="D"/>
    <x v="23"/>
    <s v="D"/>
    <n v="7181"/>
    <n v="5456"/>
    <s v="N"/>
    <n v="413"/>
    <n v="315"/>
    <n v="11517"/>
    <n v="141921"/>
    <n v="151049"/>
    <n v="20374"/>
    <n v="11017"/>
    <n v="162295"/>
    <n v="162066"/>
    <s v="N"/>
    <s v="N"/>
    <s v="N"/>
    <n v="391981"/>
    <s v="N"/>
    <n v="299004"/>
    <n v="82607"/>
    <n v="1546"/>
    <n v="6636"/>
    <n v="7834"/>
    <n v="721"/>
    <n v="604"/>
    <n v="102865"/>
    <n v="18665"/>
    <n v="3848"/>
    <n v="63771"/>
    <n v="25981"/>
    <n v="21846"/>
    <n v="254317"/>
    <n v="2121256"/>
    <s v="N"/>
    <s v="N"/>
    <n v="4745"/>
    <n v="33187"/>
    <n v="37932"/>
    <s v="N"/>
  </r>
  <r>
    <s v="0100000US"/>
    <x v="30"/>
    <n v="2017"/>
    <x v="0"/>
    <s v="null"/>
    <x v="24"/>
    <s v="United States"/>
    <s v="N"/>
    <s v="N"/>
    <s v="N"/>
    <s v="N"/>
    <s v="N"/>
    <s v="N"/>
    <s v="N"/>
    <s v="N"/>
    <s v="N"/>
    <n v="221680"/>
    <n v="340135"/>
    <x v="23"/>
    <n v="1584420"/>
    <n v="2594450"/>
    <n v="56441"/>
    <s v="D"/>
    <x v="24"/>
    <n v="0"/>
    <n v="32608"/>
    <n v="25505"/>
    <s v="N"/>
    <n v="2272"/>
    <n v="1531"/>
    <n v="53199"/>
    <n v="693063"/>
    <n v="694010"/>
    <n v="178262"/>
    <n v="190764"/>
    <n v="871325"/>
    <n v="884774"/>
    <s v="N"/>
    <s v="N"/>
    <s v="N"/>
    <n v="1878192"/>
    <s v="N"/>
    <n v="1430285"/>
    <n v="419628"/>
    <n v="12613"/>
    <n v="23644"/>
    <n v="26135"/>
    <n v="7245"/>
    <n v="5628"/>
    <n v="571968"/>
    <n v="112734"/>
    <n v="21724"/>
    <n v="464735"/>
    <n v="130695"/>
    <n v="103469"/>
    <n v="1480590"/>
    <n v="10735791"/>
    <s v="N"/>
    <s v="N"/>
    <n v="29540"/>
    <n v="188745"/>
    <n v="218285"/>
    <s v="N"/>
  </r>
  <r>
    <s v="0100000US"/>
    <x v="31"/>
    <n v="2017"/>
    <x v="0"/>
    <s v="null"/>
    <x v="25"/>
    <s v="United States"/>
    <s v="N"/>
    <s v="N"/>
    <s v="N"/>
    <s v="N"/>
    <s v="N"/>
    <s v="N"/>
    <s v="N"/>
    <s v="N"/>
    <s v="N"/>
    <n v="132151"/>
    <n v="192237"/>
    <x v="24"/>
    <n v="819115"/>
    <n v="1375034"/>
    <n v="36372"/>
    <n v="9028"/>
    <x v="25"/>
    <n v="0"/>
    <n v="21389"/>
    <n v="16712"/>
    <s v="N"/>
    <n v="1984"/>
    <n v="1363"/>
    <n v="34086"/>
    <n v="486266"/>
    <n v="481265"/>
    <n v="61261"/>
    <n v="63819"/>
    <n v="547527"/>
    <n v="545084"/>
    <s v="N"/>
    <s v="N"/>
    <s v="N"/>
    <n v="1212827"/>
    <s v="N"/>
    <n v="928393"/>
    <n v="247502"/>
    <n v="6623"/>
    <n v="17354"/>
    <n v="17256"/>
    <n v="4153"/>
    <n v="1917"/>
    <n v="284420"/>
    <n v="55323"/>
    <n v="12760"/>
    <n v="272831"/>
    <n v="93391"/>
    <n v="75765"/>
    <n v="841793"/>
    <n v="6529142"/>
    <s v="N"/>
    <s v="N"/>
    <n v="24915"/>
    <n v="121319"/>
    <n v="146234"/>
    <s v="N"/>
  </r>
  <r>
    <s v="0100000US"/>
    <x v="32"/>
    <n v="2017"/>
    <x v="0"/>
    <s v="null"/>
    <x v="26"/>
    <s v="United States"/>
    <s v="N"/>
    <s v="N"/>
    <s v="N"/>
    <s v="N"/>
    <s v="N"/>
    <s v="N"/>
    <s v="N"/>
    <s v="N"/>
    <s v="N"/>
    <n v="53523"/>
    <n v="69141"/>
    <x v="25"/>
    <n v="339654"/>
    <n v="574919"/>
    <n v="17769"/>
    <s v="D"/>
    <x v="26"/>
    <n v="0"/>
    <n v="6540"/>
    <n v="4989"/>
    <s v="N"/>
    <n v="170"/>
    <n v="107"/>
    <n v="11010"/>
    <n v="116166"/>
    <n v="128704"/>
    <n v="57589"/>
    <n v="65758"/>
    <n v="173755"/>
    <n v="194462"/>
    <s v="N"/>
    <s v="N"/>
    <s v="N"/>
    <n v="391399"/>
    <s v="N"/>
    <n v="291426"/>
    <n v="100142"/>
    <n v="1707"/>
    <n v="3693"/>
    <n v="5415"/>
    <n v="832"/>
    <n v="544"/>
    <n v="146855"/>
    <n v="42503"/>
    <n v="4978"/>
    <n v="112965"/>
    <n v="22109"/>
    <n v="14175"/>
    <n v="355776"/>
    <n v="2482419"/>
    <s v="N"/>
    <s v="N"/>
    <n v="2210"/>
    <n v="46855"/>
    <n v="49065"/>
    <s v="N"/>
  </r>
  <r>
    <s v="0100000US"/>
    <x v="33"/>
    <n v="2017"/>
    <x v="0"/>
    <s v="null"/>
    <x v="27"/>
    <s v="United States"/>
    <s v="N"/>
    <s v="N"/>
    <s v="N"/>
    <s v="N"/>
    <s v="N"/>
    <s v="N"/>
    <s v="N"/>
    <s v="N"/>
    <s v="N"/>
    <n v="16582"/>
    <n v="50047"/>
    <x v="26"/>
    <n v="205574"/>
    <n v="328751"/>
    <n v="0"/>
    <s v="D"/>
    <x v="27"/>
    <n v="0"/>
    <n v="2220"/>
    <n v="1721"/>
    <s v="N"/>
    <n v="29"/>
    <n v="18"/>
    <n v="3574"/>
    <n v="44238"/>
    <n v="40374"/>
    <n v="35382"/>
    <n v="36626"/>
    <n v="79620"/>
    <n v="77000"/>
    <s v="N"/>
    <s v="N"/>
    <s v="N"/>
    <n v="136163"/>
    <s v="N"/>
    <n v="99736"/>
    <n v="39451"/>
    <n v="3712"/>
    <n v="1521"/>
    <n v="1807"/>
    <n v="1707"/>
    <n v="2898"/>
    <n v="76550"/>
    <n v="9139"/>
    <n v="2342"/>
    <n v="47901"/>
    <n v="8803"/>
    <n v="9889"/>
    <n v="166269"/>
    <n v="847215"/>
    <s v="N"/>
    <s v="N"/>
    <n v="1325"/>
    <n v="15756"/>
    <n v="17081"/>
    <s v="N"/>
  </r>
  <r>
    <s v="0100000US"/>
    <x v="34"/>
    <n v="2017"/>
    <x v="0"/>
    <s v="null"/>
    <x v="28"/>
    <s v="United States"/>
    <s v="N"/>
    <s v="N"/>
    <s v="N"/>
    <s v="N"/>
    <s v="N"/>
    <s v="N"/>
    <s v="N"/>
    <s v="N"/>
    <s v="N"/>
    <n v="19424"/>
    <n v="28710"/>
    <x v="27"/>
    <n v="220077"/>
    <n v="315746"/>
    <n v="2300"/>
    <s v="D"/>
    <x v="28"/>
    <n v="0"/>
    <n v="2459"/>
    <n v="2083"/>
    <s v="N"/>
    <n v="89"/>
    <n v="63"/>
    <n v="4529"/>
    <n v="46393"/>
    <n v="43667"/>
    <n v="24030"/>
    <n v="24561"/>
    <n v="70423"/>
    <n v="68228"/>
    <s v="N"/>
    <s v="N"/>
    <s v="N"/>
    <n v="137803"/>
    <s v="N"/>
    <n v="110730"/>
    <n v="32533"/>
    <n v="571"/>
    <n v="1076"/>
    <n v="1657"/>
    <n v="553"/>
    <n v="269"/>
    <n v="64143"/>
    <n v="5769"/>
    <n v="1644"/>
    <n v="31038"/>
    <n v="6392"/>
    <n v="3640"/>
    <n v="116752"/>
    <n v="877015"/>
    <s v="N"/>
    <s v="N"/>
    <n v="1090"/>
    <n v="4815"/>
    <n v="5905"/>
    <s v="N"/>
  </r>
  <r>
    <s v="0100000US"/>
    <x v="35"/>
    <n v="2017"/>
    <x v="0"/>
    <s v="null"/>
    <x v="29"/>
    <s v="United States"/>
    <s v="N"/>
    <s v="N"/>
    <s v="N"/>
    <s v="N"/>
    <s v="N"/>
    <s v="N"/>
    <s v="N"/>
    <s v="N"/>
    <s v="N"/>
    <n v="90039"/>
    <n v="222173"/>
    <x v="28"/>
    <n v="1072310"/>
    <n v="1582024"/>
    <n v="4876"/>
    <s v="D"/>
    <x v="29"/>
    <s v="D"/>
    <n v="10339"/>
    <n v="8442"/>
    <s v="N"/>
    <n v="201"/>
    <n v="162"/>
    <n v="18374"/>
    <n v="385000"/>
    <n v="398480"/>
    <n v="188442"/>
    <n v="190787"/>
    <n v="573442"/>
    <n v="589267"/>
    <s v="N"/>
    <s v="N"/>
    <s v="N"/>
    <n v="702739"/>
    <s v="N"/>
    <n v="560804"/>
    <n v="172768"/>
    <n v="2803"/>
    <n v="6280"/>
    <n v="4371"/>
    <n v="1333"/>
    <n v="1186"/>
    <n v="241953"/>
    <n v="43616"/>
    <n v="6302"/>
    <n v="216529"/>
    <n v="82340"/>
    <n v="30504"/>
    <n v="637217"/>
    <n v="5410707"/>
    <s v="N"/>
    <s v="N"/>
    <n v="12892"/>
    <n v="64907"/>
    <n v="77799"/>
    <s v="N"/>
  </r>
  <r>
    <s v="0100000US"/>
    <x v="36"/>
    <n v="2017"/>
    <x v="0"/>
    <s v="null"/>
    <x v="30"/>
    <s v="United States"/>
    <s v="N"/>
    <s v="N"/>
    <s v="N"/>
    <s v="N"/>
    <s v="N"/>
    <s v="N"/>
    <s v="N"/>
    <s v="N"/>
    <s v="N"/>
    <n v="25735"/>
    <n v="67780"/>
    <x v="29"/>
    <n v="324765"/>
    <n v="525728"/>
    <n v="0"/>
    <s v="D"/>
    <x v="30"/>
    <s v="D"/>
    <n v="3560"/>
    <n v="3071"/>
    <s v="N"/>
    <n v="16"/>
    <n v="13"/>
    <n v="6854"/>
    <n v="72209"/>
    <n v="75706"/>
    <n v="85342"/>
    <n v="84178"/>
    <n v="157551"/>
    <n v="159884"/>
    <s v="N"/>
    <s v="N"/>
    <s v="N"/>
    <n v="277305"/>
    <s v="N"/>
    <n v="238886"/>
    <n v="67981"/>
    <n v="813"/>
    <n v="1963"/>
    <n v="1280"/>
    <s v="D"/>
    <s v="D"/>
    <n v="80368"/>
    <s v="D"/>
    <n v="1721"/>
    <n v="101571"/>
    <n v="40819"/>
    <n v="12711"/>
    <n v="250421"/>
    <n v="2303380"/>
    <s v="N"/>
    <s v="N"/>
    <n v="8667"/>
    <n v="31079"/>
    <n v="39746"/>
    <s v="N"/>
  </r>
  <r>
    <s v="0100000US"/>
    <x v="37"/>
    <n v="2017"/>
    <x v="0"/>
    <s v="null"/>
    <x v="31"/>
    <s v="United States"/>
    <s v="N"/>
    <s v="N"/>
    <s v="N"/>
    <s v="N"/>
    <s v="N"/>
    <s v="N"/>
    <s v="N"/>
    <s v="N"/>
    <s v="N"/>
    <s v="D"/>
    <n v="111471"/>
    <x v="12"/>
    <n v="513974"/>
    <n v="714530"/>
    <s v="D"/>
    <n v="0"/>
    <x v="31"/>
    <n v="0"/>
    <n v="1861"/>
    <n v="1505"/>
    <s v="N"/>
    <n v="9"/>
    <n v="5"/>
    <n v="3283"/>
    <n v="129976"/>
    <n v="181723"/>
    <n v="54730"/>
    <n v="56293"/>
    <n v="184706"/>
    <n v="238016"/>
    <s v="N"/>
    <s v="N"/>
    <s v="N"/>
    <n v="133534"/>
    <s v="N"/>
    <n v="103187"/>
    <n v="34728"/>
    <n v="96"/>
    <n v="148"/>
    <n v="131"/>
    <s v="D"/>
    <s v="D"/>
    <s v="D"/>
    <s v="D"/>
    <s v="D"/>
    <n v="3658"/>
    <s v="D"/>
    <s v="D"/>
    <s v="D"/>
    <n v="1582289"/>
    <s v="N"/>
    <s v="N"/>
    <n v="1395"/>
    <n v="18276"/>
    <n v="19671"/>
    <s v="N"/>
  </r>
  <r>
    <s v="0100000US"/>
    <x v="38"/>
    <n v="2017"/>
    <x v="0"/>
    <s v="null"/>
    <x v="32"/>
    <s v="United States"/>
    <s v="N"/>
    <s v="N"/>
    <s v="N"/>
    <s v="N"/>
    <s v="N"/>
    <s v="N"/>
    <s v="N"/>
    <s v="N"/>
    <s v="N"/>
    <s v="D"/>
    <n v="17909"/>
    <x v="12"/>
    <n v="117728"/>
    <n v="160939"/>
    <s v="D"/>
    <s v="D"/>
    <x v="32"/>
    <n v="0"/>
    <n v="2462"/>
    <n v="2026"/>
    <s v="N"/>
    <n v="36"/>
    <n v="30"/>
    <n v="4360"/>
    <n v="120294"/>
    <n v="96444"/>
    <n v="33199"/>
    <n v="35782"/>
    <n v="153493"/>
    <n v="132226"/>
    <s v="N"/>
    <s v="N"/>
    <s v="N"/>
    <n v="141667"/>
    <s v="N"/>
    <n v="111524"/>
    <n v="34891"/>
    <n v="109"/>
    <n v="1097"/>
    <n v="997"/>
    <s v="D"/>
    <s v="D"/>
    <s v="D"/>
    <n v="12532"/>
    <s v="D"/>
    <n v="87321"/>
    <s v="D"/>
    <s v="D"/>
    <n v="132992"/>
    <n v="736713"/>
    <s v="N"/>
    <s v="N"/>
    <n v="1615"/>
    <n v="3931"/>
    <n v="5546"/>
    <s v="N"/>
  </r>
  <r>
    <s v="0100000US"/>
    <x v="39"/>
    <n v="2017"/>
    <x v="0"/>
    <s v="null"/>
    <x v="33"/>
    <s v="United States"/>
    <s v="N"/>
    <s v="N"/>
    <s v="N"/>
    <s v="N"/>
    <s v="N"/>
    <s v="N"/>
    <s v="N"/>
    <s v="N"/>
    <s v="N"/>
    <s v="D"/>
    <n v="25013"/>
    <x v="30"/>
    <n v="115843"/>
    <n v="180827"/>
    <s v="D"/>
    <s v="D"/>
    <x v="33"/>
    <n v="0"/>
    <n v="2456"/>
    <n v="1840"/>
    <s v="N"/>
    <n v="140"/>
    <n v="115"/>
    <n v="3877"/>
    <n v="62521"/>
    <n v="44607"/>
    <n v="15171"/>
    <n v="14534"/>
    <n v="77692"/>
    <n v="59141"/>
    <s v="N"/>
    <s v="N"/>
    <s v="N"/>
    <n v="150233"/>
    <s v="N"/>
    <n v="107207"/>
    <n v="35168"/>
    <n v="1785"/>
    <n v="3072"/>
    <n v="1963"/>
    <n v="720"/>
    <n v="874"/>
    <n v="42437"/>
    <n v="13214"/>
    <s v="D"/>
    <n v="23979"/>
    <n v="11638"/>
    <n v="11138"/>
    <s v="D"/>
    <n v="788325"/>
    <s v="N"/>
    <s v="N"/>
    <n v="1215"/>
    <n v="11621"/>
    <n v="12836"/>
    <s v="N"/>
  </r>
  <r>
    <s v="0100000US"/>
    <x v="40"/>
    <n v="2017"/>
    <x v="0"/>
    <s v="null"/>
    <x v="34"/>
    <s v="United States"/>
    <s v="N"/>
    <s v="N"/>
    <s v="N"/>
    <s v="N"/>
    <s v="N"/>
    <s v="N"/>
    <s v="N"/>
    <s v="N"/>
    <s v="N"/>
    <n v="1517906"/>
    <s v="D"/>
    <x v="31"/>
    <n v="10835194"/>
    <n v="14663789"/>
    <s v="D"/>
    <n v="314"/>
    <x v="34"/>
    <s v="D"/>
    <n v="327844"/>
    <n v="266172"/>
    <s v="N"/>
    <n v="13605"/>
    <n v="10813"/>
    <n v="534709"/>
    <n v="1550707"/>
    <n v="1207818"/>
    <n v="1405843"/>
    <n v="2180609"/>
    <n v="2956550"/>
    <n v="3388427"/>
    <s v="N"/>
    <s v="N"/>
    <s v="N"/>
    <n v="24854815"/>
    <s v="N"/>
    <n v="19867002"/>
    <n v="5992183"/>
    <n v="209879"/>
    <n v="491070"/>
    <n v="622085"/>
    <n v="85994"/>
    <n v="240655"/>
    <n v="9888480"/>
    <n v="1349128"/>
    <n v="249529"/>
    <n v="3861761"/>
    <n v="1566440"/>
    <n v="2556735"/>
    <n v="21121756"/>
    <n v="88924990"/>
    <s v="N"/>
    <s v="N"/>
    <n v="585105"/>
    <n v="1745158"/>
    <n v="2330263"/>
    <s v="N"/>
  </r>
  <r>
    <s v="0100000US"/>
    <x v="41"/>
    <n v="2017"/>
    <x v="0"/>
    <s v="null"/>
    <x v="34"/>
    <s v="United States"/>
    <s v="N"/>
    <s v="N"/>
    <s v="N"/>
    <s v="N"/>
    <s v="N"/>
    <s v="N"/>
    <s v="N"/>
    <s v="N"/>
    <s v="N"/>
    <n v="1517906"/>
    <s v="D"/>
    <x v="31"/>
    <n v="10835194"/>
    <n v="14663789"/>
    <s v="D"/>
    <n v="314"/>
    <x v="34"/>
    <s v="D"/>
    <n v="327844"/>
    <n v="266172"/>
    <s v="N"/>
    <n v="13605"/>
    <n v="10813"/>
    <n v="534709"/>
    <n v="1550707"/>
    <n v="1207818"/>
    <n v="1405843"/>
    <n v="2180609"/>
    <n v="2956550"/>
    <n v="3388427"/>
    <s v="N"/>
    <s v="N"/>
    <s v="N"/>
    <n v="24854815"/>
    <s v="N"/>
    <n v="19867002"/>
    <n v="5992183"/>
    <n v="209879"/>
    <n v="491070"/>
    <n v="622085"/>
    <n v="85994"/>
    <n v="240655"/>
    <n v="9888480"/>
    <n v="1349128"/>
    <n v="249529"/>
    <n v="3861761"/>
    <n v="1566440"/>
    <n v="2556735"/>
    <n v="21121756"/>
    <n v="88924990"/>
    <s v="N"/>
    <s v="N"/>
    <n v="585105"/>
    <n v="1745158"/>
    <n v="2330263"/>
    <s v="N"/>
  </r>
  <r>
    <s v="0100000US"/>
    <x v="42"/>
    <n v="2017"/>
    <x v="0"/>
    <s v="null"/>
    <x v="34"/>
    <s v="United States"/>
    <s v="N"/>
    <s v="N"/>
    <s v="N"/>
    <s v="N"/>
    <s v="N"/>
    <s v="N"/>
    <s v="N"/>
    <s v="N"/>
    <s v="N"/>
    <n v="1517906"/>
    <s v="D"/>
    <x v="31"/>
    <n v="10835194"/>
    <n v="14663789"/>
    <s v="D"/>
    <n v="314"/>
    <x v="34"/>
    <s v="D"/>
    <n v="327844"/>
    <n v="266172"/>
    <s v="N"/>
    <n v="13605"/>
    <n v="10813"/>
    <n v="534709"/>
    <n v="1550707"/>
    <n v="1207818"/>
    <n v="1405843"/>
    <n v="2180609"/>
    <n v="2956550"/>
    <n v="3388427"/>
    <s v="N"/>
    <s v="N"/>
    <s v="N"/>
    <n v="24854815"/>
    <s v="N"/>
    <n v="19867002"/>
    <n v="5992183"/>
    <n v="209879"/>
    <n v="491070"/>
    <n v="622085"/>
    <n v="85994"/>
    <n v="240655"/>
    <n v="9888480"/>
    <n v="1349128"/>
    <n v="249529"/>
    <n v="3861761"/>
    <n v="1566440"/>
    <n v="2556735"/>
    <n v="21121756"/>
    <n v="88924990"/>
    <s v="N"/>
    <s v="N"/>
    <n v="585105"/>
    <n v="1745158"/>
    <n v="2330263"/>
    <s v="N"/>
  </r>
  <r>
    <s v="0100000US"/>
    <x v="43"/>
    <n v="2017"/>
    <x v="0"/>
    <s v="null"/>
    <x v="35"/>
    <s v="United States"/>
    <s v="N"/>
    <s v="N"/>
    <s v="N"/>
    <s v="N"/>
    <s v="N"/>
    <s v="N"/>
    <s v="N"/>
    <s v="N"/>
    <s v="N"/>
    <n v="492464"/>
    <n v="132918"/>
    <x v="32"/>
    <n v="2194095"/>
    <n v="3010972"/>
    <n v="5116"/>
    <n v="223"/>
    <x v="35"/>
    <s v="D"/>
    <n v="73236"/>
    <n v="61549"/>
    <s v="N"/>
    <n v="2605"/>
    <n v="1783"/>
    <n v="126018"/>
    <n v="202378"/>
    <n v="154250"/>
    <n v="380635"/>
    <n v="379828"/>
    <n v="583013"/>
    <n v="534078"/>
    <s v="N"/>
    <s v="N"/>
    <s v="N"/>
    <n v="5916218"/>
    <s v="N"/>
    <n v="4910667"/>
    <n v="1456195"/>
    <n v="37568"/>
    <n v="62519"/>
    <n v="85356"/>
    <n v="38392"/>
    <n v="102626"/>
    <n v="1702738"/>
    <n v="481067"/>
    <n v="77083"/>
    <n v="1251460"/>
    <n v="262964"/>
    <n v="368434"/>
    <n v="4470207"/>
    <n v="17789492"/>
    <s v="N"/>
    <s v="N"/>
    <n v="91420"/>
    <n v="261589"/>
    <n v="353009"/>
    <s v="N"/>
  </r>
  <r>
    <s v="0100000US"/>
    <x v="44"/>
    <n v="2017"/>
    <x v="0"/>
    <s v="null"/>
    <x v="36"/>
    <s v="United States"/>
    <s v="N"/>
    <s v="N"/>
    <s v="N"/>
    <s v="N"/>
    <s v="N"/>
    <s v="N"/>
    <s v="N"/>
    <s v="N"/>
    <s v="N"/>
    <n v="891637"/>
    <n v="476194"/>
    <x v="33"/>
    <n v="7886807"/>
    <n v="10659219"/>
    <n v="122743"/>
    <n v="0"/>
    <x v="36"/>
    <n v="0"/>
    <n v="242380"/>
    <n v="194474"/>
    <s v="N"/>
    <n v="10341"/>
    <n v="8535"/>
    <n v="388787"/>
    <n v="1302370"/>
    <n v="1037283"/>
    <n v="997781"/>
    <n v="1744243"/>
    <n v="2300151"/>
    <n v="2781526"/>
    <s v="N"/>
    <s v="N"/>
    <s v="N"/>
    <n v="18161552"/>
    <s v="N"/>
    <n v="14315465"/>
    <n v="4355614"/>
    <n v="168891"/>
    <n v="425725"/>
    <n v="530822"/>
    <n v="45958"/>
    <n v="136316"/>
    <n v="8018111"/>
    <n v="839357"/>
    <n v="169235"/>
    <n v="2525151"/>
    <n v="1280577"/>
    <n v="2143988"/>
    <n v="16284131"/>
    <n v="68137603"/>
    <s v="N"/>
    <s v="N"/>
    <n v="482880"/>
    <n v="1445673"/>
    <n v="1928553"/>
    <s v="N"/>
  </r>
  <r>
    <s v="0100000US"/>
    <x v="45"/>
    <n v="2017"/>
    <x v="0"/>
    <s v="null"/>
    <x v="37"/>
    <s v="United States"/>
    <s v="N"/>
    <s v="N"/>
    <s v="N"/>
    <s v="N"/>
    <s v="N"/>
    <s v="N"/>
    <s v="N"/>
    <s v="N"/>
    <s v="N"/>
    <n v="81831"/>
    <s v="D"/>
    <x v="34"/>
    <n v="297010"/>
    <n v="413472"/>
    <s v="D"/>
    <n v="0"/>
    <x v="37"/>
    <n v="0"/>
    <n v="4179"/>
    <n v="3603"/>
    <s v="N"/>
    <n v="228"/>
    <n v="193"/>
    <n v="7131"/>
    <n v="7417"/>
    <s v="D"/>
    <n v="12929"/>
    <s v="D"/>
    <n v="20346"/>
    <n v="18107"/>
    <s v="N"/>
    <s v="N"/>
    <s v="N"/>
    <n v="253429"/>
    <s v="N"/>
    <n v="212153"/>
    <n v="60665"/>
    <n v="694"/>
    <n v="889"/>
    <n v="1653"/>
    <n v="469"/>
    <n v="354"/>
    <n v="51241"/>
    <n v="11249"/>
    <n v="898"/>
    <n v="36174"/>
    <n v="7513"/>
    <n v="13044"/>
    <n v="124178"/>
    <n v="1011229"/>
    <s v="N"/>
    <s v="N"/>
    <n v="2856"/>
    <n v="12589"/>
    <n v="15445"/>
    <s v="N"/>
  </r>
  <r>
    <s v="0100000US"/>
    <x v="46"/>
    <n v="2017"/>
    <x v="0"/>
    <s v="null"/>
    <x v="38"/>
    <s v="United States"/>
    <s v="N"/>
    <s v="N"/>
    <s v="N"/>
    <s v="N"/>
    <s v="N"/>
    <s v="N"/>
    <s v="N"/>
    <s v="N"/>
    <s v="N"/>
    <n v="36569"/>
    <s v="D"/>
    <x v="35"/>
    <n v="332997"/>
    <n v="411077"/>
    <s v="D"/>
    <n v="0"/>
    <x v="38"/>
    <n v="0"/>
    <n v="5351"/>
    <n v="4478"/>
    <s v="N"/>
    <n v="215"/>
    <n v="157"/>
    <n v="8344"/>
    <n v="24377"/>
    <s v="D"/>
    <n v="8027"/>
    <s v="D"/>
    <n v="32404"/>
    <n v="31216"/>
    <s v="N"/>
    <s v="N"/>
    <s v="N"/>
    <n v="383547"/>
    <s v="N"/>
    <n v="324289"/>
    <n v="90289"/>
    <n v="1944"/>
    <n v="1437"/>
    <n v="2417"/>
    <n v="856"/>
    <n v="1171"/>
    <n v="83825"/>
    <n v="11398"/>
    <n v="1313"/>
    <n v="30485"/>
    <n v="8696"/>
    <n v="13956"/>
    <n v="157498"/>
    <n v="1397602"/>
    <s v="N"/>
    <s v="N"/>
    <n v="4018"/>
    <n v="12409"/>
    <n v="16427"/>
    <s v="N"/>
  </r>
  <r>
    <s v="0100000US"/>
    <x v="47"/>
    <n v="2017"/>
    <x v="0"/>
    <s v="null"/>
    <x v="39"/>
    <s v="United States"/>
    <s v="N"/>
    <s v="N"/>
    <s v="N"/>
    <s v="N"/>
    <s v="N"/>
    <s v="N"/>
    <s v="N"/>
    <s v="N"/>
    <s v="N"/>
    <n v="15405"/>
    <s v="D"/>
    <x v="36"/>
    <n v="124285"/>
    <n v="169049"/>
    <s v="D"/>
    <n v="91"/>
    <x v="39"/>
    <n v="0"/>
    <n v="2698"/>
    <n v="2068"/>
    <s v="N"/>
    <n v="216"/>
    <n v="200"/>
    <n v="4429"/>
    <n v="14165"/>
    <s v="D"/>
    <n v="6471"/>
    <s v="D"/>
    <n v="20636"/>
    <n v="23500"/>
    <s v="N"/>
    <s v="N"/>
    <s v="N"/>
    <n v="140069"/>
    <s v="N"/>
    <n v="104428"/>
    <n v="29420"/>
    <n v="782"/>
    <n v="500"/>
    <n v="1837"/>
    <n v="319"/>
    <n v="188"/>
    <n v="32565"/>
    <n v="6057"/>
    <n v="1000"/>
    <n v="18491"/>
    <n v="6690"/>
    <n v="17313"/>
    <n v="85742"/>
    <n v="589064"/>
    <s v="N"/>
    <s v="N"/>
    <n v="3931"/>
    <n v="12898"/>
    <n v="16829"/>
    <s v="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4977E1-3B99-44D5-BF94-56905BF06A2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52" firstHeaderRow="0" firstDataRow="1" firstDataCol="1"/>
  <pivotFields count="63">
    <pivotField showAll="0"/>
    <pivotField axis="axisRow" showAll="0">
      <items count="49">
        <item x="0"/>
        <item x="1"/>
        <item x="7"/>
        <item x="40"/>
        <item x="2"/>
        <item x="8"/>
        <item x="13"/>
        <item x="24"/>
        <item x="41"/>
        <item x="3"/>
        <item x="5"/>
        <item x="9"/>
        <item x="14"/>
        <item x="16"/>
        <item x="19"/>
        <item x="21"/>
        <item x="25"/>
        <item x="30"/>
        <item x="35"/>
        <item x="42"/>
        <item x="4"/>
        <item x="6"/>
        <item x="10"/>
        <item x="11"/>
        <item x="12"/>
        <item x="15"/>
        <item x="17"/>
        <item x="18"/>
        <item x="20"/>
        <item x="22"/>
        <item x="23"/>
        <item x="26"/>
        <item x="27"/>
        <item x="28"/>
        <item x="29"/>
        <item x="31"/>
        <item x="32"/>
        <item x="33"/>
        <item x="34"/>
        <item x="36"/>
        <item x="37"/>
        <item x="38"/>
        <item x="39"/>
        <item x="43"/>
        <item x="44"/>
        <item x="45"/>
        <item x="46"/>
        <item x="47"/>
        <item t="default"/>
      </items>
    </pivotField>
    <pivotField showAll="0"/>
    <pivotField showAll="0">
      <items count="2">
        <item x="0"/>
        <item t="default"/>
      </items>
    </pivotField>
    <pivotField showAll="0"/>
    <pivotField showAll="0">
      <items count="41">
        <item x="17"/>
        <item x="33"/>
        <item x="8"/>
        <item x="6"/>
        <item x="7"/>
        <item x="28"/>
        <item x="5"/>
        <item x="25"/>
        <item x="14"/>
        <item x="2"/>
        <item x="22"/>
        <item x="21"/>
        <item x="20"/>
        <item x="35"/>
        <item x="11"/>
        <item x="12"/>
        <item x="26"/>
        <item x="10"/>
        <item x="27"/>
        <item x="9"/>
        <item x="4"/>
        <item x="0"/>
        <item x="3"/>
        <item x="18"/>
        <item x="1"/>
        <item x="32"/>
        <item x="23"/>
        <item x="15"/>
        <item x="29"/>
        <item x="31"/>
        <item x="30"/>
        <item x="24"/>
        <item x="13"/>
        <item x="19"/>
        <item x="37"/>
        <item x="38"/>
        <item x="34"/>
        <item x="39"/>
        <item x="36"/>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8">
        <item x="15"/>
        <item x="8"/>
        <item x="35"/>
        <item x="19"/>
        <item x="36"/>
        <item x="34"/>
        <item x="16"/>
        <item x="14"/>
        <item x="30"/>
        <item x="27"/>
        <item x="26"/>
        <item x="22"/>
        <item x="21"/>
        <item x="25"/>
        <item x="29"/>
        <item x="7"/>
        <item x="32"/>
        <item x="28"/>
        <item x="24"/>
        <item x="10"/>
        <item x="20"/>
        <item x="23"/>
        <item x="18"/>
        <item x="3"/>
        <item x="6"/>
        <item x="13"/>
        <item x="11"/>
        <item x="5"/>
        <item x="17"/>
        <item x="33"/>
        <item x="31"/>
        <item x="9"/>
        <item x="2"/>
        <item x="4"/>
        <item x="1"/>
        <item x="0"/>
        <item x="12"/>
        <item t="default"/>
      </items>
    </pivotField>
    <pivotField showAll="0"/>
    <pivotField showAll="0"/>
    <pivotField showAll="0"/>
    <pivotField showAll="0"/>
    <pivotField dataField="1" showAll="0">
      <items count="41">
        <item x="39"/>
        <item x="8"/>
        <item x="38"/>
        <item x="16"/>
        <item x="20"/>
        <item x="13"/>
        <item x="37"/>
        <item x="32"/>
        <item x="33"/>
        <item x="28"/>
        <item x="17"/>
        <item x="23"/>
        <item x="15"/>
        <item x="22"/>
        <item x="27"/>
        <item x="26"/>
        <item x="30"/>
        <item x="35"/>
        <item x="25"/>
        <item x="6"/>
        <item x="31"/>
        <item x="21"/>
        <item x="24"/>
        <item x="29"/>
        <item x="19"/>
        <item x="10"/>
        <item x="36"/>
        <item x="14"/>
        <item x="7"/>
        <item x="12"/>
        <item x="11"/>
        <item x="34"/>
        <item x="5"/>
        <item x="18"/>
        <item x="3"/>
        <item x="9"/>
        <item x="2"/>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CSTFU" fld="18" baseField="3" baseItem="0"/>
    <dataField name="Sum of ELECPCH"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hyperlink" Target="http://www.eia.gov/coa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ia.gov/naturalga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eia.gov/petrole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
  <sheetViews>
    <sheetView topLeftCell="Y1" workbookViewId="0">
      <selection activeCell="AB31" sqref="AB31"/>
    </sheetView>
  </sheetViews>
  <sheetFormatPr defaultRowHeight="12.75" x14ac:dyDescent="0.2"/>
  <cols>
    <col min="1" max="1" width="12.5703125" customWidth="1"/>
    <col min="2" max="2" width="28.5703125" customWidth="1"/>
    <col min="3" max="3" width="14.42578125" customWidth="1"/>
    <col min="4" max="4" width="10.5703125" customWidth="1"/>
    <col min="5" max="5" width="14.140625" customWidth="1"/>
    <col min="6" max="6" width="10.28515625" customWidth="1"/>
    <col min="7" max="8" width="10.5703125" customWidth="1"/>
    <col min="9" max="9" width="10.42578125" customWidth="1"/>
    <col min="10" max="10" width="11" customWidth="1"/>
    <col min="11" max="11" width="10.140625" customWidth="1"/>
    <col min="12" max="12" width="10.28515625" customWidth="1"/>
    <col min="13" max="14" width="10.42578125" customWidth="1"/>
    <col min="15" max="15" width="9.7109375" customWidth="1"/>
    <col min="17" max="17" width="12.42578125" bestFit="1" customWidth="1"/>
    <col min="18" max="18" width="10.140625" customWidth="1"/>
    <col min="21" max="21" width="10.42578125" customWidth="1"/>
    <col min="24" max="24" width="11.42578125" customWidth="1"/>
  </cols>
  <sheetData>
    <row r="1" spans="1:30" x14ac:dyDescent="0.2">
      <c r="Y1" s="12" t="s">
        <v>45</v>
      </c>
      <c r="Z1" s="12" t="s">
        <v>46</v>
      </c>
      <c r="AA1" s="12" t="s">
        <v>8</v>
      </c>
      <c r="AB1" s="12" t="s">
        <v>47</v>
      </c>
      <c r="AC1" s="12" t="s">
        <v>11</v>
      </c>
      <c r="AD1" s="12" t="s">
        <v>48</v>
      </c>
    </row>
    <row r="2" spans="1:30" x14ac:dyDescent="0.2">
      <c r="G2" s="229" t="s">
        <v>2</v>
      </c>
      <c r="H2" s="229"/>
      <c r="I2" s="229"/>
      <c r="J2" s="227" t="s">
        <v>6</v>
      </c>
      <c r="K2" s="228"/>
      <c r="L2" s="228"/>
      <c r="M2" s="227" t="s">
        <v>8</v>
      </c>
      <c r="N2" s="228"/>
      <c r="O2" s="228"/>
      <c r="P2" s="227" t="s">
        <v>9</v>
      </c>
      <c r="Q2" s="228"/>
      <c r="R2" s="228"/>
      <c r="S2" s="227" t="s">
        <v>11</v>
      </c>
      <c r="T2" s="228"/>
      <c r="U2" s="228"/>
      <c r="V2" s="4" t="s">
        <v>13</v>
      </c>
      <c r="X2" t="s">
        <v>44</v>
      </c>
      <c r="Y2">
        <f>Conversion_Factors!$G$6</f>
        <v>2.0742E-2</v>
      </c>
      <c r="Z2">
        <f>Conversion_Factors!$G$7</f>
        <v>5.8249999999999994E-3</v>
      </c>
      <c r="AA2">
        <f>Conversion_Factors!$G$8</f>
        <v>6.2870000000000001E-3</v>
      </c>
      <c r="AB2">
        <f>Conversion_Factors!$G$9</f>
        <v>1.028</v>
      </c>
      <c r="AC2">
        <f>Conversion_Factors!$G$10</f>
        <v>0.12507142857142858</v>
      </c>
    </row>
    <row r="3" spans="1:30" ht="25.5" x14ac:dyDescent="0.2">
      <c r="C3" s="229">
        <v>1997</v>
      </c>
      <c r="D3" s="229"/>
      <c r="E3" s="229">
        <v>2002</v>
      </c>
      <c r="F3" s="229"/>
      <c r="G3">
        <v>1997</v>
      </c>
      <c r="H3">
        <v>2002</v>
      </c>
      <c r="I3" s="2" t="s">
        <v>3</v>
      </c>
      <c r="J3" s="4">
        <v>1997</v>
      </c>
      <c r="K3">
        <v>2002</v>
      </c>
      <c r="L3" s="2" t="s">
        <v>3</v>
      </c>
      <c r="M3" s="4">
        <v>1997</v>
      </c>
      <c r="N3" s="6">
        <v>2002</v>
      </c>
      <c r="O3" s="7" t="s">
        <v>3</v>
      </c>
      <c r="P3" s="4">
        <v>1997</v>
      </c>
      <c r="Q3" s="6">
        <v>2002</v>
      </c>
      <c r="R3" s="7" t="s">
        <v>3</v>
      </c>
      <c r="S3" s="4">
        <v>1997</v>
      </c>
      <c r="T3" s="6">
        <v>2002</v>
      </c>
      <c r="U3" s="7" t="s">
        <v>3</v>
      </c>
      <c r="V3" s="4"/>
    </row>
    <row r="4" spans="1:30" x14ac:dyDescent="0.2">
      <c r="C4" t="s">
        <v>1</v>
      </c>
      <c r="D4" t="s">
        <v>0</v>
      </c>
      <c r="E4" t="s">
        <v>1</v>
      </c>
      <c r="F4" t="s">
        <v>0</v>
      </c>
      <c r="G4" t="s">
        <v>4</v>
      </c>
      <c r="H4" t="s">
        <v>4</v>
      </c>
      <c r="I4" t="s">
        <v>4</v>
      </c>
      <c r="J4" s="4" t="s">
        <v>7</v>
      </c>
      <c r="K4" t="s">
        <v>7</v>
      </c>
      <c r="L4" t="s">
        <v>7</v>
      </c>
      <c r="M4" s="4" t="s">
        <v>7</v>
      </c>
      <c r="N4" s="6" t="s">
        <v>7</v>
      </c>
      <c r="O4" s="6" t="s">
        <v>7</v>
      </c>
      <c r="P4" s="4" t="s">
        <v>10</v>
      </c>
      <c r="Q4" s="6" t="s">
        <v>10</v>
      </c>
      <c r="R4" s="6" t="s">
        <v>10</v>
      </c>
      <c r="S4" s="4" t="s">
        <v>12</v>
      </c>
      <c r="T4" s="6" t="s">
        <v>12</v>
      </c>
      <c r="U4" s="6" t="s">
        <v>12</v>
      </c>
      <c r="V4" s="4" t="s">
        <v>14</v>
      </c>
    </row>
    <row r="5" spans="1:30" x14ac:dyDescent="0.2">
      <c r="A5">
        <v>212111</v>
      </c>
      <c r="B5" t="s">
        <v>15</v>
      </c>
      <c r="C5">
        <v>829</v>
      </c>
      <c r="D5" s="3">
        <v>36632</v>
      </c>
      <c r="E5">
        <v>642</v>
      </c>
      <c r="F5" s="3">
        <v>32755</v>
      </c>
      <c r="G5">
        <v>31.5</v>
      </c>
      <c r="H5">
        <v>1.1000000000000001</v>
      </c>
      <c r="I5">
        <f>(G5+H5)/2</f>
        <v>16.3</v>
      </c>
      <c r="J5" s="4">
        <v>7420.4</v>
      </c>
      <c r="K5">
        <v>7126.8</v>
      </c>
      <c r="L5">
        <f>(J5+K5)/2</f>
        <v>7273.6</v>
      </c>
      <c r="M5" s="4">
        <v>721.2</v>
      </c>
      <c r="N5" s="6">
        <v>973.9</v>
      </c>
      <c r="O5" s="6">
        <f>(M5+N5)/2</f>
        <v>847.55</v>
      </c>
      <c r="P5" s="4">
        <v>0.7</v>
      </c>
      <c r="Q5" s="6">
        <f>$F5/$D5*P5</f>
        <v>0.62591450098274726</v>
      </c>
      <c r="R5" s="6">
        <f>(P5+Q5)/2</f>
        <v>0.66295725049137366</v>
      </c>
      <c r="S5" s="4">
        <v>29.4</v>
      </c>
      <c r="T5" s="6">
        <v>11.8</v>
      </c>
      <c r="U5" s="6">
        <f>(S5+T5)/2</f>
        <v>20.6</v>
      </c>
      <c r="V5" s="4">
        <v>10</v>
      </c>
      <c r="Y5" s="13">
        <f>I5*Y$2</f>
        <v>0.33809460000000002</v>
      </c>
      <c r="Z5" s="13">
        <f>L5*Z$2</f>
        <v>42.368719999999996</v>
      </c>
      <c r="AA5" s="13">
        <f>O5*AA$2</f>
        <v>5.3285468499999995</v>
      </c>
      <c r="AB5" s="13">
        <f>R5*AB$2</f>
        <v>0.68152005350513212</v>
      </c>
      <c r="AC5" s="13">
        <f>U5*AC$2</f>
        <v>2.5764714285714292</v>
      </c>
      <c r="AD5" s="13">
        <f>SUM(Y5:AC5)</f>
        <v>51.293352932076559</v>
      </c>
    </row>
    <row r="6" spans="1:30" x14ac:dyDescent="0.2">
      <c r="A6">
        <v>212112</v>
      </c>
      <c r="B6" t="s">
        <v>5</v>
      </c>
      <c r="C6">
        <v>614</v>
      </c>
      <c r="D6" s="3">
        <v>50192</v>
      </c>
      <c r="E6">
        <v>478</v>
      </c>
      <c r="F6" s="3">
        <v>40319</v>
      </c>
      <c r="G6">
        <v>221.4</v>
      </c>
      <c r="H6">
        <v>179.8</v>
      </c>
      <c r="I6">
        <f>(G6+H6)/2</f>
        <v>200.60000000000002</v>
      </c>
      <c r="J6" s="4">
        <v>655.9</v>
      </c>
      <c r="K6">
        <f>$F6/$D6*J6</f>
        <v>526.8814173573478</v>
      </c>
      <c r="L6">
        <f>(J6+K6)/2</f>
        <v>591.39070867867395</v>
      </c>
      <c r="M6" s="4">
        <v>144.80000000000001</v>
      </c>
      <c r="N6" s="6">
        <v>178.3</v>
      </c>
      <c r="O6" s="6">
        <f>(M6+N6)/2</f>
        <v>161.55000000000001</v>
      </c>
      <c r="P6" s="4">
        <v>0.5</v>
      </c>
      <c r="Q6" s="6">
        <f>$F6/$D6*P6</f>
        <v>0.40164767293592607</v>
      </c>
      <c r="R6" s="6">
        <f>(P6+Q6)/2</f>
        <v>0.45082383646796304</v>
      </c>
      <c r="S6" s="4">
        <v>4</v>
      </c>
      <c r="T6" s="6">
        <v>1.5</v>
      </c>
      <c r="U6" s="6">
        <f>(S6+T6)/2</f>
        <v>2.75</v>
      </c>
      <c r="V6" s="4">
        <v>30</v>
      </c>
      <c r="Y6" s="13">
        <f t="shared" ref="Y6:Y24" si="0">I6*Y$2</f>
        <v>4.1608452000000007</v>
      </c>
      <c r="Z6" s="13">
        <f t="shared" ref="Z6:Z24" si="1">L6*Z$2</f>
        <v>3.4448508780532756</v>
      </c>
      <c r="AA6" s="13">
        <f t="shared" ref="AA6:AA24" si="2">O6*AA$2</f>
        <v>1.0156648500000001</v>
      </c>
      <c r="AB6" s="13"/>
      <c r="AC6" s="13">
        <f t="shared" ref="AC6:AC24" si="3">U6*AC$2</f>
        <v>0.3439464285714286</v>
      </c>
      <c r="AD6" s="13">
        <f t="shared" ref="AD6:AD24" si="4">SUM(Y6:AC6)</f>
        <v>8.9653073566247041</v>
      </c>
    </row>
    <row r="7" spans="1:30" x14ac:dyDescent="0.2">
      <c r="A7">
        <v>212113</v>
      </c>
      <c r="B7" t="s">
        <v>16</v>
      </c>
      <c r="C7">
        <v>68</v>
      </c>
      <c r="D7" s="3">
        <v>1141</v>
      </c>
      <c r="E7">
        <v>63</v>
      </c>
      <c r="F7" s="3">
        <v>835</v>
      </c>
      <c r="I7">
        <f t="shared" ref="I7:I20" si="5">(G7+H7)/2</f>
        <v>0</v>
      </c>
      <c r="J7" s="4">
        <v>103.2</v>
      </c>
      <c r="K7">
        <f>$F7/$D7*J7</f>
        <v>75.523225241016647</v>
      </c>
      <c r="L7">
        <f>(J7+K7)/2</f>
        <v>89.361612620508325</v>
      </c>
      <c r="M7" s="4">
        <v>34.9</v>
      </c>
      <c r="N7" s="6">
        <f>$F7/$D7*M7</f>
        <v>25.540315512708148</v>
      </c>
      <c r="O7" s="6">
        <f>(M7+N7)/2</f>
        <v>30.220157756354073</v>
      </c>
      <c r="P7" s="4"/>
      <c r="Q7" s="6"/>
      <c r="R7" s="6"/>
      <c r="S7" s="4">
        <v>0.3</v>
      </c>
      <c r="T7" s="6">
        <f>$F7/$D7*S7</f>
        <v>0.21954425942156003</v>
      </c>
      <c r="U7" s="6">
        <f>(S7+T7)/2</f>
        <v>0.25977212971078001</v>
      </c>
      <c r="V7" s="4">
        <v>20</v>
      </c>
      <c r="Y7" s="13"/>
      <c r="Z7" s="13">
        <f t="shared" si="1"/>
        <v>0.52053139351446098</v>
      </c>
      <c r="AA7" s="13">
        <f t="shared" si="2"/>
        <v>0.18999413181419805</v>
      </c>
      <c r="AB7" s="13"/>
      <c r="AC7" s="13">
        <f t="shared" si="3"/>
        <v>3.2490071365969701E-2</v>
      </c>
      <c r="AD7" s="13">
        <f t="shared" si="4"/>
        <v>0.7430155966946288</v>
      </c>
    </row>
    <row r="8" spans="1:30" x14ac:dyDescent="0.2">
      <c r="A8">
        <v>212210</v>
      </c>
      <c r="B8" t="s">
        <v>18</v>
      </c>
      <c r="C8">
        <v>32</v>
      </c>
      <c r="D8" s="3">
        <v>7920</v>
      </c>
      <c r="E8">
        <v>24</v>
      </c>
      <c r="F8" s="3">
        <v>5189</v>
      </c>
      <c r="G8" s="10">
        <v>60</v>
      </c>
      <c r="H8">
        <v>81</v>
      </c>
      <c r="I8">
        <f t="shared" si="5"/>
        <v>70.5</v>
      </c>
      <c r="J8" s="4">
        <v>910.7</v>
      </c>
      <c r="K8" s="8">
        <v>597.70000000000005</v>
      </c>
      <c r="L8">
        <f t="shared" ref="L8:L24" si="6">(J8+K8)/2</f>
        <v>754.2</v>
      </c>
      <c r="M8" s="4"/>
      <c r="N8" s="6"/>
      <c r="O8" s="6">
        <f t="shared" ref="O8:O24" si="7">(M8+N8)/2</f>
        <v>0</v>
      </c>
      <c r="P8" s="4">
        <v>34.299999999999997</v>
      </c>
      <c r="Q8" s="6">
        <v>22.1</v>
      </c>
      <c r="R8" s="6">
        <f t="shared" ref="R8:R24" si="8">(P8+Q8)/2</f>
        <v>28.2</v>
      </c>
      <c r="S8" s="4">
        <v>1.4</v>
      </c>
      <c r="T8" s="6">
        <f>$F8/$D8*S8</f>
        <v>0.9172474747474747</v>
      </c>
      <c r="U8" s="6">
        <f t="shared" ref="U8:U21" si="9">(S8+T8)/2</f>
        <v>1.1586237373737374</v>
      </c>
      <c r="V8" s="4">
        <v>2</v>
      </c>
      <c r="Y8" s="13">
        <f t="shared" si="0"/>
        <v>1.4623109999999999</v>
      </c>
      <c r="Z8" s="13">
        <f t="shared" si="1"/>
        <v>4.3932149999999996</v>
      </c>
      <c r="AA8" s="13"/>
      <c r="AB8" s="13">
        <f t="shared" ref="AB8:AB24" si="10">R8*AB$2</f>
        <v>28.989599999999999</v>
      </c>
      <c r="AC8" s="13">
        <f t="shared" si="3"/>
        <v>0.14491072601010102</v>
      </c>
      <c r="AD8" s="13">
        <f t="shared" si="4"/>
        <v>34.990036726010104</v>
      </c>
    </row>
    <row r="9" spans="1:30" x14ac:dyDescent="0.2">
      <c r="A9">
        <v>212221</v>
      </c>
      <c r="B9" t="s">
        <v>19</v>
      </c>
      <c r="C9">
        <v>300</v>
      </c>
      <c r="D9" s="3">
        <v>17512</v>
      </c>
      <c r="E9">
        <v>180</v>
      </c>
      <c r="F9" s="3">
        <v>9265</v>
      </c>
      <c r="I9">
        <f t="shared" si="5"/>
        <v>0</v>
      </c>
      <c r="J9" s="4">
        <v>3130.5</v>
      </c>
      <c r="K9">
        <v>1914.7</v>
      </c>
      <c r="L9">
        <f t="shared" si="6"/>
        <v>2522.6</v>
      </c>
      <c r="M9" s="4"/>
      <c r="N9" s="6"/>
      <c r="O9" s="6">
        <f t="shared" si="7"/>
        <v>0</v>
      </c>
      <c r="P9" s="4"/>
      <c r="Q9" s="6"/>
      <c r="R9" s="6"/>
      <c r="S9" s="4">
        <v>13.1</v>
      </c>
      <c r="T9" s="6">
        <f>$F9/$D9*S9</f>
        <v>6.9307617633622653</v>
      </c>
      <c r="U9" s="6">
        <f t="shared" si="9"/>
        <v>10.015380881681132</v>
      </c>
      <c r="V9" s="4">
        <v>10</v>
      </c>
      <c r="Y9" s="13"/>
      <c r="Z9" s="13">
        <f t="shared" si="1"/>
        <v>14.694144999999999</v>
      </c>
      <c r="AA9" s="13"/>
      <c r="AB9" s="13"/>
      <c r="AC9" s="13">
        <f t="shared" si="3"/>
        <v>1.2526379945588331</v>
      </c>
      <c r="AD9" s="13">
        <f t="shared" si="4"/>
        <v>15.946782994558832</v>
      </c>
    </row>
    <row r="10" spans="1:30" x14ac:dyDescent="0.2">
      <c r="A10">
        <v>212222</v>
      </c>
      <c r="B10" t="s">
        <v>20</v>
      </c>
      <c r="C10">
        <v>16</v>
      </c>
      <c r="D10" s="3">
        <v>780</v>
      </c>
      <c r="E10">
        <v>11</v>
      </c>
      <c r="F10" s="3">
        <v>575</v>
      </c>
      <c r="I10">
        <f t="shared" si="5"/>
        <v>0</v>
      </c>
      <c r="J10" s="4"/>
      <c r="M10" s="4"/>
      <c r="N10" s="6"/>
      <c r="O10" s="6"/>
      <c r="P10" s="4"/>
      <c r="Q10" s="6"/>
      <c r="R10" s="6"/>
      <c r="S10" s="4"/>
      <c r="T10" s="6"/>
      <c r="U10" s="6"/>
      <c r="V10" s="4"/>
      <c r="Y10" s="13"/>
      <c r="Z10" s="13"/>
      <c r="AA10" s="13"/>
      <c r="AB10" s="13"/>
      <c r="AC10" s="13"/>
      <c r="AD10" s="13"/>
    </row>
    <row r="11" spans="1:30" x14ac:dyDescent="0.2">
      <c r="A11">
        <v>212231</v>
      </c>
      <c r="B11" t="s">
        <v>22</v>
      </c>
      <c r="C11">
        <v>31</v>
      </c>
      <c r="D11" s="3">
        <v>2127</v>
      </c>
      <c r="E11">
        <v>22</v>
      </c>
      <c r="F11" s="3">
        <v>1442</v>
      </c>
      <c r="I11">
        <f t="shared" si="5"/>
        <v>0</v>
      </c>
      <c r="J11" s="4"/>
      <c r="M11" s="4"/>
      <c r="N11" s="6"/>
      <c r="O11" s="6">
        <f t="shared" si="7"/>
        <v>0</v>
      </c>
      <c r="P11" s="4"/>
      <c r="Q11" s="6"/>
      <c r="R11" s="6"/>
      <c r="S11" s="4"/>
      <c r="T11" s="6"/>
      <c r="U11" s="6"/>
      <c r="V11" s="4"/>
      <c r="Y11" s="13"/>
      <c r="Z11" s="13"/>
      <c r="AA11" s="13"/>
      <c r="AB11" s="13"/>
      <c r="AC11" s="13"/>
      <c r="AD11" s="13"/>
    </row>
    <row r="12" spans="1:30" x14ac:dyDescent="0.2">
      <c r="A12">
        <v>212234</v>
      </c>
      <c r="B12" t="s">
        <v>17</v>
      </c>
      <c r="C12">
        <v>23</v>
      </c>
      <c r="D12" s="3">
        <v>13745</v>
      </c>
      <c r="E12">
        <v>25</v>
      </c>
      <c r="F12" s="3">
        <v>7288</v>
      </c>
      <c r="I12">
        <f t="shared" si="5"/>
        <v>0</v>
      </c>
      <c r="J12" s="4">
        <v>3057.9</v>
      </c>
      <c r="K12">
        <f>$F12/$D12*J12</f>
        <v>1621.3877919243359</v>
      </c>
      <c r="L12">
        <f t="shared" si="6"/>
        <v>2339.6438959621682</v>
      </c>
      <c r="M12" s="4"/>
      <c r="N12" s="6"/>
      <c r="O12" s="6">
        <f t="shared" si="7"/>
        <v>0</v>
      </c>
      <c r="P12" s="4">
        <v>1.8</v>
      </c>
      <c r="Q12" s="6">
        <f>$F12/$D12*P12</f>
        <v>0.95441251364132407</v>
      </c>
      <c r="R12" s="6">
        <f t="shared" si="8"/>
        <v>1.377206256820662</v>
      </c>
      <c r="S12" s="4">
        <v>3.1</v>
      </c>
      <c r="T12" s="6">
        <v>1.7</v>
      </c>
      <c r="U12" s="6">
        <f t="shared" si="9"/>
        <v>2.4</v>
      </c>
      <c r="V12" s="4">
        <v>5</v>
      </c>
      <c r="Y12" s="13">
        <f t="shared" si="0"/>
        <v>0</v>
      </c>
      <c r="Z12" s="13">
        <f t="shared" si="1"/>
        <v>13.628425693979629</v>
      </c>
      <c r="AA12" s="13">
        <f t="shared" si="2"/>
        <v>0</v>
      </c>
      <c r="AB12" s="13">
        <f t="shared" si="10"/>
        <v>1.4157680320116406</v>
      </c>
      <c r="AC12" s="13">
        <f t="shared" si="3"/>
        <v>0.30017142857142859</v>
      </c>
      <c r="AD12" s="13">
        <f t="shared" si="4"/>
        <v>15.344365154562698</v>
      </c>
    </row>
    <row r="13" spans="1:30" x14ac:dyDescent="0.2">
      <c r="A13">
        <v>212291</v>
      </c>
      <c r="B13" t="s">
        <v>23</v>
      </c>
      <c r="C13">
        <v>29</v>
      </c>
      <c r="D13" s="3">
        <v>695</v>
      </c>
      <c r="E13">
        <v>17</v>
      </c>
      <c r="F13" s="3">
        <v>329</v>
      </c>
      <c r="I13">
        <f t="shared" si="5"/>
        <v>0</v>
      </c>
      <c r="J13" s="4">
        <v>1.5</v>
      </c>
      <c r="K13">
        <f>$F13/$D13*J13</f>
        <v>0.7100719424460431</v>
      </c>
      <c r="L13">
        <f t="shared" si="6"/>
        <v>1.1050359712230216</v>
      </c>
      <c r="M13" s="4"/>
      <c r="N13" s="6"/>
      <c r="O13" s="6">
        <f t="shared" si="7"/>
        <v>0</v>
      </c>
      <c r="P13" s="4">
        <v>0.3</v>
      </c>
      <c r="Q13" s="6">
        <f>$F13/$D13*P13</f>
        <v>0.14201438848920861</v>
      </c>
      <c r="R13" s="6">
        <f t="shared" si="8"/>
        <v>0.2210071942446043</v>
      </c>
      <c r="S13" s="4">
        <v>0.1</v>
      </c>
      <c r="T13" s="6">
        <f>$F13/$D13*S13</f>
        <v>4.7338129496402877E-2</v>
      </c>
      <c r="U13" s="6">
        <f t="shared" si="9"/>
        <v>7.3669064748201438E-2</v>
      </c>
      <c r="V13" s="4">
        <v>30</v>
      </c>
      <c r="Y13" s="13">
        <f t="shared" si="0"/>
        <v>0</v>
      </c>
      <c r="Z13" s="13">
        <f t="shared" si="1"/>
        <v>6.4368345323741003E-3</v>
      </c>
      <c r="AA13" s="13">
        <f t="shared" si="2"/>
        <v>0</v>
      </c>
      <c r="AB13" s="13">
        <f t="shared" si="10"/>
        <v>0.22719539568345323</v>
      </c>
      <c r="AC13" s="13">
        <f t="shared" si="3"/>
        <v>9.2138951695786234E-3</v>
      </c>
      <c r="AD13" s="13">
        <f t="shared" si="4"/>
        <v>0.24284612538540595</v>
      </c>
    </row>
    <row r="14" spans="1:30" x14ac:dyDescent="0.2">
      <c r="A14">
        <v>212299</v>
      </c>
      <c r="B14" t="s">
        <v>31</v>
      </c>
      <c r="C14">
        <v>35</v>
      </c>
      <c r="D14" s="3">
        <v>2688</v>
      </c>
      <c r="E14">
        <v>37</v>
      </c>
      <c r="F14" s="3">
        <v>2932</v>
      </c>
      <c r="I14">
        <f t="shared" si="5"/>
        <v>0</v>
      </c>
      <c r="J14" s="4">
        <v>123</v>
      </c>
      <c r="K14">
        <f>$F14/$D14*J14</f>
        <v>134.16517857142858</v>
      </c>
      <c r="L14">
        <f t="shared" si="6"/>
        <v>128.58258928571428</v>
      </c>
      <c r="M14" s="4">
        <v>171.2</v>
      </c>
      <c r="N14" s="6">
        <v>83.3</v>
      </c>
      <c r="O14" s="6">
        <f t="shared" si="7"/>
        <v>127.25</v>
      </c>
      <c r="P14" s="4">
        <v>0.5</v>
      </c>
      <c r="Q14" s="6">
        <v>0.5</v>
      </c>
      <c r="R14" s="6">
        <f t="shared" si="8"/>
        <v>0.5</v>
      </c>
      <c r="S14" s="4">
        <v>0.4</v>
      </c>
      <c r="T14" s="6">
        <f>$F14/$D14*S14</f>
        <v>0.43630952380952381</v>
      </c>
      <c r="U14" s="6">
        <f t="shared" si="9"/>
        <v>0.41815476190476192</v>
      </c>
      <c r="V14" s="4">
        <v>10</v>
      </c>
      <c r="Y14" s="13">
        <f t="shared" si="0"/>
        <v>0</v>
      </c>
      <c r="Z14" s="13">
        <f t="shared" si="1"/>
        <v>0.74899358258928561</v>
      </c>
      <c r="AA14" s="13">
        <f t="shared" si="2"/>
        <v>0.80002075000000006</v>
      </c>
      <c r="AB14" s="13">
        <f t="shared" si="10"/>
        <v>0.51400000000000001</v>
      </c>
      <c r="AC14" s="13">
        <f t="shared" si="3"/>
        <v>5.2299213435374158E-2</v>
      </c>
      <c r="AD14" s="13">
        <f t="shared" si="4"/>
        <v>2.1153135460246602</v>
      </c>
    </row>
    <row r="15" spans="1:30" x14ac:dyDescent="0.2">
      <c r="D15" s="3"/>
      <c r="F15" s="3"/>
      <c r="I15">
        <f t="shared" si="5"/>
        <v>0</v>
      </c>
      <c r="J15" s="4"/>
      <c r="M15" s="4"/>
      <c r="N15" s="6"/>
      <c r="O15" s="6"/>
      <c r="P15" s="4"/>
      <c r="Q15" s="6"/>
      <c r="R15" s="6"/>
      <c r="S15" s="4"/>
      <c r="T15" s="6"/>
      <c r="U15" s="6">
        <f t="shared" si="9"/>
        <v>0</v>
      </c>
      <c r="V15" s="4"/>
      <c r="Y15" s="13">
        <f t="shared" si="0"/>
        <v>0</v>
      </c>
      <c r="Z15" s="13">
        <f t="shared" si="1"/>
        <v>0</v>
      </c>
      <c r="AA15" s="13">
        <f t="shared" si="2"/>
        <v>0</v>
      </c>
      <c r="AB15" s="13">
        <f t="shared" si="10"/>
        <v>0</v>
      </c>
      <c r="AC15" s="13">
        <f t="shared" si="3"/>
        <v>0</v>
      </c>
      <c r="AD15" s="13">
        <f t="shared" si="4"/>
        <v>0</v>
      </c>
    </row>
    <row r="16" spans="1:30" x14ac:dyDescent="0.2">
      <c r="A16">
        <v>212311</v>
      </c>
      <c r="B16" t="s">
        <v>25</v>
      </c>
      <c r="C16">
        <v>178</v>
      </c>
      <c r="D16" s="3">
        <v>1658</v>
      </c>
      <c r="E16">
        <v>177</v>
      </c>
      <c r="F16" s="3">
        <v>2675</v>
      </c>
      <c r="J16" s="4">
        <v>27.5</v>
      </c>
      <c r="K16">
        <f>$F16/$D16*J16</f>
        <v>44.368214716525934</v>
      </c>
      <c r="L16">
        <f t="shared" si="6"/>
        <v>35.934107358262963</v>
      </c>
      <c r="M16" s="4">
        <v>6</v>
      </c>
      <c r="N16" s="6">
        <f>$F16/$D16*M16</f>
        <v>9.680337756332932</v>
      </c>
      <c r="O16" s="6">
        <f t="shared" si="7"/>
        <v>7.840168878166466</v>
      </c>
      <c r="P16" s="4"/>
      <c r="Q16" s="6"/>
      <c r="R16" s="6"/>
      <c r="S16" s="4">
        <v>0.3</v>
      </c>
      <c r="T16" s="6">
        <v>1</v>
      </c>
      <c r="U16" s="6">
        <f t="shared" si="9"/>
        <v>0.65</v>
      </c>
      <c r="V16" s="4">
        <v>40</v>
      </c>
      <c r="Y16" s="13">
        <f t="shared" si="0"/>
        <v>0</v>
      </c>
      <c r="Z16" s="13">
        <f t="shared" si="1"/>
        <v>0.20931617536188174</v>
      </c>
      <c r="AA16" s="13">
        <f t="shared" si="2"/>
        <v>4.9291141737032571E-2</v>
      </c>
      <c r="AB16" s="13">
        <f t="shared" si="10"/>
        <v>0</v>
      </c>
      <c r="AC16" s="13">
        <f t="shared" si="3"/>
        <v>8.1296428571428575E-2</v>
      </c>
      <c r="AD16" s="13">
        <f t="shared" si="4"/>
        <v>0.33990374567034287</v>
      </c>
    </row>
    <row r="17" spans="1:30" x14ac:dyDescent="0.2">
      <c r="A17">
        <v>212312</v>
      </c>
      <c r="B17" t="s">
        <v>26</v>
      </c>
      <c r="C17">
        <v>1435</v>
      </c>
      <c r="D17" s="3">
        <v>27563</v>
      </c>
      <c r="E17">
        <v>1518</v>
      </c>
      <c r="F17" s="3">
        <v>28945</v>
      </c>
      <c r="G17">
        <v>43</v>
      </c>
      <c r="H17">
        <f>$F17/$D17*G17</f>
        <v>45.15600624024961</v>
      </c>
      <c r="I17">
        <f t="shared" si="5"/>
        <v>44.078003120124805</v>
      </c>
      <c r="J17" s="4">
        <v>2312.4</v>
      </c>
      <c r="K17">
        <f>$F17/$D17*J17</f>
        <v>2428.3429960454232</v>
      </c>
      <c r="L17">
        <f t="shared" si="6"/>
        <v>2370.3714980227114</v>
      </c>
      <c r="M17" s="4">
        <v>240.4</v>
      </c>
      <c r="N17" s="6">
        <v>308.39999999999998</v>
      </c>
      <c r="O17" s="6">
        <f t="shared" si="7"/>
        <v>274.39999999999998</v>
      </c>
      <c r="P17" s="4">
        <v>2.2999999999999998</v>
      </c>
      <c r="Q17">
        <f>$F17/$D17*P17</f>
        <v>2.4153212640133512</v>
      </c>
      <c r="R17" s="6">
        <f t="shared" si="8"/>
        <v>2.3576606320066755</v>
      </c>
      <c r="S17" s="4">
        <v>11.3</v>
      </c>
      <c r="T17" s="6">
        <f>$F17/$D17*S17</f>
        <v>11.866578384065596</v>
      </c>
      <c r="U17" s="6">
        <f t="shared" si="9"/>
        <v>11.583289192032797</v>
      </c>
      <c r="V17" s="4"/>
      <c r="Y17" s="13">
        <f t="shared" si="0"/>
        <v>0.91426594071762868</v>
      </c>
      <c r="Z17" s="13">
        <f t="shared" si="1"/>
        <v>13.807413975982293</v>
      </c>
      <c r="AA17" s="13">
        <f t="shared" si="2"/>
        <v>1.7251527999999998</v>
      </c>
      <c r="AB17" s="13">
        <f t="shared" si="10"/>
        <v>2.4236751297028625</v>
      </c>
      <c r="AC17" s="13">
        <f t="shared" si="3"/>
        <v>1.4487385268035307</v>
      </c>
      <c r="AD17" s="13">
        <f t="shared" si="4"/>
        <v>20.319246373206312</v>
      </c>
    </row>
    <row r="18" spans="1:30" x14ac:dyDescent="0.2">
      <c r="A18">
        <v>212313</v>
      </c>
      <c r="B18" t="s">
        <v>29</v>
      </c>
      <c r="C18">
        <v>290</v>
      </c>
      <c r="D18" s="3">
        <v>6812</v>
      </c>
      <c r="E18">
        <v>321</v>
      </c>
      <c r="F18" s="3">
        <v>7400</v>
      </c>
      <c r="I18">
        <f t="shared" si="5"/>
        <v>0</v>
      </c>
      <c r="J18" s="4">
        <v>692.7</v>
      </c>
      <c r="K18">
        <f>$F18/$D18*J18</f>
        <v>752.49266001174396</v>
      </c>
      <c r="L18">
        <f t="shared" si="6"/>
        <v>722.59633000587201</v>
      </c>
      <c r="M18" s="4">
        <v>170.9</v>
      </c>
      <c r="N18" s="6">
        <v>50.4</v>
      </c>
      <c r="O18" s="6">
        <f t="shared" si="7"/>
        <v>110.65</v>
      </c>
      <c r="P18" s="4"/>
      <c r="Q18" s="6"/>
      <c r="R18" s="6"/>
      <c r="S18" s="4">
        <v>1.9</v>
      </c>
      <c r="T18" s="6">
        <f>$F18/$D18*S18</f>
        <v>2.0640046975924835</v>
      </c>
      <c r="U18" s="6">
        <f t="shared" si="9"/>
        <v>1.9820023487962417</v>
      </c>
      <c r="V18" s="4">
        <v>30</v>
      </c>
      <c r="Y18" s="13">
        <f t="shared" si="0"/>
        <v>0</v>
      </c>
      <c r="Z18" s="13">
        <f t="shared" si="1"/>
        <v>4.2091236222842037</v>
      </c>
      <c r="AA18" s="13">
        <f t="shared" si="2"/>
        <v>0.69565655000000004</v>
      </c>
      <c r="AB18" s="13">
        <f t="shared" si="10"/>
        <v>0</v>
      </c>
      <c r="AC18" s="13">
        <f t="shared" si="3"/>
        <v>0.24789186519587283</v>
      </c>
      <c r="AD18" s="13">
        <f t="shared" si="4"/>
        <v>5.1526720374800767</v>
      </c>
    </row>
    <row r="19" spans="1:30" x14ac:dyDescent="0.2">
      <c r="A19">
        <v>212324</v>
      </c>
      <c r="B19" t="s">
        <v>30</v>
      </c>
      <c r="C19">
        <v>35</v>
      </c>
      <c r="D19" s="3">
        <v>3630</v>
      </c>
      <c r="E19">
        <v>33</v>
      </c>
      <c r="F19" s="3">
        <v>3166</v>
      </c>
      <c r="I19">
        <f t="shared" si="5"/>
        <v>0</v>
      </c>
      <c r="J19" s="4">
        <v>47.8</v>
      </c>
      <c r="K19">
        <f>$F19/$D19*J19</f>
        <v>41.690027548209365</v>
      </c>
      <c r="L19">
        <f t="shared" si="6"/>
        <v>44.745013774104677</v>
      </c>
      <c r="M19" s="4"/>
      <c r="N19" s="6"/>
      <c r="O19" s="6"/>
      <c r="P19" s="4">
        <v>14</v>
      </c>
      <c r="Q19" s="6">
        <f>$F19/$D19*P19</f>
        <v>12.210468319559228</v>
      </c>
      <c r="R19" s="6">
        <f t="shared" si="8"/>
        <v>13.105234159779613</v>
      </c>
      <c r="S19" s="4">
        <v>0.7</v>
      </c>
      <c r="T19" s="6">
        <v>0.3</v>
      </c>
      <c r="U19" s="6">
        <f t="shared" si="9"/>
        <v>0.5</v>
      </c>
      <c r="V19" s="4">
        <v>10</v>
      </c>
      <c r="Y19" s="13">
        <f t="shared" si="0"/>
        <v>0</v>
      </c>
      <c r="Z19" s="13">
        <f t="shared" si="1"/>
        <v>0.26063970523415975</v>
      </c>
      <c r="AA19" s="13">
        <f t="shared" si="2"/>
        <v>0</v>
      </c>
      <c r="AB19" s="13">
        <f t="shared" si="10"/>
        <v>13.472180716253442</v>
      </c>
      <c r="AC19" s="13">
        <f t="shared" si="3"/>
        <v>6.2535714285714292E-2</v>
      </c>
      <c r="AD19" s="13">
        <f t="shared" si="4"/>
        <v>13.795356135773316</v>
      </c>
    </row>
    <row r="20" spans="1:30" x14ac:dyDescent="0.2">
      <c r="A20">
        <v>212391</v>
      </c>
      <c r="B20" t="s">
        <v>21</v>
      </c>
      <c r="C20">
        <v>27</v>
      </c>
      <c r="D20" s="3">
        <v>4805</v>
      </c>
      <c r="E20">
        <v>24</v>
      </c>
      <c r="F20" s="3">
        <v>3444</v>
      </c>
      <c r="G20">
        <v>1712.2</v>
      </c>
      <c r="H20">
        <f>$F20/$D20*G20</f>
        <v>1227.225140478668</v>
      </c>
      <c r="I20">
        <f t="shared" si="5"/>
        <v>1469.7125702393341</v>
      </c>
      <c r="J20" s="4"/>
      <c r="M20" s="4"/>
      <c r="N20" s="6"/>
      <c r="O20" s="6"/>
      <c r="P20" s="4">
        <v>25.2</v>
      </c>
      <c r="Q20" s="6">
        <f>$F20/$D20*P20</f>
        <v>18.062185223725283</v>
      </c>
      <c r="R20" s="6">
        <f t="shared" si="8"/>
        <v>21.631092611862641</v>
      </c>
      <c r="S20" s="4">
        <v>0.3</v>
      </c>
      <c r="T20" s="6">
        <f>$F20/$D20*S20</f>
        <v>0.21502601456815815</v>
      </c>
      <c r="U20" s="6">
        <f t="shared" si="9"/>
        <v>0.25751300728407905</v>
      </c>
      <c r="V20" s="4">
        <v>20</v>
      </c>
      <c r="Y20" s="13">
        <f t="shared" si="0"/>
        <v>30.484778131904267</v>
      </c>
      <c r="Z20" s="13">
        <f t="shared" si="1"/>
        <v>0</v>
      </c>
      <c r="AA20" s="13">
        <f t="shared" si="2"/>
        <v>0</v>
      </c>
      <c r="AB20" s="13">
        <f t="shared" si="10"/>
        <v>22.236763204994794</v>
      </c>
      <c r="AC20" s="13">
        <f t="shared" si="3"/>
        <v>3.2207519696744465E-2</v>
      </c>
      <c r="AD20" s="13">
        <f t="shared" si="4"/>
        <v>52.753748856595813</v>
      </c>
    </row>
    <row r="21" spans="1:30" x14ac:dyDescent="0.2">
      <c r="A21">
        <v>212392</v>
      </c>
      <c r="B21" t="s">
        <v>24</v>
      </c>
      <c r="C21">
        <v>20</v>
      </c>
      <c r="D21" s="3">
        <v>3858</v>
      </c>
      <c r="E21">
        <v>15</v>
      </c>
      <c r="F21" s="3">
        <v>3175</v>
      </c>
      <c r="J21" s="4">
        <v>315.10000000000002</v>
      </c>
      <c r="K21">
        <v>231.3</v>
      </c>
      <c r="L21">
        <f t="shared" si="6"/>
        <v>273.20000000000005</v>
      </c>
      <c r="M21" s="4">
        <v>108.6</v>
      </c>
      <c r="N21" s="6">
        <f>$F21/$D21*M21</f>
        <v>89.374027993779151</v>
      </c>
      <c r="O21" s="6">
        <f t="shared" si="7"/>
        <v>98.987013996889573</v>
      </c>
      <c r="P21" s="4">
        <v>0.7</v>
      </c>
      <c r="Q21" s="6">
        <f>$F21/$D21*P21</f>
        <v>0.57607568688439603</v>
      </c>
      <c r="R21" s="6">
        <f t="shared" si="8"/>
        <v>0.63803784344219805</v>
      </c>
      <c r="S21" s="4">
        <v>1.4</v>
      </c>
      <c r="T21" s="6">
        <f>$F21/$D21*S21</f>
        <v>1.1521513737687921</v>
      </c>
      <c r="U21" s="6">
        <f t="shared" si="9"/>
        <v>1.2760756868843961</v>
      </c>
      <c r="V21" s="4">
        <v>20</v>
      </c>
      <c r="Y21" s="13">
        <f t="shared" si="0"/>
        <v>0</v>
      </c>
      <c r="Z21" s="13">
        <f t="shared" si="1"/>
        <v>1.5913900000000001</v>
      </c>
      <c r="AA21" s="13">
        <f t="shared" si="2"/>
        <v>0.62233135699844477</v>
      </c>
      <c r="AB21" s="13">
        <f t="shared" si="10"/>
        <v>0.65590290305857957</v>
      </c>
      <c r="AC21" s="13">
        <f t="shared" si="3"/>
        <v>0.15960060912389842</v>
      </c>
      <c r="AD21" s="13">
        <f t="shared" si="4"/>
        <v>3.0292248691809229</v>
      </c>
    </row>
    <row r="22" spans="1:30" x14ac:dyDescent="0.2">
      <c r="A22">
        <v>212393</v>
      </c>
      <c r="B22" t="s">
        <v>27</v>
      </c>
      <c r="C22">
        <v>45</v>
      </c>
      <c r="D22" s="3">
        <v>2160</v>
      </c>
      <c r="E22">
        <v>47</v>
      </c>
      <c r="F22" s="3">
        <v>1963</v>
      </c>
      <c r="J22" s="9">
        <v>50</v>
      </c>
      <c r="K22">
        <v>56.2</v>
      </c>
      <c r="L22">
        <f t="shared" si="6"/>
        <v>53.1</v>
      </c>
      <c r="M22" s="4"/>
      <c r="N22" s="6"/>
      <c r="O22" s="6"/>
      <c r="P22" s="9">
        <v>0.4</v>
      </c>
      <c r="Q22" s="6">
        <v>0.4</v>
      </c>
      <c r="R22" s="6">
        <f t="shared" si="8"/>
        <v>0.4</v>
      </c>
      <c r="S22" s="4"/>
      <c r="T22" s="6"/>
      <c r="U22" s="6"/>
      <c r="V22" s="4">
        <v>40</v>
      </c>
      <c r="Y22" s="13">
        <f t="shared" si="0"/>
        <v>0</v>
      </c>
      <c r="Z22" s="13">
        <f t="shared" si="1"/>
        <v>0.30930749999999996</v>
      </c>
      <c r="AA22" s="13">
        <f t="shared" si="2"/>
        <v>0</v>
      </c>
      <c r="AB22" s="13">
        <f t="shared" si="10"/>
        <v>0.41120000000000001</v>
      </c>
      <c r="AC22" s="13">
        <f t="shared" si="3"/>
        <v>0</v>
      </c>
      <c r="AD22" s="13">
        <f t="shared" si="4"/>
        <v>0.72050749999999997</v>
      </c>
    </row>
    <row r="23" spans="1:30" x14ac:dyDescent="0.2">
      <c r="D23" s="3"/>
      <c r="F23" s="3"/>
      <c r="J23" s="4"/>
      <c r="M23" s="4"/>
      <c r="N23" s="6"/>
      <c r="O23" s="6"/>
      <c r="P23" s="4"/>
      <c r="Q23" s="6"/>
      <c r="R23" s="6"/>
      <c r="S23" s="4"/>
      <c r="T23" s="6"/>
      <c r="U23" s="6"/>
      <c r="V23" s="4"/>
      <c r="Y23" s="13">
        <f t="shared" si="0"/>
        <v>0</v>
      </c>
      <c r="Z23" s="13">
        <f t="shared" si="1"/>
        <v>0</v>
      </c>
      <c r="AA23" s="13">
        <f t="shared" si="2"/>
        <v>0</v>
      </c>
      <c r="AB23" s="13">
        <f t="shared" si="10"/>
        <v>0</v>
      </c>
      <c r="AC23" s="13">
        <f t="shared" si="3"/>
        <v>0</v>
      </c>
      <c r="AD23" s="13">
        <f t="shared" si="4"/>
        <v>0</v>
      </c>
    </row>
    <row r="24" spans="1:30" x14ac:dyDescent="0.2">
      <c r="A24">
        <v>212399</v>
      </c>
      <c r="B24" t="s">
        <v>28</v>
      </c>
      <c r="C24">
        <v>211</v>
      </c>
      <c r="D24" s="3">
        <v>3960</v>
      </c>
      <c r="E24">
        <v>242</v>
      </c>
      <c r="F24" s="3">
        <v>4005</v>
      </c>
      <c r="J24" s="4">
        <v>174.1</v>
      </c>
      <c r="K24">
        <f>$F24/$D24*J24</f>
        <v>176.0784090909091</v>
      </c>
      <c r="L24">
        <f t="shared" si="6"/>
        <v>175.08920454545455</v>
      </c>
      <c r="M24" s="4">
        <v>54.6</v>
      </c>
      <c r="N24">
        <f>$F24/$D24*M24</f>
        <v>55.220454545454551</v>
      </c>
      <c r="O24" s="6">
        <f t="shared" si="7"/>
        <v>54.910227272727276</v>
      </c>
      <c r="P24" s="4">
        <v>3.6</v>
      </c>
      <c r="Q24" s="6">
        <v>6.2</v>
      </c>
      <c r="R24" s="6">
        <f t="shared" si="8"/>
        <v>4.9000000000000004</v>
      </c>
      <c r="S24" s="4">
        <v>1.1000000000000001</v>
      </c>
      <c r="T24" s="6">
        <f>$F24/$D24*S24</f>
        <v>1.1125000000000003</v>
      </c>
      <c r="U24" s="6">
        <f>(S24+T24)/2</f>
        <v>1.1062500000000002</v>
      </c>
      <c r="V24" s="4">
        <v>20</v>
      </c>
      <c r="Y24" s="13">
        <f t="shared" si="0"/>
        <v>0</v>
      </c>
      <c r="Z24" s="13">
        <f t="shared" si="1"/>
        <v>1.0198946164772726</v>
      </c>
      <c r="AA24" s="13">
        <f t="shared" si="2"/>
        <v>0.34522059886363637</v>
      </c>
      <c r="AB24" s="13">
        <f t="shared" si="10"/>
        <v>5.0372000000000003</v>
      </c>
      <c r="AC24" s="13">
        <f t="shared" si="3"/>
        <v>0.13836026785714289</v>
      </c>
      <c r="AD24" s="13">
        <f t="shared" si="4"/>
        <v>6.5406754831980525</v>
      </c>
    </row>
    <row r="25" spans="1:30" x14ac:dyDescent="0.2">
      <c r="D25" s="3"/>
      <c r="F25" s="3"/>
      <c r="J25" s="4"/>
      <c r="M25" s="4"/>
      <c r="N25" s="6"/>
      <c r="O25" s="6"/>
      <c r="P25" s="4"/>
      <c r="Q25" s="6"/>
      <c r="R25" s="6"/>
      <c r="S25" s="4"/>
      <c r="T25" s="6"/>
      <c r="U25" s="6"/>
      <c r="V25" s="4"/>
    </row>
    <row r="26" spans="1:30" x14ac:dyDescent="0.2">
      <c r="D26" s="3"/>
      <c r="F26" s="3"/>
      <c r="J26" s="4"/>
      <c r="M26" s="4"/>
      <c r="N26" s="6"/>
      <c r="O26" s="6"/>
      <c r="P26" s="4"/>
      <c r="Q26" s="6"/>
      <c r="R26" s="6"/>
      <c r="S26" s="4"/>
      <c r="T26" s="6"/>
      <c r="U26" s="6"/>
      <c r="V26" s="4"/>
    </row>
    <row r="27" spans="1:30" x14ac:dyDescent="0.2">
      <c r="D27" s="3"/>
      <c r="F27" s="3"/>
      <c r="J27" s="4"/>
      <c r="M27" s="4"/>
      <c r="N27" s="6"/>
      <c r="O27" s="6"/>
      <c r="P27" s="4"/>
      <c r="Q27" s="6"/>
      <c r="R27" s="6"/>
      <c r="S27" s="4"/>
      <c r="T27" s="6"/>
      <c r="U27" s="6"/>
      <c r="V27" s="4"/>
    </row>
    <row r="28" spans="1:30" x14ac:dyDescent="0.2">
      <c r="D28" s="3"/>
      <c r="F28" s="3"/>
      <c r="J28" s="4"/>
      <c r="M28" s="4"/>
      <c r="N28" s="6"/>
      <c r="O28" s="6"/>
      <c r="P28" s="4"/>
      <c r="Q28" s="6"/>
      <c r="R28" s="6"/>
      <c r="S28" s="4"/>
      <c r="T28" s="6"/>
      <c r="U28" s="6"/>
      <c r="V28" s="4"/>
    </row>
    <row r="29" spans="1:30" x14ac:dyDescent="0.2">
      <c r="D29" s="3"/>
      <c r="F29" s="3"/>
      <c r="J29" s="4"/>
      <c r="M29" s="4"/>
      <c r="N29" s="6"/>
      <c r="O29" s="6"/>
      <c r="P29" s="4"/>
      <c r="Q29" s="6"/>
      <c r="R29" s="6"/>
      <c r="S29" s="4"/>
      <c r="T29" s="6"/>
      <c r="U29" s="6"/>
      <c r="V29" s="4"/>
    </row>
    <row r="30" spans="1:30" x14ac:dyDescent="0.2">
      <c r="J30" s="4"/>
      <c r="M30" s="4"/>
      <c r="N30" s="6"/>
      <c r="O30" s="6"/>
    </row>
  </sheetData>
  <mergeCells count="7">
    <mergeCell ref="M2:O2"/>
    <mergeCell ref="P2:R2"/>
    <mergeCell ref="S2:U2"/>
    <mergeCell ref="C3:D3"/>
    <mergeCell ref="E3:F3"/>
    <mergeCell ref="G2:I2"/>
    <mergeCell ref="J2:L2"/>
  </mergeCells>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AR23"/>
  <sheetViews>
    <sheetView topLeftCell="AK1" workbookViewId="0">
      <selection activeCell="BA9" sqref="BA9"/>
    </sheetView>
  </sheetViews>
  <sheetFormatPr defaultRowHeight="12.75" x14ac:dyDescent="0.2"/>
  <cols>
    <col min="4" max="4" width="28" customWidth="1"/>
    <col min="5" max="5" width="13.85546875" customWidth="1"/>
    <col min="7" max="7" width="15.42578125" customWidth="1"/>
    <col min="8" max="9" width="14.5703125" customWidth="1"/>
    <col min="10" max="10" width="15.28515625" customWidth="1"/>
    <col min="11" max="11" width="11.5703125" customWidth="1"/>
    <col min="12" max="12" width="13.42578125" customWidth="1"/>
    <col min="13" max="13" width="14" customWidth="1"/>
    <col min="15" max="15" width="10.140625" customWidth="1"/>
    <col min="17" max="17" width="11.28515625" customWidth="1"/>
    <col min="18" max="18" width="12.5703125" customWidth="1"/>
    <col min="20" max="20" width="10.5703125" customWidth="1"/>
    <col min="23" max="23" width="11.42578125" customWidth="1"/>
    <col min="28" max="28" width="34.28515625" customWidth="1"/>
    <col min="29" max="30" width="10.140625" customWidth="1"/>
    <col min="31" max="31" width="9.5703125" customWidth="1"/>
    <col min="32" max="32" width="9" customWidth="1"/>
    <col min="33" max="33" width="10" customWidth="1"/>
    <col min="34" max="34" width="9.85546875" customWidth="1"/>
  </cols>
  <sheetData>
    <row r="3" spans="4:44" x14ac:dyDescent="0.2">
      <c r="AC3" s="6"/>
      <c r="AD3" s="230" t="s">
        <v>154</v>
      </c>
      <c r="AE3" s="231"/>
      <c r="AF3" s="231"/>
      <c r="AG3" s="231"/>
      <c r="AH3" s="231"/>
      <c r="AI3" s="231"/>
    </row>
    <row r="4" spans="4:44" x14ac:dyDescent="0.2">
      <c r="K4" t="s">
        <v>128</v>
      </c>
      <c r="M4" t="s">
        <v>140</v>
      </c>
      <c r="AB4" s="6"/>
      <c r="AC4" s="6"/>
      <c r="AD4" s="6" t="s">
        <v>155</v>
      </c>
      <c r="AE4" s="6"/>
      <c r="AF4" s="6"/>
      <c r="AG4" s="6"/>
      <c r="AH4" s="6"/>
      <c r="AI4" s="6"/>
      <c r="AL4">
        <f>7760/33870</f>
        <v>0.22911130794213169</v>
      </c>
      <c r="AM4">
        <f>14030/23630</f>
        <v>0.59373677528565383</v>
      </c>
    </row>
    <row r="5" spans="4:44" x14ac:dyDescent="0.2">
      <c r="AB5" s="12"/>
      <c r="AC5" s="12"/>
      <c r="AD5" s="12"/>
      <c r="AE5" s="12"/>
      <c r="AF5" s="12"/>
      <c r="AG5" s="12"/>
      <c r="AH5" s="12"/>
      <c r="AI5" s="12"/>
    </row>
    <row r="6" spans="4:44" ht="63.75" x14ac:dyDescent="0.2">
      <c r="E6" t="s">
        <v>125</v>
      </c>
      <c r="F6" t="s">
        <v>126</v>
      </c>
      <c r="G6" t="s">
        <v>129</v>
      </c>
      <c r="H6" t="s">
        <v>138</v>
      </c>
      <c r="I6" t="s">
        <v>132</v>
      </c>
      <c r="J6" t="s">
        <v>139</v>
      </c>
      <c r="K6" t="s">
        <v>60</v>
      </c>
      <c r="L6" t="s">
        <v>127</v>
      </c>
      <c r="M6" t="s">
        <v>143</v>
      </c>
      <c r="N6" t="s">
        <v>134</v>
      </c>
      <c r="O6" t="s">
        <v>137</v>
      </c>
      <c r="P6" t="s">
        <v>148</v>
      </c>
      <c r="Q6" t="s">
        <v>151</v>
      </c>
      <c r="R6" t="s">
        <v>152</v>
      </c>
      <c r="S6" t="s">
        <v>130</v>
      </c>
      <c r="W6" t="s">
        <v>131</v>
      </c>
      <c r="X6" t="s">
        <v>133</v>
      </c>
      <c r="Y6" t="s">
        <v>136</v>
      </c>
      <c r="Z6" t="s">
        <v>135</v>
      </c>
      <c r="AB6" s="49"/>
      <c r="AC6" s="47" t="s">
        <v>147</v>
      </c>
      <c r="AD6" s="48" t="s">
        <v>150</v>
      </c>
      <c r="AE6" s="47" t="s">
        <v>153</v>
      </c>
      <c r="AF6" s="48" t="s">
        <v>127</v>
      </c>
      <c r="AG6" s="47" t="s">
        <v>146</v>
      </c>
      <c r="AH6" s="48" t="s">
        <v>157</v>
      </c>
      <c r="AI6" s="47" t="s">
        <v>149</v>
      </c>
      <c r="AJ6" s="2"/>
      <c r="AK6" s="2"/>
      <c r="AL6" s="2"/>
    </row>
    <row r="7" spans="4:44" x14ac:dyDescent="0.2">
      <c r="D7" t="s">
        <v>124</v>
      </c>
      <c r="E7">
        <v>14660</v>
      </c>
      <c r="F7">
        <v>440</v>
      </c>
      <c r="G7">
        <v>7864</v>
      </c>
      <c r="H7">
        <f t="shared" ref="H7:H12" si="0">J7+L7</f>
        <v>6333</v>
      </c>
      <c r="I7">
        <v>824</v>
      </c>
      <c r="J7">
        <f>4524+410</f>
        <v>4934</v>
      </c>
      <c r="K7">
        <v>463</v>
      </c>
      <c r="L7">
        <v>1399</v>
      </c>
      <c r="M7">
        <f>6672-356+119-17</f>
        <v>6418</v>
      </c>
      <c r="N7">
        <f>3977-30</f>
        <v>3947</v>
      </c>
      <c r="O7">
        <v>1330</v>
      </c>
      <c r="P7">
        <v>113</v>
      </c>
      <c r="Q7">
        <v>42</v>
      </c>
      <c r="R7">
        <v>231</v>
      </c>
      <c r="S7">
        <f>E7-I7-O7-P7-K7-L7-Q7-R7</f>
        <v>10258</v>
      </c>
      <c r="T7">
        <f>M7+N7</f>
        <v>10365</v>
      </c>
      <c r="U7">
        <f>S7-T7</f>
        <v>-107</v>
      </c>
      <c r="W7">
        <f>G7-I7</f>
        <v>7040</v>
      </c>
      <c r="X7">
        <f>J7</f>
        <v>4934</v>
      </c>
      <c r="Y7">
        <f>(W7+X7)-O7</f>
        <v>10644</v>
      </c>
      <c r="Z7">
        <f>M7+N7</f>
        <v>10365</v>
      </c>
      <c r="AB7" s="50" t="s">
        <v>124</v>
      </c>
      <c r="AC7" s="43">
        <f>'Industrial '!T13</f>
        <v>14030</v>
      </c>
      <c r="AD7" s="38">
        <f>K7/E7*AC7</f>
        <v>443.1030013642565</v>
      </c>
      <c r="AE7" s="43">
        <f>(I7+P7+Q7+R7)/E7*$AC7</f>
        <v>1158.0013642564802</v>
      </c>
      <c r="AF7" s="38">
        <f>(L7/E7)*AC7</f>
        <v>1338.8792633015007</v>
      </c>
      <c r="AG7" s="43">
        <f>O7/E7*AC7-103</f>
        <v>1169.844474761255</v>
      </c>
      <c r="AH7" s="38">
        <f>M7/E7*AC7</f>
        <v>6142.1923601637109</v>
      </c>
      <c r="AI7" s="43">
        <f>N7/E7*AC7</f>
        <v>3777.3813096862209</v>
      </c>
      <c r="AJ7" s="3"/>
      <c r="AK7" s="42">
        <f>SUM(AD7:AI7)</f>
        <v>14029.401773533424</v>
      </c>
      <c r="AM7" s="42">
        <f>AC7-AD7-AF7-AG7-AE7</f>
        <v>9920.1718963165076</v>
      </c>
      <c r="AN7" s="42">
        <f>AH7+AI7</f>
        <v>9919.5736698499313</v>
      </c>
      <c r="AO7" s="42">
        <f>AM7-AN7</f>
        <v>0.59822646657630685</v>
      </c>
      <c r="AR7">
        <f>(AH7+AI7)/AC7</f>
        <v>0.7070259208731241</v>
      </c>
    </row>
    <row r="8" spans="4:44" x14ac:dyDescent="0.2">
      <c r="D8" t="s">
        <v>145</v>
      </c>
      <c r="E8">
        <v>3355</v>
      </c>
      <c r="F8">
        <v>101</v>
      </c>
      <c r="G8">
        <v>2225</v>
      </c>
      <c r="H8">
        <f t="shared" si="0"/>
        <v>1078</v>
      </c>
      <c r="I8">
        <v>38</v>
      </c>
      <c r="J8">
        <v>849</v>
      </c>
      <c r="K8">
        <v>52</v>
      </c>
      <c r="L8">
        <v>229</v>
      </c>
      <c r="M8">
        <f>2067-1+7-1</f>
        <v>2072</v>
      </c>
      <c r="N8">
        <f>680-1</f>
        <v>679</v>
      </c>
      <c r="O8">
        <v>242</v>
      </c>
      <c r="P8">
        <v>3</v>
      </c>
      <c r="Q8">
        <v>13</v>
      </c>
      <c r="R8">
        <v>32</v>
      </c>
      <c r="S8">
        <f>E8-F8</f>
        <v>3254</v>
      </c>
      <c r="T8">
        <f>G8+J8+L8</f>
        <v>3303</v>
      </c>
      <c r="W8">
        <f>G8-I8</f>
        <v>2187</v>
      </c>
      <c r="X8">
        <f>J8</f>
        <v>849</v>
      </c>
      <c r="Y8">
        <f>(W8+X8)-O8</f>
        <v>2794</v>
      </c>
      <c r="Z8">
        <f>M8+N8</f>
        <v>2751</v>
      </c>
      <c r="AB8" s="50" t="s">
        <v>145</v>
      </c>
      <c r="AC8" s="43">
        <f>'Industrial '!T14</f>
        <v>3290</v>
      </c>
      <c r="AD8" s="38">
        <f>K8/E8*AC8</f>
        <v>50.992548435171386</v>
      </c>
      <c r="AE8" s="43">
        <f>(I8+P8+Q8+R8)/E8*$AC8</f>
        <v>84.333830104321919</v>
      </c>
      <c r="AF8" s="38">
        <f>(L8/E8)*AC8</f>
        <v>224.56333830104322</v>
      </c>
      <c r="AG8" s="43">
        <f>O8/E8*AC8-5</f>
        <v>232.31147540983608</v>
      </c>
      <c r="AH8" s="38">
        <f>M8/E8*AC8</f>
        <v>2031.8569299552905</v>
      </c>
      <c r="AI8" s="43">
        <f>N8/E8*AC8</f>
        <v>665.84500745156481</v>
      </c>
      <c r="AJ8" s="3"/>
      <c r="AK8" s="42">
        <f>SUM(AD8:AI8)</f>
        <v>3289.903129657228</v>
      </c>
      <c r="AM8" s="42">
        <f>AC8-AD8-AF8-AG8-AE8</f>
        <v>2697.7988077496275</v>
      </c>
      <c r="AN8" s="42">
        <f>AH8+AI8</f>
        <v>2697.7019374068554</v>
      </c>
      <c r="AO8" s="42">
        <f>AM8-AN8</f>
        <v>9.6870342772035656E-2</v>
      </c>
      <c r="AR8">
        <f>(AH8+AI8)/AC8</f>
        <v>0.81997019374068558</v>
      </c>
    </row>
    <row r="9" spans="4:44" x14ac:dyDescent="0.2">
      <c r="D9" t="s">
        <v>142</v>
      </c>
      <c r="E9">
        <v>3127</v>
      </c>
      <c r="F9">
        <v>94</v>
      </c>
      <c r="G9">
        <v>1277</v>
      </c>
      <c r="H9">
        <f t="shared" si="0"/>
        <v>1694</v>
      </c>
      <c r="I9">
        <v>48</v>
      </c>
      <c r="J9">
        <v>1312</v>
      </c>
      <c r="K9">
        <v>156</v>
      </c>
      <c r="L9">
        <f>328+54</f>
        <v>382</v>
      </c>
      <c r="M9">
        <f>1099-17+48-1</f>
        <v>1129</v>
      </c>
      <c r="N9">
        <f>1055-5</f>
        <v>1050</v>
      </c>
      <c r="O9">
        <v>322</v>
      </c>
      <c r="P9">
        <v>5</v>
      </c>
      <c r="Q9">
        <v>15</v>
      </c>
      <c r="R9">
        <v>46</v>
      </c>
      <c r="AB9" s="50" t="s">
        <v>142</v>
      </c>
      <c r="AC9" s="43">
        <f>'Industrial '!T15</f>
        <v>3170</v>
      </c>
      <c r="AD9" s="38">
        <f>K9/E9*AC9</f>
        <v>158.14518708026861</v>
      </c>
      <c r="AE9" s="43">
        <f>(I9+P9+Q9+R9)/E9*$AC9</f>
        <v>115.567636712504</v>
      </c>
      <c r="AF9" s="38">
        <f>(L9/E9)*AC9</f>
        <v>387.25295810681166</v>
      </c>
      <c r="AG9" s="43">
        <f>O9/E9*AC9-26</f>
        <v>300.42788615286219</v>
      </c>
      <c r="AH9" s="38">
        <f>M9/E9*AC9</f>
        <v>1144.5251039334826</v>
      </c>
      <c r="AI9" s="43">
        <f>N9/E9*AC9</f>
        <v>1064.4387591941158</v>
      </c>
      <c r="AJ9" s="3"/>
      <c r="AK9" s="42">
        <f>SUM(AD9:AI9)</f>
        <v>3170.357531180045</v>
      </c>
      <c r="AM9" s="42">
        <f>AC9-AD9-AF9-AG9-AE9</f>
        <v>2208.6063319475538</v>
      </c>
      <c r="AN9" s="42">
        <f>AH9+AI9</f>
        <v>2208.9638631275984</v>
      </c>
      <c r="AO9" s="42">
        <f>AM9-AN9</f>
        <v>-0.35753118004458884</v>
      </c>
      <c r="AR9">
        <f>(AH9+AI9)/AC9</f>
        <v>0.69683402622321722</v>
      </c>
    </row>
    <row r="10" spans="4:44" x14ac:dyDescent="0.2">
      <c r="D10" t="s">
        <v>144</v>
      </c>
      <c r="E10">
        <v>144</v>
      </c>
      <c r="F10">
        <v>4</v>
      </c>
      <c r="G10">
        <v>62</v>
      </c>
      <c r="H10">
        <f t="shared" si="0"/>
        <v>81</v>
      </c>
      <c r="I10">
        <v>22</v>
      </c>
      <c r="J10">
        <v>64</v>
      </c>
      <c r="K10">
        <v>1</v>
      </c>
      <c r="L10">
        <v>17</v>
      </c>
      <c r="M10">
        <f>60-30+1</f>
        <v>31</v>
      </c>
      <c r="N10">
        <f>52-1</f>
        <v>51</v>
      </c>
      <c r="O10">
        <v>21</v>
      </c>
      <c r="P10">
        <v>3</v>
      </c>
      <c r="AB10" s="50" t="s">
        <v>156</v>
      </c>
      <c r="AC10" s="43">
        <f>AC7-AC8-AC9</f>
        <v>7570</v>
      </c>
      <c r="AD10" s="38">
        <f t="shared" ref="AD10:AI10" si="1">AD7-AD8-AD9</f>
        <v>233.9652658488165</v>
      </c>
      <c r="AE10" s="43">
        <f>AE7-AE8-AE9</f>
        <v>958.09989743965411</v>
      </c>
      <c r="AF10" s="38">
        <f>AF7-AF8-AF9</f>
        <v>727.06296689364592</v>
      </c>
      <c r="AG10" s="43">
        <f>AG7-AG8-AG9</f>
        <v>637.10511319855686</v>
      </c>
      <c r="AH10" s="38">
        <f t="shared" si="1"/>
        <v>2965.8103262749382</v>
      </c>
      <c r="AI10" s="43">
        <f t="shared" si="1"/>
        <v>2047.0975430405401</v>
      </c>
      <c r="AJ10" s="42"/>
      <c r="AK10" s="42">
        <f>SUM(AD10:AI10)</f>
        <v>7569.141112696152</v>
      </c>
      <c r="AM10" s="42">
        <f>AC22-AD22-AE22-AF22-AG22</f>
        <v>0.55555555555555558</v>
      </c>
      <c r="AN10" s="42">
        <f>AH22+AI22</f>
        <v>0.56944444444444442</v>
      </c>
      <c r="AO10" s="42">
        <f>AM10-AN10</f>
        <v>-1.388888888888884E-2</v>
      </c>
    </row>
    <row r="11" spans="4:44" x14ac:dyDescent="0.2">
      <c r="D11" t="s">
        <v>141</v>
      </c>
      <c r="E11">
        <v>372</v>
      </c>
      <c r="F11">
        <v>11</v>
      </c>
      <c r="G11">
        <v>301</v>
      </c>
      <c r="H11">
        <f t="shared" si="0"/>
        <v>46</v>
      </c>
      <c r="I11">
        <v>16</v>
      </c>
      <c r="J11">
        <v>35</v>
      </c>
      <c r="K11">
        <v>8</v>
      </c>
      <c r="L11">
        <v>11</v>
      </c>
      <c r="M11">
        <v>332</v>
      </c>
      <c r="N11">
        <v>28</v>
      </c>
      <c r="O11">
        <v>19</v>
      </c>
      <c r="P11">
        <v>1</v>
      </c>
      <c r="Q11">
        <v>2</v>
      </c>
      <c r="R11">
        <v>1</v>
      </c>
      <c r="AB11" s="50"/>
      <c r="AC11" s="16"/>
      <c r="AE11" s="16"/>
      <c r="AG11" s="16"/>
      <c r="AI11" s="16"/>
      <c r="AJ11" s="42"/>
      <c r="AK11" s="42"/>
      <c r="AM11" s="42">
        <f>AC23-AD23-AE23-AF23-AG23</f>
        <v>1173.2795698924731</v>
      </c>
      <c r="AN11" s="42">
        <f>AH23+AI23</f>
        <v>1345.1612903225805</v>
      </c>
      <c r="AO11" s="42">
        <f>AM11-AN11</f>
        <v>-171.88172043010741</v>
      </c>
    </row>
    <row r="12" spans="4:44" x14ac:dyDescent="0.2">
      <c r="D12" t="s">
        <v>158</v>
      </c>
      <c r="E12">
        <v>510</v>
      </c>
      <c r="F12">
        <v>15</v>
      </c>
      <c r="G12">
        <v>471</v>
      </c>
      <c r="H12">
        <f t="shared" si="0"/>
        <v>4</v>
      </c>
      <c r="J12">
        <v>3</v>
      </c>
      <c r="K12">
        <v>19</v>
      </c>
      <c r="L12">
        <v>1</v>
      </c>
      <c r="M12">
        <v>96</v>
      </c>
      <c r="N12">
        <v>3</v>
      </c>
      <c r="O12">
        <v>13</v>
      </c>
      <c r="P12">
        <v>294</v>
      </c>
      <c r="Q12">
        <v>0</v>
      </c>
      <c r="R12">
        <v>76</v>
      </c>
      <c r="AB12" s="51" t="s">
        <v>160</v>
      </c>
      <c r="AC12" s="45">
        <f>'Industrial '!T20-'Industrial '!T21</f>
        <v>340</v>
      </c>
      <c r="AD12" s="46">
        <f>K12/E12*AC12</f>
        <v>12.666666666666666</v>
      </c>
      <c r="AE12" s="45">
        <f>(I12+P12+Q12+R12)/E12*$AC12</f>
        <v>246.66666666666666</v>
      </c>
      <c r="AF12" s="46">
        <f>(L12/E12)*AC12</f>
        <v>0.66666666666666663</v>
      </c>
      <c r="AG12" s="45">
        <f>O12/E12*AC12+5</f>
        <v>13.666666666666666</v>
      </c>
      <c r="AH12" s="46">
        <f>M12/E12*AC12</f>
        <v>64</v>
      </c>
      <c r="AI12" s="45">
        <f>N12/E12*AC12</f>
        <v>2</v>
      </c>
      <c r="AK12" s="42">
        <f>SUM(AD12:AI12)</f>
        <v>339.66666666666669</v>
      </c>
    </row>
    <row r="13" spans="4:44" x14ac:dyDescent="0.2">
      <c r="AK13" s="42">
        <f>SUM(AD20:AI20)</f>
        <v>509.5</v>
      </c>
    </row>
    <row r="14" spans="4:44" x14ac:dyDescent="0.2">
      <c r="AB14" t="s">
        <v>159</v>
      </c>
    </row>
    <row r="15" spans="4:44" x14ac:dyDescent="0.2">
      <c r="AB15" t="s">
        <v>162</v>
      </c>
    </row>
    <row r="16" spans="4:44" x14ac:dyDescent="0.2">
      <c r="AB16" t="s">
        <v>161</v>
      </c>
    </row>
    <row r="20" spans="28:35" x14ac:dyDescent="0.2">
      <c r="AC20">
        <f>510</f>
        <v>510</v>
      </c>
      <c r="AD20">
        <f t="shared" ref="AD20:AI20" si="2">$AC20/$AC12*AD12</f>
        <v>19</v>
      </c>
      <c r="AE20">
        <f t="shared" si="2"/>
        <v>370</v>
      </c>
      <c r="AF20">
        <f t="shared" si="2"/>
        <v>1</v>
      </c>
      <c r="AG20">
        <f t="shared" si="2"/>
        <v>20.5</v>
      </c>
      <c r="AH20">
        <f t="shared" si="2"/>
        <v>96</v>
      </c>
      <c r="AI20">
        <f t="shared" si="2"/>
        <v>3</v>
      </c>
    </row>
    <row r="21" spans="28:35" x14ac:dyDescent="0.2">
      <c r="AE21">
        <f>294+76</f>
        <v>370</v>
      </c>
    </row>
    <row r="22" spans="28:35" x14ac:dyDescent="0.2">
      <c r="AB22" t="s">
        <v>144</v>
      </c>
      <c r="AC22">
        <v>1</v>
      </c>
      <c r="AD22" s="3">
        <f>K10/E10*AC22</f>
        <v>6.9444444444444441E-3</v>
      </c>
      <c r="AE22" s="42">
        <f>(L10/E10)*AC22</f>
        <v>0.11805555555555555</v>
      </c>
      <c r="AF22" s="42">
        <f>O10/E10*AC22</f>
        <v>0.14583333333333334</v>
      </c>
      <c r="AG22" s="42">
        <f>(I10+P10+Q10+R10)/E10*$AC22</f>
        <v>0.1736111111111111</v>
      </c>
      <c r="AH22" s="42">
        <f>M10/E10*AC22</f>
        <v>0.21527777777777779</v>
      </c>
      <c r="AI22" s="42">
        <f>N10/E10*AC22</f>
        <v>0.35416666666666669</v>
      </c>
    </row>
    <row r="23" spans="28:35" x14ac:dyDescent="0.2">
      <c r="AB23" t="s">
        <v>141</v>
      </c>
      <c r="AC23" s="3">
        <f>'Industrial '!$T$17</f>
        <v>1390</v>
      </c>
      <c r="AD23" s="3">
        <f>K11/E11*AC23</f>
        <v>29.892473118279572</v>
      </c>
      <c r="AE23" s="42">
        <f>(L11/E11)*AC23</f>
        <v>41.102150537634408</v>
      </c>
      <c r="AF23" s="42">
        <f>O11/E11*AC23</f>
        <v>70.994623655913983</v>
      </c>
      <c r="AG23" s="42">
        <f>(I11+P11+Q11+R11)/E11*$AC23</f>
        <v>74.731182795698928</v>
      </c>
      <c r="AH23" s="42">
        <f>M11/E11*AC23</f>
        <v>1240.5376344086021</v>
      </c>
      <c r="AI23" s="42">
        <f>N11/E11*AC23</f>
        <v>104.6236559139785</v>
      </c>
    </row>
  </sheetData>
  <mergeCells count="1">
    <mergeCell ref="AD3:AI3"/>
  </mergeCells>
  <phoneticPr fontId="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Y43"/>
  <sheetViews>
    <sheetView topLeftCell="P6" workbookViewId="0">
      <selection activeCell="AB33" sqref="AB33"/>
    </sheetView>
  </sheetViews>
  <sheetFormatPr defaultRowHeight="12.75" x14ac:dyDescent="0.2"/>
  <cols>
    <col min="3" max="3" width="27.5703125" customWidth="1"/>
    <col min="4" max="4" width="16.7109375" customWidth="1"/>
    <col min="6" max="6" width="27.7109375" customWidth="1"/>
    <col min="8" max="8" width="10.85546875" customWidth="1"/>
    <col min="9" max="9" width="10.5703125" customWidth="1"/>
    <col min="12" max="12" width="10.28515625" customWidth="1"/>
    <col min="15" max="15" width="10.5703125" customWidth="1"/>
    <col min="19" max="19" width="33.5703125" customWidth="1"/>
    <col min="22" max="22" width="12.140625" customWidth="1"/>
  </cols>
  <sheetData>
    <row r="1" spans="3:23" x14ac:dyDescent="0.2">
      <c r="M1" t="s">
        <v>102</v>
      </c>
    </row>
    <row r="2" spans="3:23" x14ac:dyDescent="0.2">
      <c r="M2">
        <v>1998</v>
      </c>
      <c r="N2">
        <v>2002</v>
      </c>
    </row>
    <row r="3" spans="3:23" x14ac:dyDescent="0.2">
      <c r="M3">
        <f>M9/J9</f>
        <v>2.2648452746027319</v>
      </c>
      <c r="N3">
        <f>N9/K9</f>
        <v>2.2357552004823638</v>
      </c>
      <c r="O3">
        <f>SUM(M3:N3)/2</f>
        <v>2.2503002375425476</v>
      </c>
    </row>
    <row r="5" spans="3:23" ht="36.75" customHeight="1" x14ac:dyDescent="0.2">
      <c r="D5" s="25" t="s">
        <v>79</v>
      </c>
    </row>
    <row r="6" spans="3:23" ht="21" customHeight="1" thickBot="1" x14ac:dyDescent="0.25">
      <c r="D6" s="29" t="s">
        <v>80</v>
      </c>
      <c r="S6" s="41" t="s">
        <v>121</v>
      </c>
    </row>
    <row r="7" spans="3:23" ht="21" customHeight="1" x14ac:dyDescent="0.2">
      <c r="C7" t="s">
        <v>85</v>
      </c>
      <c r="D7" s="35">
        <v>24658</v>
      </c>
      <c r="G7" t="s">
        <v>93</v>
      </c>
      <c r="J7" t="s">
        <v>58</v>
      </c>
      <c r="M7" t="s">
        <v>94</v>
      </c>
      <c r="P7" t="s">
        <v>48</v>
      </c>
      <c r="S7" t="s">
        <v>123</v>
      </c>
    </row>
    <row r="8" spans="3:23" ht="51" customHeight="1" thickBot="1" x14ac:dyDescent="0.25">
      <c r="C8" t="s">
        <v>86</v>
      </c>
      <c r="D8" s="35">
        <v>10669</v>
      </c>
      <c r="G8">
        <v>1998</v>
      </c>
      <c r="H8">
        <v>2002</v>
      </c>
      <c r="I8" s="2" t="s">
        <v>92</v>
      </c>
      <c r="J8">
        <v>1998</v>
      </c>
      <c r="K8">
        <v>2002</v>
      </c>
      <c r="L8" s="2" t="s">
        <v>92</v>
      </c>
      <c r="M8">
        <v>1998</v>
      </c>
      <c r="N8">
        <v>2002</v>
      </c>
      <c r="O8" s="2" t="s">
        <v>92</v>
      </c>
      <c r="T8" s="11" t="s">
        <v>93</v>
      </c>
      <c r="U8" s="11" t="s">
        <v>58</v>
      </c>
      <c r="V8" s="29" t="s">
        <v>108</v>
      </c>
      <c r="W8" s="11" t="s">
        <v>65</v>
      </c>
    </row>
    <row r="9" spans="3:23" ht="21" customHeight="1" x14ac:dyDescent="0.2">
      <c r="D9" s="35"/>
      <c r="F9" t="s">
        <v>91</v>
      </c>
      <c r="G9">
        <v>23166</v>
      </c>
      <c r="H9">
        <v>22125</v>
      </c>
      <c r="I9">
        <f>AVERAGE(G9,H9)</f>
        <v>22645.5</v>
      </c>
      <c r="J9">
        <v>3587</v>
      </c>
      <c r="K9">
        <v>3317</v>
      </c>
      <c r="L9">
        <f>AVERAGE(J9,K9)</f>
        <v>3452</v>
      </c>
      <c r="M9">
        <v>8124</v>
      </c>
      <c r="N9">
        <v>7416</v>
      </c>
      <c r="O9">
        <f>AVERAGE(M9,N9)</f>
        <v>7770</v>
      </c>
      <c r="P9">
        <f>I9+L9+O9</f>
        <v>33867.5</v>
      </c>
      <c r="S9" t="str">
        <f>F9</f>
        <v>Industrial Sector</v>
      </c>
      <c r="T9" s="39">
        <f>MROUND(I9,10)</f>
        <v>22650</v>
      </c>
      <c r="U9" s="39">
        <f>MROUND(L9,10)</f>
        <v>3450</v>
      </c>
      <c r="V9" s="39">
        <f>MROUND(O9,10)</f>
        <v>7770</v>
      </c>
      <c r="W9" s="39">
        <f>SUM(T9:V9)</f>
        <v>33870</v>
      </c>
    </row>
    <row r="10" spans="3:23" ht="10.5" customHeight="1" x14ac:dyDescent="0.2">
      <c r="D10" s="35"/>
      <c r="T10" s="39"/>
      <c r="U10" s="39"/>
      <c r="V10" s="39"/>
      <c r="W10" s="39"/>
    </row>
    <row r="11" spans="3:23" ht="21" customHeight="1" x14ac:dyDescent="0.2">
      <c r="D11" s="35"/>
      <c r="S11" s="52" t="s">
        <v>163</v>
      </c>
      <c r="T11" s="39"/>
      <c r="U11" s="39"/>
      <c r="V11" s="39"/>
      <c r="W11" s="39"/>
    </row>
    <row r="12" spans="3:23" ht="5.25" customHeight="1" x14ac:dyDescent="0.2">
      <c r="D12" s="35"/>
      <c r="T12" s="38"/>
      <c r="U12" s="38"/>
      <c r="V12" s="39"/>
      <c r="W12" s="39"/>
    </row>
    <row r="13" spans="3:23" ht="21" customHeight="1" x14ac:dyDescent="0.2">
      <c r="D13" s="36"/>
      <c r="F13" t="s">
        <v>95</v>
      </c>
      <c r="I13">
        <f>SUM(I14:I17)</f>
        <v>589.94510928502859</v>
      </c>
      <c r="L13">
        <f>SUM(L14:L17)</f>
        <v>241.76598907749113</v>
      </c>
      <c r="O13">
        <f>SUM(O14:O17)</f>
        <v>544.04606265078723</v>
      </c>
      <c r="P13">
        <f>I13+L13+O13</f>
        <v>1375.7571610133068</v>
      </c>
      <c r="S13" t="str">
        <f t="shared" ref="S13:S18" si="0">F19</f>
        <v xml:space="preserve">  Manufacturing</v>
      </c>
      <c r="T13" s="39">
        <f t="shared" ref="T13:T18" si="1">MROUND(I19,10)</f>
        <v>14030</v>
      </c>
      <c r="U13" s="39">
        <f t="shared" ref="U13:U18" si="2">MROUND(L19,10)</f>
        <v>2950</v>
      </c>
      <c r="V13" s="39">
        <f t="shared" ref="V13:V18" si="3">MROUND(O19,10)</f>
        <v>6650</v>
      </c>
      <c r="W13" s="39">
        <f t="shared" ref="W13:W18" si="4">SUM(T13:V13)</f>
        <v>23630</v>
      </c>
    </row>
    <row r="14" spans="3:23" x14ac:dyDescent="0.2">
      <c r="C14" t="s">
        <v>70</v>
      </c>
      <c r="D14" s="37"/>
      <c r="F14" t="s">
        <v>105</v>
      </c>
      <c r="I14">
        <f>'Sheet1 (2)'!AR35</f>
        <v>250.94919207927919</v>
      </c>
      <c r="L14">
        <f>'Sheet1 (2)'!AQ35</f>
        <v>96.396052603999991</v>
      </c>
      <c r="O14">
        <f>O$3*L14</f>
        <v>216.92006007294509</v>
      </c>
      <c r="P14">
        <f>I14+L14+O14</f>
        <v>564.26530475622428</v>
      </c>
      <c r="S14" t="str">
        <f t="shared" si="0"/>
        <v xml:space="preserve">     Petroleum and Coal Products</v>
      </c>
      <c r="T14" s="40">
        <f t="shared" si="1"/>
        <v>3290</v>
      </c>
      <c r="U14" s="40">
        <f t="shared" si="2"/>
        <v>130</v>
      </c>
      <c r="V14" s="40">
        <f t="shared" si="3"/>
        <v>280</v>
      </c>
      <c r="W14" s="40">
        <f t="shared" si="4"/>
        <v>3700</v>
      </c>
    </row>
    <row r="15" spans="3:23" x14ac:dyDescent="0.2">
      <c r="C15" t="s">
        <v>71</v>
      </c>
      <c r="D15" s="28">
        <v>3700</v>
      </c>
      <c r="F15" t="s">
        <v>55</v>
      </c>
      <c r="I15">
        <f>'Sheet1 (2)'!AR36</f>
        <v>69.017808020324551</v>
      </c>
      <c r="L15">
        <f>'Sheet1 (2)'!AQ36</f>
        <v>36.490533061999997</v>
      </c>
      <c r="O15">
        <f>O$3*L15</f>
        <v>82.114655217472787</v>
      </c>
      <c r="P15">
        <f>I15+L15+O15</f>
        <v>187.62299629979734</v>
      </c>
      <c r="S15" t="str">
        <f t="shared" si="0"/>
        <v xml:space="preserve">     Chemicals</v>
      </c>
      <c r="T15" s="40">
        <f t="shared" si="1"/>
        <v>3170</v>
      </c>
      <c r="U15" s="40">
        <f t="shared" si="2"/>
        <v>560</v>
      </c>
      <c r="V15" s="40">
        <f t="shared" si="3"/>
        <v>1260</v>
      </c>
      <c r="W15" s="40">
        <f t="shared" si="4"/>
        <v>4990</v>
      </c>
    </row>
    <row r="16" spans="3:23" x14ac:dyDescent="0.2">
      <c r="C16" t="s">
        <v>72</v>
      </c>
      <c r="D16" s="37">
        <v>1600</v>
      </c>
      <c r="F16" t="s">
        <v>106</v>
      </c>
      <c r="I16">
        <f>'Sheet1 (2)'!AR37</f>
        <v>88.600503229242364</v>
      </c>
      <c r="L16">
        <f>'Sheet1 (2)'!AQ37</f>
        <v>61.670978759999997</v>
      </c>
      <c r="O16">
        <f>O$3*L16</f>
        <v>138.77821815310941</v>
      </c>
      <c r="P16">
        <f>I16+L16+O16</f>
        <v>289.04970014235175</v>
      </c>
      <c r="S16" t="str">
        <f t="shared" si="0"/>
        <v xml:space="preserve">     Paper</v>
      </c>
      <c r="T16" s="40">
        <f t="shared" si="1"/>
        <v>2320</v>
      </c>
      <c r="U16" s="40">
        <f t="shared" si="2"/>
        <v>230</v>
      </c>
      <c r="V16" s="40">
        <f t="shared" si="3"/>
        <v>520</v>
      </c>
      <c r="W16" s="40">
        <f t="shared" si="4"/>
        <v>3070</v>
      </c>
    </row>
    <row r="17" spans="3:25" ht="12" customHeight="1" x14ac:dyDescent="0.2">
      <c r="C17" s="26" t="s">
        <v>87</v>
      </c>
      <c r="D17" s="37"/>
      <c r="F17" s="6" t="s">
        <v>107</v>
      </c>
      <c r="G17" s="6"/>
      <c r="H17" s="6"/>
      <c r="I17">
        <f>'Sheet1 (2)'!AR38</f>
        <v>181.37760595618244</v>
      </c>
      <c r="L17">
        <f>'Sheet1 (2)'!AQ38</f>
        <v>47.20842465149115</v>
      </c>
      <c r="O17">
        <f>O$3*L17</f>
        <v>106.23312920725999</v>
      </c>
      <c r="P17">
        <f>I17+L17+O17</f>
        <v>334.81915981493358</v>
      </c>
      <c r="S17" t="str">
        <f t="shared" si="0"/>
        <v xml:space="preserve">     Iron and Steel Mills</v>
      </c>
      <c r="T17" s="40">
        <f t="shared" si="1"/>
        <v>1390</v>
      </c>
      <c r="U17" s="40">
        <f t="shared" si="2"/>
        <v>170</v>
      </c>
      <c r="V17" s="40">
        <f t="shared" si="3"/>
        <v>380</v>
      </c>
      <c r="W17" s="40">
        <f t="shared" si="4"/>
        <v>1940</v>
      </c>
    </row>
    <row r="18" spans="3:25" x14ac:dyDescent="0.2">
      <c r="C18" s="26"/>
      <c r="D18" s="37"/>
      <c r="S18" t="str">
        <f t="shared" si="0"/>
        <v xml:space="preserve">     Other manufacturing</v>
      </c>
      <c r="T18" s="40">
        <f t="shared" si="1"/>
        <v>3870</v>
      </c>
      <c r="U18" s="40">
        <f t="shared" si="2"/>
        <v>1860</v>
      </c>
      <c r="V18" s="40">
        <f t="shared" si="3"/>
        <v>4190</v>
      </c>
      <c r="W18" s="40">
        <f t="shared" si="4"/>
        <v>9920</v>
      </c>
    </row>
    <row r="19" spans="3:25" x14ac:dyDescent="0.2">
      <c r="C19" t="s">
        <v>73</v>
      </c>
      <c r="D19" s="37"/>
      <c r="F19" t="s">
        <v>96</v>
      </c>
      <c r="G19">
        <f>17695-J19</f>
        <v>14660</v>
      </c>
      <c r="H19">
        <f>16280-K19</f>
        <v>13409</v>
      </c>
      <c r="I19">
        <f t="shared" ref="I19:I24" si="5">AVERAGE(G19,H19)</f>
        <v>14034.5</v>
      </c>
      <c r="J19">
        <v>3035</v>
      </c>
      <c r="K19">
        <v>2871</v>
      </c>
      <c r="L19">
        <f t="shared" ref="L19:L24" si="6">AVERAGE(J19,K19)</f>
        <v>2953</v>
      </c>
      <c r="M19">
        <f t="shared" ref="M19:N24" si="7">M$9/J$9*J19</f>
        <v>6873.8054084192909</v>
      </c>
      <c r="N19">
        <f t="shared" si="7"/>
        <v>6418.8531805848661</v>
      </c>
      <c r="O19">
        <f t="shared" ref="O19:O24" si="8">AVERAGE(M19,N19)</f>
        <v>6646.3292945020785</v>
      </c>
      <c r="P19">
        <f t="shared" ref="P19:P24" si="9">I19+L19+O19</f>
        <v>23633.82929450208</v>
      </c>
      <c r="Y19">
        <f>99/140</f>
        <v>0.70714285714285718</v>
      </c>
    </row>
    <row r="20" spans="3:25" x14ac:dyDescent="0.2">
      <c r="C20" t="s">
        <v>71</v>
      </c>
      <c r="D20" s="28">
        <v>3622</v>
      </c>
      <c r="F20" t="s">
        <v>97</v>
      </c>
      <c r="G20">
        <f>3622-J20</f>
        <v>3496</v>
      </c>
      <c r="H20">
        <f>3202-K20</f>
        <v>3075</v>
      </c>
      <c r="I20">
        <f t="shared" si="5"/>
        <v>3285.5</v>
      </c>
      <c r="J20">
        <v>126</v>
      </c>
      <c r="K20">
        <v>127</v>
      </c>
      <c r="L20">
        <f t="shared" si="6"/>
        <v>126.5</v>
      </c>
      <c r="M20">
        <f t="shared" si="7"/>
        <v>285.37050459994424</v>
      </c>
      <c r="N20">
        <f t="shared" si="7"/>
        <v>283.94091046126022</v>
      </c>
      <c r="O20">
        <f t="shared" si="8"/>
        <v>284.65570753060223</v>
      </c>
      <c r="P20">
        <f t="shared" si="9"/>
        <v>3696.6557075306023</v>
      </c>
      <c r="S20" t="s">
        <v>122</v>
      </c>
      <c r="T20" s="39">
        <f>MROUND(I13,10)</f>
        <v>590</v>
      </c>
      <c r="U20" s="39">
        <f>MROUND(L13,10)</f>
        <v>240</v>
      </c>
      <c r="V20" s="39">
        <f>MROUND(O13,10)</f>
        <v>540</v>
      </c>
      <c r="W20" s="39">
        <f>SUM(T20:V20)</f>
        <v>1370</v>
      </c>
    </row>
    <row r="21" spans="3:25" x14ac:dyDescent="0.2">
      <c r="D21" s="28"/>
      <c r="F21" t="s">
        <v>98</v>
      </c>
      <c r="G21">
        <f>3704-J21</f>
        <v>3127</v>
      </c>
      <c r="H21">
        <f>3747-K21</f>
        <v>3203</v>
      </c>
      <c r="I21">
        <f t="shared" si="5"/>
        <v>3165</v>
      </c>
      <c r="J21">
        <v>577</v>
      </c>
      <c r="K21">
        <v>544</v>
      </c>
      <c r="L21">
        <f t="shared" si="6"/>
        <v>560.5</v>
      </c>
      <c r="M21">
        <f t="shared" si="7"/>
        <v>1306.8157234457763</v>
      </c>
      <c r="N21">
        <f t="shared" si="7"/>
        <v>1216.250829062406</v>
      </c>
      <c r="O21">
        <f t="shared" si="8"/>
        <v>1261.5332762540911</v>
      </c>
      <c r="P21">
        <f t="shared" si="9"/>
        <v>4987.0332762540911</v>
      </c>
      <c r="S21" t="str">
        <f>F14</f>
        <v xml:space="preserve">    Crude Petroleum/Natural Gas</v>
      </c>
      <c r="T21" s="40">
        <f>MROUND(I14,10)</f>
        <v>250</v>
      </c>
      <c r="U21" s="40">
        <f>MROUND(L14,10)</f>
        <v>100</v>
      </c>
      <c r="V21" s="40">
        <f>MROUND(O14,10)</f>
        <v>220</v>
      </c>
      <c r="W21" s="40">
        <f>SUM(T21:V21)</f>
        <v>570</v>
      </c>
    </row>
    <row r="22" spans="3:25" x14ac:dyDescent="0.2">
      <c r="C22" t="s">
        <v>81</v>
      </c>
      <c r="D22" s="28">
        <v>203</v>
      </c>
      <c r="F22" t="s">
        <v>99</v>
      </c>
      <c r="G22">
        <f>2744-J22</f>
        <v>2504</v>
      </c>
      <c r="H22">
        <f>2359-K22</f>
        <v>2134</v>
      </c>
      <c r="I22">
        <f t="shared" si="5"/>
        <v>2319</v>
      </c>
      <c r="J22">
        <v>240</v>
      </c>
      <c r="K22">
        <v>225</v>
      </c>
      <c r="L22">
        <f t="shared" si="6"/>
        <v>232.5</v>
      </c>
      <c r="M22">
        <f t="shared" si="7"/>
        <v>543.56286590465561</v>
      </c>
      <c r="N22">
        <f t="shared" si="7"/>
        <v>503.04492010853187</v>
      </c>
      <c r="O22">
        <f t="shared" si="8"/>
        <v>523.30389300659374</v>
      </c>
      <c r="P22">
        <f t="shared" si="9"/>
        <v>3074.8038930065936</v>
      </c>
      <c r="S22" t="str">
        <f>F15</f>
        <v xml:space="preserve">    Coal Mining</v>
      </c>
      <c r="T22" s="40">
        <f>MROUND(I15,10)</f>
        <v>70</v>
      </c>
      <c r="U22" s="40">
        <f>MROUND(L15,10)</f>
        <v>40</v>
      </c>
      <c r="V22" s="40">
        <f>MROUND(O15,10)</f>
        <v>80</v>
      </c>
      <c r="W22" s="40">
        <f>SUM(T22:V22)</f>
        <v>190</v>
      </c>
    </row>
    <row r="23" spans="3:25" x14ac:dyDescent="0.2">
      <c r="D23" s="37"/>
      <c r="F23" t="s">
        <v>100</v>
      </c>
      <c r="G23">
        <f>1672-J23</f>
        <v>1514</v>
      </c>
      <c r="H23">
        <f>1458-K23</f>
        <v>1274</v>
      </c>
      <c r="I23">
        <f t="shared" si="5"/>
        <v>1394</v>
      </c>
      <c r="J23">
        <v>158</v>
      </c>
      <c r="K23">
        <v>184</v>
      </c>
      <c r="L23">
        <f t="shared" si="6"/>
        <v>171</v>
      </c>
      <c r="M23">
        <f t="shared" si="7"/>
        <v>357.84555338723163</v>
      </c>
      <c r="N23">
        <f t="shared" si="7"/>
        <v>411.37895688875494</v>
      </c>
      <c r="O23">
        <f t="shared" si="8"/>
        <v>384.61225513799332</v>
      </c>
      <c r="P23">
        <f t="shared" si="9"/>
        <v>1949.6122551379933</v>
      </c>
      <c r="S23" t="str">
        <f>F16</f>
        <v xml:space="preserve">    Metal Mining</v>
      </c>
      <c r="T23" s="40">
        <f>MROUND(I16,10)</f>
        <v>90</v>
      </c>
      <c r="U23" s="40">
        <f>MROUND(L16,10)</f>
        <v>60</v>
      </c>
      <c r="V23" s="40">
        <f>MROUND(O16,10)</f>
        <v>140</v>
      </c>
      <c r="W23" s="40">
        <f>SUM(T23:V23)</f>
        <v>290</v>
      </c>
    </row>
    <row r="24" spans="3:25" x14ac:dyDescent="0.2">
      <c r="C24" t="s">
        <v>74</v>
      </c>
      <c r="D24" s="28">
        <f>SUM(D25:D29)</f>
        <v>1337.1661725776835</v>
      </c>
      <c r="F24" t="s">
        <v>101</v>
      </c>
      <c r="G24">
        <f>G19-SUM(G20:G23)</f>
        <v>4019</v>
      </c>
      <c r="H24">
        <f>H19-SUM(H20:H23)</f>
        <v>3723</v>
      </c>
      <c r="I24">
        <f t="shared" si="5"/>
        <v>3871</v>
      </c>
      <c r="J24">
        <f>J19-SUM(J20:J23)</f>
        <v>1934</v>
      </c>
      <c r="K24">
        <f>K19-SUM(K20:K23)</f>
        <v>1791</v>
      </c>
      <c r="L24">
        <f t="shared" si="6"/>
        <v>1862.5</v>
      </c>
      <c r="M24">
        <f t="shared" si="7"/>
        <v>4380.2107610816838</v>
      </c>
      <c r="N24">
        <f t="shared" si="7"/>
        <v>4004.2375640639134</v>
      </c>
      <c r="O24">
        <f t="shared" si="8"/>
        <v>4192.2241625727984</v>
      </c>
      <c r="P24">
        <f t="shared" si="9"/>
        <v>9925.7241625727984</v>
      </c>
      <c r="S24" t="str">
        <f>F17</f>
        <v xml:space="preserve">    Non-metallic Mineral Mining</v>
      </c>
      <c r="T24" s="40">
        <f>MROUND(I17,10)</f>
        <v>180</v>
      </c>
      <c r="U24" s="40">
        <f>MROUND(L17,10)</f>
        <v>50</v>
      </c>
      <c r="V24" s="40">
        <f>MROUND(O17,10)</f>
        <v>110</v>
      </c>
      <c r="W24" s="40">
        <f>SUM(T24:V24)</f>
        <v>340</v>
      </c>
    </row>
    <row r="25" spans="3:25" x14ac:dyDescent="0.2">
      <c r="C25" t="s">
        <v>75</v>
      </c>
      <c r="D25" s="37">
        <v>561.3521024142857</v>
      </c>
    </row>
    <row r="26" spans="3:25" ht="14.25" x14ac:dyDescent="0.2">
      <c r="C26" t="s">
        <v>78</v>
      </c>
      <c r="D26" s="37">
        <v>191.17756716199443</v>
      </c>
      <c r="F26" t="s">
        <v>104</v>
      </c>
      <c r="G26">
        <v>7340</v>
      </c>
      <c r="H26">
        <v>8188</v>
      </c>
      <c r="I26">
        <f>AVERAGE(G26,H26)</f>
        <v>7764</v>
      </c>
      <c r="S26" t="s">
        <v>113</v>
      </c>
      <c r="T26" s="39">
        <f>MROUND(I29,10)</f>
        <v>260</v>
      </c>
      <c r="U26" s="39">
        <f>MROUND(L29,10)</f>
        <v>260</v>
      </c>
      <c r="V26" s="39">
        <f>MROUND(O29,10)</f>
        <v>580</v>
      </c>
      <c r="W26" s="39">
        <f>SUM(T26:V26)</f>
        <v>1100</v>
      </c>
    </row>
    <row r="27" spans="3:25" x14ac:dyDescent="0.2">
      <c r="D27" s="37"/>
      <c r="T27" s="39"/>
      <c r="U27" s="39"/>
      <c r="V27" s="39"/>
      <c r="W27" s="39"/>
    </row>
    <row r="28" spans="3:25" x14ac:dyDescent="0.2">
      <c r="C28" t="s">
        <v>77</v>
      </c>
      <c r="D28" s="37">
        <v>276.75365900010502</v>
      </c>
      <c r="S28" s="52" t="s">
        <v>164</v>
      </c>
      <c r="T28" s="38"/>
      <c r="U28" s="38"/>
      <c r="V28" s="39"/>
      <c r="W28" s="39"/>
    </row>
    <row r="29" spans="3:25" ht="6.75" customHeight="1" x14ac:dyDescent="0.2">
      <c r="C29" t="s">
        <v>76</v>
      </c>
      <c r="D29" s="37">
        <v>307.88284400129817</v>
      </c>
      <c r="F29" t="s">
        <v>103</v>
      </c>
      <c r="I29">
        <f>I9-I13-I19-I26</f>
        <v>257.05489071497141</v>
      </c>
      <c r="L29">
        <f>L9-L13-L19-L26</f>
        <v>257.23401092250879</v>
      </c>
      <c r="O29">
        <f>O9-O13-O19-O26</f>
        <v>579.62464284713406</v>
      </c>
      <c r="P29">
        <f>I29+L29+O29</f>
        <v>1093.9135444846142</v>
      </c>
    </row>
    <row r="30" spans="3:25" x14ac:dyDescent="0.2">
      <c r="D30" s="37"/>
      <c r="S30" t="s">
        <v>165</v>
      </c>
      <c r="T30" s="39">
        <f>MROUND(I26,10)</f>
        <v>7760</v>
      </c>
      <c r="U30" s="38"/>
      <c r="V30" s="39"/>
      <c r="W30" s="39">
        <f>SUM(T30:V30)</f>
        <v>7760</v>
      </c>
    </row>
    <row r="31" spans="3:25" x14ac:dyDescent="0.2">
      <c r="D31" s="37"/>
      <c r="T31" s="39"/>
      <c r="U31" s="38"/>
      <c r="V31" s="39"/>
      <c r="W31" s="39"/>
    </row>
    <row r="32" spans="3:25" x14ac:dyDescent="0.2">
      <c r="C32" t="s">
        <v>88</v>
      </c>
      <c r="S32" t="s">
        <v>109</v>
      </c>
    </row>
    <row r="33" spans="3:19" x14ac:dyDescent="0.2">
      <c r="S33" t="s">
        <v>112</v>
      </c>
    </row>
    <row r="34" spans="3:19" x14ac:dyDescent="0.2">
      <c r="C34" t="s">
        <v>82</v>
      </c>
      <c r="D34" s="37"/>
      <c r="S34" t="s">
        <v>110</v>
      </c>
    </row>
    <row r="35" spans="3:19" x14ac:dyDescent="0.2">
      <c r="C35" t="s">
        <v>83</v>
      </c>
      <c r="D35" s="37">
        <f>150/0.063</f>
        <v>2380.9523809523807</v>
      </c>
      <c r="S35" t="s">
        <v>111</v>
      </c>
    </row>
    <row r="36" spans="3:19" x14ac:dyDescent="0.2">
      <c r="C36" t="s">
        <v>84</v>
      </c>
      <c r="D36" s="37">
        <v>150</v>
      </c>
    </row>
    <row r="37" spans="3:19" x14ac:dyDescent="0.2">
      <c r="S37" t="s">
        <v>120</v>
      </c>
    </row>
    <row r="38" spans="3:19" x14ac:dyDescent="0.2">
      <c r="S38" t="s">
        <v>116</v>
      </c>
    </row>
    <row r="39" spans="3:19" x14ac:dyDescent="0.2">
      <c r="S39" t="s">
        <v>115</v>
      </c>
    </row>
    <row r="40" spans="3:19" x14ac:dyDescent="0.2">
      <c r="S40" t="s">
        <v>114</v>
      </c>
    </row>
    <row r="41" spans="3:19" x14ac:dyDescent="0.2">
      <c r="S41" t="s">
        <v>117</v>
      </c>
    </row>
    <row r="42" spans="3:19" x14ac:dyDescent="0.2">
      <c r="S42" t="s">
        <v>118</v>
      </c>
    </row>
    <row r="43" spans="3:19" x14ac:dyDescent="0.2">
      <c r="S43" t="s">
        <v>119</v>
      </c>
    </row>
  </sheetData>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40"/>
  <sheetViews>
    <sheetView workbookViewId="0">
      <pane xSplit="3" ySplit="4" topLeftCell="D5" activePane="bottomRight" state="frozen"/>
      <selection pane="topRight" activeCell="D1" sqref="D1"/>
      <selection pane="bottomLeft" activeCell="A5" sqref="A5"/>
      <selection pane="bottomRight" activeCell="D28" sqref="D28"/>
    </sheetView>
  </sheetViews>
  <sheetFormatPr defaultRowHeight="12.75" x14ac:dyDescent="0.2"/>
  <cols>
    <col min="1" max="1" width="0" hidden="1" customWidth="1"/>
    <col min="2" max="2" width="12.5703125" customWidth="1"/>
    <col min="3" max="3" width="33.42578125" customWidth="1"/>
    <col min="4" max="4" width="15.140625" customWidth="1"/>
    <col min="5" max="5" width="13.28515625" customWidth="1"/>
    <col min="6" max="6" width="14.42578125" customWidth="1"/>
    <col min="7" max="7" width="10.5703125" customWidth="1"/>
    <col min="8" max="8" width="14.140625" customWidth="1"/>
    <col min="9" max="11" width="10.28515625" customWidth="1"/>
    <col min="12" max="12" width="11.140625" customWidth="1"/>
    <col min="13" max="13" width="11.85546875" customWidth="1"/>
    <col min="14" max="14" width="10.28515625" customWidth="1"/>
    <col min="15" max="16" width="10.5703125" customWidth="1"/>
    <col min="17" max="18" width="10.42578125" customWidth="1"/>
    <col min="19" max="19" width="11" customWidth="1"/>
    <col min="20" max="20" width="10.140625" customWidth="1"/>
    <col min="21" max="22" width="10.28515625" customWidth="1"/>
    <col min="23" max="24" width="10.42578125" customWidth="1"/>
    <col min="25" max="25" width="9.7109375" customWidth="1"/>
    <col min="28" max="28" width="12.42578125" bestFit="1" customWidth="1"/>
    <col min="29" max="30" width="10.140625" customWidth="1"/>
    <col min="33" max="33" width="10.42578125" customWidth="1"/>
    <col min="34" max="34" width="12.28515625" customWidth="1"/>
    <col min="35" max="35" width="11.85546875" customWidth="1"/>
    <col min="36" max="36" width="12.7109375" customWidth="1"/>
    <col min="37" max="38" width="11.42578125" customWidth="1"/>
    <col min="43" max="43" width="9.85546875" customWidth="1"/>
  </cols>
  <sheetData>
    <row r="1" spans="2:44" x14ac:dyDescent="0.2">
      <c r="AL1" s="12" t="s">
        <v>60</v>
      </c>
      <c r="AM1" s="12" t="s">
        <v>45</v>
      </c>
      <c r="AN1" s="12" t="s">
        <v>46</v>
      </c>
      <c r="AO1" s="12" t="s">
        <v>8</v>
      </c>
      <c r="AP1" s="12" t="s">
        <v>47</v>
      </c>
      <c r="AQ1" s="12" t="s">
        <v>11</v>
      </c>
      <c r="AR1" s="12" t="s">
        <v>63</v>
      </c>
    </row>
    <row r="2" spans="2:44" x14ac:dyDescent="0.2">
      <c r="C2" s="10" t="s">
        <v>67</v>
      </c>
      <c r="J2" s="229" t="s">
        <v>58</v>
      </c>
      <c r="K2" s="229"/>
      <c r="L2" s="229"/>
      <c r="M2" s="229"/>
      <c r="O2" s="228" t="s">
        <v>2</v>
      </c>
      <c r="P2" s="228"/>
      <c r="Q2" s="232"/>
      <c r="R2" s="1"/>
      <c r="S2" s="227" t="s">
        <v>6</v>
      </c>
      <c r="T2" s="228"/>
      <c r="U2" s="232"/>
      <c r="V2" s="5"/>
      <c r="W2" s="228" t="s">
        <v>8</v>
      </c>
      <c r="X2" s="228"/>
      <c r="Y2" s="228"/>
      <c r="Z2" s="227" t="s">
        <v>9</v>
      </c>
      <c r="AA2" s="228"/>
      <c r="AB2" s="228"/>
      <c r="AC2" s="232"/>
      <c r="AD2" s="5"/>
      <c r="AE2" s="228" t="s">
        <v>11</v>
      </c>
      <c r="AF2" s="228"/>
      <c r="AG2" s="228"/>
      <c r="AH2" s="4" t="s">
        <v>13</v>
      </c>
      <c r="AI2" s="6" t="s">
        <v>89</v>
      </c>
      <c r="AJ2" t="s">
        <v>90</v>
      </c>
      <c r="AK2" t="s">
        <v>44</v>
      </c>
      <c r="AL2">
        <f>Conversion_Factors!$G$11</f>
        <v>3.4119999999999997E-6</v>
      </c>
      <c r="AM2">
        <f>Conversion_Factors!$G$6</f>
        <v>2.0742E-2</v>
      </c>
      <c r="AN2">
        <f>Conversion_Factors!$G$7</f>
        <v>5.8249999999999994E-3</v>
      </c>
      <c r="AO2">
        <f>Conversion_Factors!$G$8</f>
        <v>6.2870000000000001E-3</v>
      </c>
      <c r="AP2">
        <f>Conversion_Factors!$G$9</f>
        <v>1.028</v>
      </c>
      <c r="AQ2">
        <f>Conversion_Factors!$G$10</f>
        <v>0.12507142857142858</v>
      </c>
    </row>
    <row r="3" spans="2:44" ht="25.5" x14ac:dyDescent="0.2">
      <c r="D3">
        <v>1992</v>
      </c>
      <c r="E3">
        <v>1992</v>
      </c>
      <c r="F3" s="229">
        <v>1997</v>
      </c>
      <c r="G3" s="229"/>
      <c r="H3" s="229">
        <v>2002</v>
      </c>
      <c r="I3" s="229"/>
      <c r="J3" s="6">
        <v>1992</v>
      </c>
      <c r="K3" s="6">
        <v>1997</v>
      </c>
      <c r="L3" s="6">
        <v>2002</v>
      </c>
      <c r="M3" s="15" t="s">
        <v>3</v>
      </c>
      <c r="N3" s="6">
        <v>1992</v>
      </c>
      <c r="O3" s="6">
        <v>1997</v>
      </c>
      <c r="P3" s="6">
        <v>2002</v>
      </c>
      <c r="Q3" s="15" t="s">
        <v>3</v>
      </c>
      <c r="R3" s="7">
        <v>1992</v>
      </c>
      <c r="S3" s="6">
        <v>1997</v>
      </c>
      <c r="T3" s="6">
        <v>2002</v>
      </c>
      <c r="U3" s="15" t="s">
        <v>3</v>
      </c>
      <c r="V3" s="6">
        <v>1992</v>
      </c>
      <c r="W3" s="6">
        <v>1997</v>
      </c>
      <c r="X3" s="6">
        <v>2002</v>
      </c>
      <c r="Y3" s="7" t="s">
        <v>3</v>
      </c>
      <c r="Z3" s="8">
        <v>1992</v>
      </c>
      <c r="AA3" s="6">
        <v>1997</v>
      </c>
      <c r="AB3" s="6">
        <v>2002</v>
      </c>
      <c r="AC3" s="15" t="s">
        <v>3</v>
      </c>
      <c r="AD3" s="12">
        <v>1992</v>
      </c>
      <c r="AE3" s="6">
        <v>1997</v>
      </c>
      <c r="AF3" s="6">
        <v>2002</v>
      </c>
      <c r="AG3" s="7" t="s">
        <v>3</v>
      </c>
      <c r="AH3" s="4"/>
      <c r="AI3" s="6"/>
    </row>
    <row r="4" spans="2:44" x14ac:dyDescent="0.2">
      <c r="B4" s="12"/>
      <c r="C4" s="12"/>
      <c r="D4" s="12" t="s">
        <v>1</v>
      </c>
      <c r="E4" s="12" t="s">
        <v>0</v>
      </c>
      <c r="F4" s="12" t="s">
        <v>1</v>
      </c>
      <c r="G4" s="12" t="s">
        <v>0</v>
      </c>
      <c r="H4" s="12" t="s">
        <v>1</v>
      </c>
      <c r="I4" s="12" t="s">
        <v>0</v>
      </c>
      <c r="J4" s="12" t="s">
        <v>59</v>
      </c>
      <c r="K4" s="12"/>
      <c r="L4" s="12"/>
      <c r="M4" s="12"/>
      <c r="N4" s="12" t="s">
        <v>4</v>
      </c>
      <c r="O4" s="12" t="s">
        <v>4</v>
      </c>
      <c r="P4" s="12" t="s">
        <v>4</v>
      </c>
      <c r="Q4" s="17" t="s">
        <v>4</v>
      </c>
      <c r="R4" s="12" t="s">
        <v>7</v>
      </c>
      <c r="S4" s="12" t="s">
        <v>7</v>
      </c>
      <c r="T4" s="12" t="s">
        <v>7</v>
      </c>
      <c r="U4" s="17" t="s">
        <v>7</v>
      </c>
      <c r="V4" s="12" t="s">
        <v>7</v>
      </c>
      <c r="W4" s="12" t="s">
        <v>7</v>
      </c>
      <c r="X4" s="12" t="s">
        <v>7</v>
      </c>
      <c r="Y4" s="12" t="s">
        <v>7</v>
      </c>
      <c r="Z4" s="12" t="s">
        <v>10</v>
      </c>
      <c r="AA4" s="12" t="s">
        <v>10</v>
      </c>
      <c r="AB4" s="12" t="s">
        <v>10</v>
      </c>
      <c r="AC4" s="17" t="s">
        <v>10</v>
      </c>
      <c r="AD4" s="12" t="s">
        <v>12</v>
      </c>
      <c r="AE4" s="12" t="s">
        <v>12</v>
      </c>
      <c r="AF4" s="12" t="s">
        <v>12</v>
      </c>
      <c r="AG4" s="12" t="s">
        <v>12</v>
      </c>
      <c r="AH4" s="18" t="s">
        <v>14</v>
      </c>
      <c r="AI4" s="31"/>
      <c r="AJ4" s="32"/>
    </row>
    <row r="5" spans="2:44" x14ac:dyDescent="0.2">
      <c r="B5" s="6">
        <v>211111</v>
      </c>
      <c r="C5" s="6" t="s">
        <v>49</v>
      </c>
      <c r="D5" s="6">
        <v>9391</v>
      </c>
      <c r="E5" s="6">
        <v>173000</v>
      </c>
      <c r="F5" s="6"/>
      <c r="G5" s="6">
        <v>173000</v>
      </c>
      <c r="H5" s="6"/>
      <c r="I5" s="6">
        <v>173000</v>
      </c>
      <c r="J5" s="6">
        <v>28999200</v>
      </c>
      <c r="K5" s="30">
        <v>29577576</v>
      </c>
      <c r="L5" s="34">
        <v>26926558</v>
      </c>
      <c r="M5" s="23">
        <f>(K5+L5)/2</f>
        <v>28252067</v>
      </c>
      <c r="N5" s="6"/>
      <c r="O5" s="6"/>
      <c r="P5" s="6"/>
      <c r="Q5" s="16"/>
      <c r="R5" s="6">
        <v>2940.9</v>
      </c>
      <c r="S5" s="8">
        <v>2017.8</v>
      </c>
      <c r="T5" s="8">
        <v>3716.4</v>
      </c>
      <c r="U5" s="16">
        <f>(S5+T5)/2</f>
        <v>2867.1</v>
      </c>
      <c r="V5" s="6">
        <v>174.7</v>
      </c>
      <c r="W5" s="8">
        <v>648.5</v>
      </c>
      <c r="X5" s="14">
        <v>650</v>
      </c>
      <c r="Y5" s="6">
        <f>(W5+X5)/2</f>
        <v>649.25</v>
      </c>
      <c r="Z5" s="6">
        <v>181.4</v>
      </c>
      <c r="AA5" s="8">
        <f>169.7</f>
        <v>169.7</v>
      </c>
      <c r="AB5" s="8">
        <v>102.4</v>
      </c>
      <c r="AC5" s="16">
        <f>(AA5+AB5)/2</f>
        <v>136.05000000000001</v>
      </c>
      <c r="AD5" s="6">
        <v>34.6</v>
      </c>
      <c r="AE5" s="8">
        <v>98.2</v>
      </c>
      <c r="AF5" s="14">
        <v>15</v>
      </c>
      <c r="AG5" s="6">
        <f>(AE5+AF5)/2</f>
        <v>56.6</v>
      </c>
      <c r="AH5" s="21">
        <f>AJ5/AI5-1</f>
        <v>0.49622879620370397</v>
      </c>
      <c r="AI5" s="33">
        <f>AJ5-268957</f>
        <v>542002</v>
      </c>
      <c r="AJ5" s="27">
        <v>810959</v>
      </c>
      <c r="AL5" s="13">
        <f>M5*AL$2</f>
        <v>96.396052603999991</v>
      </c>
      <c r="AM5" s="13">
        <f>Q5*AM$2</f>
        <v>0</v>
      </c>
      <c r="AN5" s="13">
        <f>U5*AN$2</f>
        <v>16.700857499999998</v>
      </c>
      <c r="AO5" s="13">
        <f>Y5*AO$2</f>
        <v>4.0818347499999996</v>
      </c>
      <c r="AP5" s="13">
        <f>AC5*AP$2</f>
        <v>139.85940000000002</v>
      </c>
      <c r="AQ5" s="13">
        <f>AG5*AQ$2</f>
        <v>7.0790428571428583</v>
      </c>
      <c r="AR5" s="13">
        <f>SUM(AM5:AQ5)*(1+AH5)</f>
        <v>250.94919207927919</v>
      </c>
    </row>
    <row r="6" spans="2:44" x14ac:dyDescent="0.2">
      <c r="B6" s="6"/>
      <c r="C6" s="6" t="s">
        <v>51</v>
      </c>
      <c r="D6" s="6"/>
      <c r="E6" s="6"/>
      <c r="F6" s="6"/>
      <c r="G6" s="6"/>
      <c r="H6" s="6"/>
      <c r="I6" s="6"/>
      <c r="J6" s="6"/>
      <c r="K6" s="6"/>
      <c r="L6" s="5"/>
      <c r="M6" s="6"/>
      <c r="N6" s="6"/>
      <c r="O6" s="6"/>
      <c r="P6" s="6"/>
      <c r="Q6" s="16"/>
      <c r="R6" s="6">
        <v>21.8</v>
      </c>
      <c r="S6" s="14">
        <v>22</v>
      </c>
      <c r="T6" s="14">
        <v>22</v>
      </c>
      <c r="U6" s="16">
        <f>(S6+T6)/2</f>
        <v>22</v>
      </c>
      <c r="V6" s="6"/>
      <c r="W6" s="6"/>
      <c r="X6" s="6"/>
      <c r="Y6" s="6">
        <f>(W6+X6)/2</f>
        <v>0</v>
      </c>
      <c r="Z6" s="6">
        <f>80.3</f>
        <v>80.3</v>
      </c>
      <c r="AA6" s="14">
        <v>80</v>
      </c>
      <c r="AB6" s="14">
        <v>80</v>
      </c>
      <c r="AC6" s="16">
        <f>(AA6+AB6)/2</f>
        <v>80</v>
      </c>
      <c r="AD6" s="6">
        <v>0.6</v>
      </c>
      <c r="AE6" s="8">
        <v>0.6</v>
      </c>
      <c r="AF6" s="8">
        <v>0.6</v>
      </c>
      <c r="AG6" s="6">
        <f>(AE6+AF6)/2</f>
        <v>0.6</v>
      </c>
      <c r="AH6" s="21">
        <v>0.05</v>
      </c>
      <c r="AI6" s="33"/>
      <c r="AJ6" s="27"/>
      <c r="AL6" s="13">
        <f t="shared" ref="AL6:AL32" si="0">M6*AL$2</f>
        <v>0</v>
      </c>
      <c r="AM6" s="13">
        <f>Q6*AM$2</f>
        <v>0</v>
      </c>
      <c r="AN6" s="13">
        <f>U6*AN$2</f>
        <v>0.12814999999999999</v>
      </c>
      <c r="AO6" s="13">
        <f>Y6*AO$2</f>
        <v>0</v>
      </c>
      <c r="AP6" s="13">
        <f>AC6*AP$2</f>
        <v>82.240000000000009</v>
      </c>
      <c r="AQ6" s="13">
        <f>AG6*AQ$2</f>
        <v>7.5042857142857147E-2</v>
      </c>
      <c r="AR6" s="13">
        <f>SUM(AM6:AQ6)*(1+AH6)</f>
        <v>86.565352500000017</v>
      </c>
    </row>
    <row r="7" spans="2:44" x14ac:dyDescent="0.2">
      <c r="B7" s="6">
        <v>211112</v>
      </c>
      <c r="C7" s="6" t="s">
        <v>50</v>
      </c>
      <c r="D7" s="6"/>
      <c r="E7" s="6"/>
      <c r="F7" s="6"/>
      <c r="G7" s="6"/>
      <c r="H7" s="6"/>
      <c r="I7" s="6"/>
      <c r="J7" s="6"/>
      <c r="K7" s="6">
        <v>3220910</v>
      </c>
      <c r="L7" s="6">
        <v>2764113</v>
      </c>
      <c r="M7" s="6"/>
      <c r="N7" s="6"/>
      <c r="O7" s="6"/>
      <c r="P7" s="6"/>
      <c r="Q7" s="16"/>
      <c r="R7" s="6"/>
      <c r="S7" s="8">
        <v>47.7</v>
      </c>
      <c r="T7" s="14">
        <v>50</v>
      </c>
      <c r="U7" s="16"/>
      <c r="V7" s="6"/>
      <c r="W7" s="6">
        <v>47.1</v>
      </c>
      <c r="X7" s="6"/>
      <c r="Y7" s="6"/>
      <c r="Z7" s="6"/>
      <c r="AA7" s="6">
        <v>60.5</v>
      </c>
      <c r="AB7" s="8">
        <v>121.6</v>
      </c>
      <c r="AC7" s="16"/>
      <c r="AD7" s="6"/>
      <c r="AE7" s="8">
        <v>1.9</v>
      </c>
      <c r="AF7" s="14">
        <v>2</v>
      </c>
      <c r="AG7" s="6"/>
      <c r="AH7" s="4"/>
      <c r="AI7" s="33"/>
      <c r="AJ7" s="27">
        <v>394773</v>
      </c>
      <c r="AL7" s="13"/>
    </row>
    <row r="8" spans="2:44" x14ac:dyDescent="0.2">
      <c r="B8" s="6"/>
      <c r="C8" s="6"/>
      <c r="D8" s="6"/>
      <c r="E8" s="6"/>
      <c r="F8" s="6"/>
      <c r="G8" s="6"/>
      <c r="H8" s="6"/>
      <c r="I8" s="6"/>
      <c r="J8" s="6"/>
      <c r="K8" s="6"/>
      <c r="L8" s="6"/>
      <c r="M8" s="6"/>
      <c r="N8" s="6"/>
      <c r="O8" s="6"/>
      <c r="P8" s="6"/>
      <c r="Q8" s="16"/>
      <c r="R8" s="6"/>
      <c r="S8" s="6"/>
      <c r="T8" s="6"/>
      <c r="U8" s="16"/>
      <c r="V8" s="6"/>
      <c r="W8" s="6"/>
      <c r="X8" s="6"/>
      <c r="Y8" s="6"/>
      <c r="Z8" s="6"/>
      <c r="AA8" s="6"/>
      <c r="AB8" s="6"/>
      <c r="AC8" s="16"/>
      <c r="AD8" s="6"/>
      <c r="AE8" s="6"/>
      <c r="AF8" s="6"/>
      <c r="AG8" s="6"/>
      <c r="AH8" s="4"/>
      <c r="AI8" s="33"/>
      <c r="AJ8" s="27"/>
      <c r="AL8" s="13"/>
    </row>
    <row r="9" spans="2:44" x14ac:dyDescent="0.2">
      <c r="B9">
        <v>212111</v>
      </c>
      <c r="C9" t="s">
        <v>15</v>
      </c>
      <c r="D9">
        <v>1503</v>
      </c>
      <c r="E9">
        <v>55500</v>
      </c>
      <c r="F9">
        <v>829</v>
      </c>
      <c r="G9" s="3">
        <v>36632</v>
      </c>
      <c r="H9">
        <v>642</v>
      </c>
      <c r="I9" s="3">
        <v>32755</v>
      </c>
      <c r="J9" s="3">
        <v>4809100</v>
      </c>
      <c r="K9" s="3">
        <v>4203877</v>
      </c>
      <c r="L9" s="30">
        <v>3698491</v>
      </c>
      <c r="M9" s="23">
        <f>(K9+L9)/2</f>
        <v>3951184</v>
      </c>
      <c r="N9" s="3">
        <v>60.3</v>
      </c>
      <c r="O9" s="6">
        <v>31.5</v>
      </c>
      <c r="P9" s="6">
        <v>1.1000000000000001</v>
      </c>
      <c r="Q9" s="16">
        <f t="shared" ref="Q9:Q20" si="1">(O9+P9)/2</f>
        <v>16.3</v>
      </c>
      <c r="R9" s="8">
        <v>8045</v>
      </c>
      <c r="S9" s="6">
        <v>7420.4</v>
      </c>
      <c r="T9" s="6">
        <v>7126.8</v>
      </c>
      <c r="U9" s="16">
        <f>(S9+T9)/2</f>
        <v>7273.6</v>
      </c>
      <c r="V9" s="8">
        <v>975.4</v>
      </c>
      <c r="W9" s="6">
        <v>721.2</v>
      </c>
      <c r="X9" s="6">
        <v>973.9</v>
      </c>
      <c r="Y9" s="6">
        <f>(W9+X9)/2</f>
        <v>847.55</v>
      </c>
      <c r="Z9" s="8">
        <v>0.3</v>
      </c>
      <c r="AA9" s="6">
        <v>0.7</v>
      </c>
      <c r="AB9" s="6">
        <f>$I9/$G9*AA9</f>
        <v>0.62591450098274726</v>
      </c>
      <c r="AC9" s="16">
        <f>(AA9+AB9)/2</f>
        <v>0.66295725049137366</v>
      </c>
      <c r="AD9" s="6">
        <v>18.600000000000001</v>
      </c>
      <c r="AE9" s="6">
        <v>29.4</v>
      </c>
      <c r="AF9" s="6">
        <v>11.8</v>
      </c>
      <c r="AG9" s="6">
        <f>(AE9+AF9)/2</f>
        <v>20.6</v>
      </c>
      <c r="AH9" s="21">
        <v>0.1</v>
      </c>
      <c r="AI9" s="33"/>
      <c r="AJ9" s="27"/>
      <c r="AL9" s="13">
        <f t="shared" si="0"/>
        <v>13.481439807999999</v>
      </c>
      <c r="AM9" s="13">
        <f>Q9*AM$2</f>
        <v>0.33809460000000002</v>
      </c>
      <c r="AN9" s="13">
        <f>U9*AN$2</f>
        <v>42.368719999999996</v>
      </c>
      <c r="AO9" s="13">
        <f>Y9*AO$2</f>
        <v>5.3285468499999995</v>
      </c>
      <c r="AP9" s="13">
        <f>AC9*AP$2</f>
        <v>0.68152005350513212</v>
      </c>
      <c r="AQ9" s="13">
        <f>AG9*AQ$2</f>
        <v>2.5764714285714292</v>
      </c>
      <c r="AR9" s="13">
        <f>SUM(AM9:AQ9)*(1+AH9)</f>
        <v>56.422688225284219</v>
      </c>
    </row>
    <row r="10" spans="2:44" x14ac:dyDescent="0.2">
      <c r="B10">
        <v>212112</v>
      </c>
      <c r="C10" t="s">
        <v>5</v>
      </c>
      <c r="D10">
        <v>1133</v>
      </c>
      <c r="E10">
        <v>73000</v>
      </c>
      <c r="F10">
        <v>614</v>
      </c>
      <c r="G10" s="3">
        <v>50192</v>
      </c>
      <c r="H10">
        <v>478</v>
      </c>
      <c r="I10" s="3">
        <v>40319</v>
      </c>
      <c r="J10" s="3">
        <v>7646900</v>
      </c>
      <c r="K10" s="3">
        <v>7061319</v>
      </c>
      <c r="L10" s="30">
        <v>6287072</v>
      </c>
      <c r="M10" s="23">
        <f>(K10+L10)/2</f>
        <v>6674195.5</v>
      </c>
      <c r="N10" s="3">
        <v>258.3</v>
      </c>
      <c r="O10" s="6">
        <v>221.4</v>
      </c>
      <c r="P10" s="6">
        <v>179.8</v>
      </c>
      <c r="Q10" s="16">
        <f t="shared" si="1"/>
        <v>200.60000000000002</v>
      </c>
      <c r="R10" s="8">
        <v>1179.9000000000001</v>
      </c>
      <c r="S10" s="6">
        <v>655.9</v>
      </c>
      <c r="T10" s="6">
        <f>$I10/$G10*S10</f>
        <v>526.8814173573478</v>
      </c>
      <c r="U10" s="16">
        <f>(S10+T10)/2</f>
        <v>591.39070867867395</v>
      </c>
      <c r="V10" s="6">
        <v>226</v>
      </c>
      <c r="W10" s="6">
        <v>144.80000000000001</v>
      </c>
      <c r="X10" s="6">
        <v>178.3</v>
      </c>
      <c r="Y10" s="6">
        <f>(W10+X10)/2</f>
        <v>161.55000000000001</v>
      </c>
      <c r="Z10" s="8">
        <v>0.5</v>
      </c>
      <c r="AA10" s="6">
        <v>0.5</v>
      </c>
      <c r="AB10" s="6">
        <f>$I10/$G10*AA10</f>
        <v>0.40164767293592607</v>
      </c>
      <c r="AC10" s="16">
        <f>(AA10+AB10)/2</f>
        <v>0.45082383646796304</v>
      </c>
      <c r="AD10" s="6">
        <v>7.4</v>
      </c>
      <c r="AE10" s="6">
        <v>4</v>
      </c>
      <c r="AF10" s="6">
        <v>1.5</v>
      </c>
      <c r="AG10" s="6">
        <f>(AE10+AF10)/2</f>
        <v>2.75</v>
      </c>
      <c r="AH10" s="21">
        <f>AJ10/AI10-1</f>
        <v>0.30542106516390199</v>
      </c>
      <c r="AI10" s="33">
        <f>14840+6638+2000+1720</f>
        <v>25198</v>
      </c>
      <c r="AJ10" s="27">
        <v>32894</v>
      </c>
      <c r="AL10" s="13">
        <f t="shared" si="0"/>
        <v>22.772355045999998</v>
      </c>
      <c r="AM10" s="13">
        <f>Q10*AM$2</f>
        <v>4.1608452000000007</v>
      </c>
      <c r="AN10" s="13">
        <f>U10*AN$2</f>
        <v>3.4448508780532756</v>
      </c>
      <c r="AO10" s="13">
        <f>Y10*AO$2</f>
        <v>1.0156648500000001</v>
      </c>
      <c r="AP10" s="13"/>
      <c r="AQ10" s="13">
        <f>AG10*AQ$2</f>
        <v>0.3439464285714286</v>
      </c>
      <c r="AR10" s="13">
        <f>SUM(AM10:AQ10)*(1+AH10)</f>
        <v>11.703501079006788</v>
      </c>
    </row>
    <row r="11" spans="2:44" x14ac:dyDescent="0.2">
      <c r="B11">
        <v>212113</v>
      </c>
      <c r="C11" t="s">
        <v>16</v>
      </c>
      <c r="F11">
        <v>68</v>
      </c>
      <c r="G11" s="3">
        <v>1141</v>
      </c>
      <c r="H11">
        <v>63</v>
      </c>
      <c r="I11" s="3">
        <v>835</v>
      </c>
      <c r="J11" s="3"/>
      <c r="K11" s="3">
        <v>89914</v>
      </c>
      <c r="L11" s="3">
        <v>48854</v>
      </c>
      <c r="M11" s="23">
        <f>(K11+L11)/2</f>
        <v>69384</v>
      </c>
      <c r="N11" s="3"/>
      <c r="O11" s="6"/>
      <c r="P11" s="6"/>
      <c r="Q11" s="16">
        <f t="shared" si="1"/>
        <v>0</v>
      </c>
      <c r="R11" s="6"/>
      <c r="S11" s="6">
        <v>103.2</v>
      </c>
      <c r="T11" s="6">
        <f>$I11/$G11*S11</f>
        <v>75.523225241016647</v>
      </c>
      <c r="U11" s="16">
        <f>(S11+T11)/2</f>
        <v>89.361612620508325</v>
      </c>
      <c r="V11" s="6"/>
      <c r="W11" s="6">
        <v>34.9</v>
      </c>
      <c r="X11" s="6">
        <f>$I11/$G11*W11</f>
        <v>25.540315512708148</v>
      </c>
      <c r="Y11" s="6">
        <f>(W11+X11)/2</f>
        <v>30.220157756354073</v>
      </c>
      <c r="Z11" s="6"/>
      <c r="AA11" s="6"/>
      <c r="AB11" s="6"/>
      <c r="AC11" s="16"/>
      <c r="AD11" s="6"/>
      <c r="AE11" s="6">
        <v>0.3</v>
      </c>
      <c r="AF11" s="6">
        <f>$I11/$G11*AE11</f>
        <v>0.21954425942156003</v>
      </c>
      <c r="AG11" s="6">
        <f>(AE11+AF11)/2</f>
        <v>0.25977212971078001</v>
      </c>
      <c r="AH11" s="21">
        <v>0.2</v>
      </c>
      <c r="AI11" s="33"/>
      <c r="AJ11" s="27"/>
      <c r="AL11" s="13">
        <f t="shared" si="0"/>
        <v>0.23673820799999998</v>
      </c>
      <c r="AM11" s="13"/>
      <c r="AN11" s="13">
        <f>U11*AN$2</f>
        <v>0.52053139351446098</v>
      </c>
      <c r="AO11" s="13">
        <f>Y11*AO$2</f>
        <v>0.18999413181419805</v>
      </c>
      <c r="AP11" s="13"/>
      <c r="AQ11" s="13">
        <f>AG11*AQ$2</f>
        <v>3.2490071365969701E-2</v>
      </c>
      <c r="AR11" s="13">
        <f>SUM(AM11:AQ11)*(1+AH11)</f>
        <v>0.89161871603355458</v>
      </c>
    </row>
    <row r="12" spans="2:44" x14ac:dyDescent="0.2">
      <c r="G12" s="3"/>
      <c r="I12" s="3"/>
      <c r="J12" s="3"/>
      <c r="K12" s="3"/>
      <c r="L12" s="3"/>
      <c r="M12" s="23"/>
      <c r="N12" s="3"/>
      <c r="O12" s="6"/>
      <c r="P12" s="6"/>
      <c r="Q12" s="16"/>
      <c r="R12" s="6"/>
      <c r="S12" s="6"/>
      <c r="T12" s="6"/>
      <c r="U12" s="16"/>
      <c r="V12" s="6"/>
      <c r="W12" s="6"/>
      <c r="X12" s="6"/>
      <c r="Y12" s="6"/>
      <c r="Z12" s="6"/>
      <c r="AA12" s="6"/>
      <c r="AB12" s="6"/>
      <c r="AC12" s="16"/>
      <c r="AD12" s="6"/>
      <c r="AE12" s="6"/>
      <c r="AF12" s="6"/>
      <c r="AG12" s="6"/>
      <c r="AH12" s="21"/>
      <c r="AI12" s="33"/>
      <c r="AJ12" s="27"/>
      <c r="AL12" s="13"/>
      <c r="AM12" s="13"/>
      <c r="AN12" s="13"/>
      <c r="AO12" s="13"/>
      <c r="AP12" s="13"/>
      <c r="AQ12" s="13"/>
      <c r="AR12" s="13"/>
    </row>
    <row r="13" spans="2:44" x14ac:dyDescent="0.2">
      <c r="B13">
        <v>212210</v>
      </c>
      <c r="C13" t="s">
        <v>18</v>
      </c>
      <c r="D13">
        <v>40</v>
      </c>
      <c r="E13">
        <v>7200</v>
      </c>
      <c r="F13">
        <v>32</v>
      </c>
      <c r="G13" s="3">
        <v>7920</v>
      </c>
      <c r="H13">
        <v>24</v>
      </c>
      <c r="I13" s="3">
        <v>5189</v>
      </c>
      <c r="J13" s="3"/>
      <c r="K13" s="3">
        <v>6233554</v>
      </c>
      <c r="L13" s="3">
        <v>7164253</v>
      </c>
      <c r="M13" s="23">
        <f t="shared" ref="M13:M19" si="2">(K13+L13)/2</f>
        <v>6698903.5</v>
      </c>
      <c r="N13" s="3"/>
      <c r="O13" s="14">
        <v>60</v>
      </c>
      <c r="P13" s="6">
        <v>81</v>
      </c>
      <c r="Q13" s="16">
        <f t="shared" si="1"/>
        <v>70.5</v>
      </c>
      <c r="R13" s="8">
        <v>669.6</v>
      </c>
      <c r="S13" s="6">
        <v>910.7</v>
      </c>
      <c r="T13" s="8">
        <v>597.70000000000005</v>
      </c>
      <c r="U13" s="16">
        <f>(S13+T13)/2</f>
        <v>754.2</v>
      </c>
      <c r="V13" s="6"/>
      <c r="W13" s="6"/>
      <c r="X13" s="6"/>
      <c r="Y13" s="6">
        <f>(W13+X13)/2</f>
        <v>0</v>
      </c>
      <c r="Z13" s="6">
        <v>29.7</v>
      </c>
      <c r="AA13" s="6">
        <v>34.299999999999997</v>
      </c>
      <c r="AB13" s="6">
        <v>22.1</v>
      </c>
      <c r="AC13" s="16">
        <f>(AA13+AB13)/2</f>
        <v>28.2</v>
      </c>
      <c r="AD13" s="8">
        <v>1.1000000000000001</v>
      </c>
      <c r="AE13" s="6">
        <v>1.4</v>
      </c>
      <c r="AF13" s="6">
        <f>$I13/$G13*AE13</f>
        <v>0.9172474747474747</v>
      </c>
      <c r="AG13" s="6">
        <f>(AE13+AF13)/2</f>
        <v>1.1586237373737374</v>
      </c>
      <c r="AH13" s="21">
        <v>0.2</v>
      </c>
      <c r="AI13" s="33"/>
      <c r="AJ13" s="27"/>
      <c r="AL13" s="13">
        <f t="shared" si="0"/>
        <v>22.856658741999997</v>
      </c>
      <c r="AM13" s="13">
        <f>Q13*AM$2</f>
        <v>1.4623109999999999</v>
      </c>
      <c r="AN13" s="13">
        <f>U13*AN$2</f>
        <v>4.3932149999999996</v>
      </c>
      <c r="AO13" s="13"/>
      <c r="AP13" s="13">
        <f>AC13*AP$2</f>
        <v>28.989599999999999</v>
      </c>
      <c r="AQ13" s="13">
        <f>AG13*AQ$2</f>
        <v>0.14491072601010102</v>
      </c>
      <c r="AR13" s="13">
        <f>SUM(AM13:AQ13)*(1+AH13)</f>
        <v>41.988044071212123</v>
      </c>
    </row>
    <row r="14" spans="2:44" x14ac:dyDescent="0.2">
      <c r="B14">
        <v>212221</v>
      </c>
      <c r="C14" t="s">
        <v>19</v>
      </c>
      <c r="D14">
        <v>403</v>
      </c>
      <c r="E14" s="3">
        <v>18200</v>
      </c>
      <c r="F14">
        <v>300</v>
      </c>
      <c r="G14" s="3">
        <v>17512</v>
      </c>
      <c r="H14">
        <v>180</v>
      </c>
      <c r="I14" s="3">
        <v>9265</v>
      </c>
      <c r="J14" s="3">
        <v>3146800</v>
      </c>
      <c r="K14" s="3">
        <v>4479792</v>
      </c>
      <c r="L14" s="30">
        <v>2692819</v>
      </c>
      <c r="M14" s="23">
        <f t="shared" si="2"/>
        <v>3586305.5</v>
      </c>
      <c r="N14" s="3"/>
      <c r="O14" s="6"/>
      <c r="P14" s="6"/>
      <c r="Q14" s="16">
        <f t="shared" si="1"/>
        <v>0</v>
      </c>
      <c r="R14" s="6">
        <v>2360</v>
      </c>
      <c r="S14" s="6">
        <v>3130.5</v>
      </c>
      <c r="T14" s="6">
        <v>1914.7</v>
      </c>
      <c r="U14" s="16">
        <f>(S14+T14)/2</f>
        <v>2522.6</v>
      </c>
      <c r="V14" s="6">
        <v>279.5</v>
      </c>
      <c r="W14" s="14">
        <v>300</v>
      </c>
      <c r="X14" s="14">
        <v>200</v>
      </c>
      <c r="Y14" s="6">
        <f>(W14+X14)/2</f>
        <v>250</v>
      </c>
      <c r="Z14" s="6"/>
      <c r="AA14" s="6"/>
      <c r="AB14" s="6"/>
      <c r="AC14" s="16"/>
      <c r="AD14" s="6">
        <v>5.3</v>
      </c>
      <c r="AE14" s="6">
        <v>13.1</v>
      </c>
      <c r="AF14" s="6">
        <f>$I14/$G14*AE14</f>
        <v>6.9307617633622653</v>
      </c>
      <c r="AG14" s="6">
        <f>(AE14+AF14)/2</f>
        <v>10.015380881681132</v>
      </c>
      <c r="AH14" s="21">
        <v>0.2</v>
      </c>
      <c r="AI14" s="33"/>
      <c r="AJ14" s="27"/>
      <c r="AL14" s="13">
        <f t="shared" si="0"/>
        <v>12.236474365999999</v>
      </c>
      <c r="AM14" s="13"/>
      <c r="AN14" s="13">
        <f>U14*AN$2</f>
        <v>14.694144999999999</v>
      </c>
      <c r="AO14" s="13">
        <f>Y14*AO$2</f>
        <v>1.57175</v>
      </c>
      <c r="AP14" s="13"/>
      <c r="AQ14" s="13">
        <f>AG14*AQ$2</f>
        <v>1.2526379945588331</v>
      </c>
      <c r="AR14" s="13">
        <f>SUM(AM14:AQ14)*(1+AH14)</f>
        <v>21.022239593470598</v>
      </c>
    </row>
    <row r="15" spans="2:44" x14ac:dyDescent="0.2">
      <c r="B15">
        <v>212222</v>
      </c>
      <c r="C15" t="s">
        <v>20</v>
      </c>
      <c r="D15">
        <v>24</v>
      </c>
      <c r="E15">
        <v>1000</v>
      </c>
      <c r="F15">
        <v>16</v>
      </c>
      <c r="G15" s="3">
        <v>780</v>
      </c>
      <c r="H15">
        <v>11</v>
      </c>
      <c r="I15" s="3">
        <v>575</v>
      </c>
      <c r="J15" s="3">
        <v>103800</v>
      </c>
      <c r="K15" s="3">
        <v>167511</v>
      </c>
      <c r="L15" s="30">
        <v>111535</v>
      </c>
      <c r="M15" s="23">
        <f t="shared" si="2"/>
        <v>139523</v>
      </c>
      <c r="N15" s="3"/>
      <c r="O15" s="6"/>
      <c r="P15" s="6"/>
      <c r="Q15" s="16">
        <f t="shared" si="1"/>
        <v>0</v>
      </c>
      <c r="S15" s="6"/>
      <c r="T15" s="6"/>
      <c r="U15" s="16"/>
      <c r="V15" s="6"/>
      <c r="W15" s="6"/>
      <c r="X15" s="6"/>
      <c r="Y15" s="6"/>
      <c r="AA15" s="6"/>
      <c r="AB15" s="6"/>
      <c r="AC15" s="16"/>
      <c r="AD15" s="6"/>
      <c r="AE15" s="6"/>
      <c r="AF15" s="6"/>
      <c r="AG15" s="6"/>
      <c r="AH15" s="21"/>
      <c r="AI15" s="33"/>
      <c r="AJ15" s="27"/>
      <c r="AL15" s="13">
        <f t="shared" si="0"/>
        <v>0.47605247599999995</v>
      </c>
      <c r="AM15" s="13"/>
      <c r="AN15" s="13"/>
      <c r="AO15" s="13"/>
      <c r="AP15" s="13"/>
      <c r="AQ15" s="13"/>
      <c r="AR15" s="19">
        <v>1.5</v>
      </c>
    </row>
    <row r="16" spans="2:44" x14ac:dyDescent="0.2">
      <c r="B16">
        <v>212231</v>
      </c>
      <c r="C16" t="s">
        <v>22</v>
      </c>
      <c r="D16">
        <v>44</v>
      </c>
      <c r="E16">
        <v>2800</v>
      </c>
      <c r="F16">
        <v>31</v>
      </c>
      <c r="G16" s="3">
        <v>2127</v>
      </c>
      <c r="H16">
        <v>22</v>
      </c>
      <c r="I16" s="3">
        <v>1442</v>
      </c>
      <c r="J16" s="3"/>
      <c r="K16" s="3">
        <v>461747</v>
      </c>
      <c r="L16" s="3">
        <v>437091</v>
      </c>
      <c r="M16" s="23">
        <f t="shared" si="2"/>
        <v>449419</v>
      </c>
      <c r="N16" s="3"/>
      <c r="O16" s="6"/>
      <c r="P16" s="6"/>
      <c r="Q16" s="16">
        <f t="shared" si="1"/>
        <v>0</v>
      </c>
      <c r="R16" s="6">
        <v>88.3</v>
      </c>
      <c r="S16" s="14">
        <v>65</v>
      </c>
      <c r="T16" s="14">
        <v>45</v>
      </c>
      <c r="U16" s="16">
        <f>(S16+T16)/2</f>
        <v>55</v>
      </c>
      <c r="V16" s="6"/>
      <c r="W16" s="6"/>
      <c r="X16" s="6"/>
      <c r="Y16" s="6">
        <f>(W16+X16)/2</f>
        <v>0</v>
      </c>
      <c r="Z16" s="6"/>
      <c r="AA16" s="6"/>
      <c r="AB16" s="6"/>
      <c r="AC16" s="16"/>
      <c r="AD16" s="6"/>
      <c r="AE16" s="6"/>
      <c r="AF16" s="6"/>
      <c r="AG16" s="6"/>
      <c r="AH16" s="21"/>
      <c r="AI16" s="33"/>
      <c r="AJ16" s="27"/>
      <c r="AL16" s="13">
        <f t="shared" si="0"/>
        <v>1.5334176279999998</v>
      </c>
      <c r="AM16" s="13"/>
      <c r="AN16" s="13">
        <f>U16*AN$2</f>
        <v>0.32037499999999997</v>
      </c>
      <c r="AO16" s="13">
        <f>Y16*AO$2</f>
        <v>0</v>
      </c>
      <c r="AP16" s="13"/>
      <c r="AQ16" s="13"/>
      <c r="AR16" s="19">
        <v>1.5</v>
      </c>
    </row>
    <row r="17" spans="1:44" x14ac:dyDescent="0.2">
      <c r="B17">
        <v>212234</v>
      </c>
      <c r="C17" t="s">
        <v>17</v>
      </c>
      <c r="D17">
        <v>62</v>
      </c>
      <c r="E17" s="3">
        <v>14900</v>
      </c>
      <c r="F17">
        <v>49</v>
      </c>
      <c r="G17" s="3">
        <v>13745</v>
      </c>
      <c r="H17">
        <v>33</v>
      </c>
      <c r="I17" s="3">
        <v>7288</v>
      </c>
      <c r="J17" s="3"/>
      <c r="K17" s="3">
        <v>7779128</v>
      </c>
      <c r="L17" s="3">
        <v>4775100</v>
      </c>
      <c r="M17" s="23">
        <f t="shared" si="2"/>
        <v>6277114</v>
      </c>
      <c r="N17" s="3"/>
      <c r="O17" s="6"/>
      <c r="P17" s="6"/>
      <c r="Q17" s="16">
        <f t="shared" si="1"/>
        <v>0</v>
      </c>
      <c r="R17" s="6">
        <v>1501.4</v>
      </c>
      <c r="S17" s="6">
        <v>3057.9</v>
      </c>
      <c r="T17" s="6">
        <f>$I17/$G17*S17</f>
        <v>1621.3877919243359</v>
      </c>
      <c r="U17" s="16">
        <f>(S17+T17)/2</f>
        <v>2339.6438959621682</v>
      </c>
      <c r="V17" s="6"/>
      <c r="W17" s="6"/>
      <c r="X17" s="6"/>
      <c r="Y17" s="6">
        <f>(W17+X17)/2</f>
        <v>0</v>
      </c>
      <c r="Z17" s="6">
        <v>2.4</v>
      </c>
      <c r="AA17" s="6">
        <v>1.8</v>
      </c>
      <c r="AB17" s="6">
        <f>$I17/$G17*AA17</f>
        <v>0.95441251364132407</v>
      </c>
      <c r="AC17" s="16">
        <f>(AA17+AB17)/2</f>
        <v>1.377206256820662</v>
      </c>
      <c r="AD17" s="6"/>
      <c r="AE17" s="6">
        <v>3.1</v>
      </c>
      <c r="AF17" s="6">
        <v>1.7</v>
      </c>
      <c r="AG17" s="6">
        <f t="shared" ref="AG17:AG29" si="3">(AE17+AF17)/2</f>
        <v>2.4</v>
      </c>
      <c r="AH17" s="21">
        <v>0.05</v>
      </c>
      <c r="AI17" s="33"/>
      <c r="AJ17" s="27"/>
      <c r="AL17" s="13">
        <f t="shared" si="0"/>
        <v>21.417512967999997</v>
      </c>
      <c r="AM17" s="13">
        <f t="shared" ref="AM17:AM32" si="4">Q17*AM$2</f>
        <v>0</v>
      </c>
      <c r="AN17" s="13">
        <f t="shared" ref="AN17:AN32" si="5">U17*AN$2</f>
        <v>13.628425693979629</v>
      </c>
      <c r="AO17" s="13">
        <f t="shared" ref="AO17:AO32" si="6">Y17*AO$2</f>
        <v>0</v>
      </c>
      <c r="AP17" s="13">
        <f t="shared" ref="AP17:AP32" si="7">AC17*AP$2</f>
        <v>1.4157680320116406</v>
      </c>
      <c r="AQ17" s="13">
        <f t="shared" ref="AQ17:AQ32" si="8">AG17*AQ$2</f>
        <v>0.30017142857142859</v>
      </c>
      <c r="AR17" s="20">
        <f>SUM(AM17:AQ17)*1.3</f>
        <v>19.947674700931508</v>
      </c>
    </row>
    <row r="18" spans="1:44" x14ac:dyDescent="0.2">
      <c r="B18">
        <v>212291</v>
      </c>
      <c r="C18" t="s">
        <v>23</v>
      </c>
      <c r="F18">
        <v>29</v>
      </c>
      <c r="G18" s="3">
        <v>695</v>
      </c>
      <c r="H18">
        <v>17</v>
      </c>
      <c r="I18" s="3">
        <v>329</v>
      </c>
      <c r="J18" s="3"/>
      <c r="K18" s="3">
        <v>99045</v>
      </c>
      <c r="L18" s="3">
        <v>123476</v>
      </c>
      <c r="M18" s="23">
        <f t="shared" si="2"/>
        <v>111260.5</v>
      </c>
      <c r="N18" s="3"/>
      <c r="O18" s="6"/>
      <c r="P18" s="6"/>
      <c r="Q18" s="16">
        <f t="shared" si="1"/>
        <v>0</v>
      </c>
      <c r="R18" s="6"/>
      <c r="S18" s="6">
        <v>1.5</v>
      </c>
      <c r="T18" s="6">
        <f>$I18/$G18*S18</f>
        <v>0.7100719424460431</v>
      </c>
      <c r="U18" s="16">
        <f>(S18+T18)/2</f>
        <v>1.1050359712230216</v>
      </c>
      <c r="V18" s="6"/>
      <c r="W18" s="6"/>
      <c r="X18" s="6"/>
      <c r="Y18" s="6">
        <f>(W18+X18)/2</f>
        <v>0</v>
      </c>
      <c r="Z18" s="6"/>
      <c r="AA18" s="6">
        <v>0.3</v>
      </c>
      <c r="AB18" s="6">
        <f>$I18/$G18*AA18</f>
        <v>0.14201438848920861</v>
      </c>
      <c r="AC18" s="16">
        <f>(AA18+AB18)/2</f>
        <v>0.2210071942446043</v>
      </c>
      <c r="AD18" s="6"/>
      <c r="AE18" s="6">
        <v>0.1</v>
      </c>
      <c r="AF18" s="6">
        <f>$I18/$G18*AE18</f>
        <v>4.7338129496402877E-2</v>
      </c>
      <c r="AG18" s="6">
        <f t="shared" si="3"/>
        <v>7.3669064748201438E-2</v>
      </c>
      <c r="AH18" s="21">
        <v>0.3</v>
      </c>
      <c r="AI18" s="33"/>
      <c r="AJ18" s="27"/>
      <c r="AL18" s="13">
        <f t="shared" si="0"/>
        <v>0.37962082599999997</v>
      </c>
      <c r="AM18" s="13">
        <f t="shared" si="4"/>
        <v>0</v>
      </c>
      <c r="AN18" s="13">
        <f t="shared" si="5"/>
        <v>6.4368345323741003E-3</v>
      </c>
      <c r="AO18" s="13">
        <f t="shared" si="6"/>
        <v>0</v>
      </c>
      <c r="AP18" s="13">
        <f t="shared" si="7"/>
        <v>0.22719539568345323</v>
      </c>
      <c r="AQ18" s="13">
        <f t="shared" si="8"/>
        <v>9.2138951695786234E-3</v>
      </c>
      <c r="AR18" s="13">
        <f t="shared" ref="AR18:AR32" si="9">SUM(AM18:AQ18)*(1+AH18)</f>
        <v>0.31569996300102776</v>
      </c>
    </row>
    <row r="19" spans="1:44" x14ac:dyDescent="0.2">
      <c r="B19">
        <v>212299</v>
      </c>
      <c r="C19" t="s">
        <v>31</v>
      </c>
      <c r="F19">
        <v>35</v>
      </c>
      <c r="G19" s="3">
        <v>2688</v>
      </c>
      <c r="H19">
        <v>37</v>
      </c>
      <c r="I19" s="3">
        <v>2932</v>
      </c>
      <c r="J19" s="3"/>
      <c r="K19" s="3">
        <v>819210</v>
      </c>
      <c r="L19" s="3">
        <v>805199</v>
      </c>
      <c r="M19" s="23">
        <f t="shared" si="2"/>
        <v>812204.5</v>
      </c>
      <c r="N19" s="3"/>
      <c r="O19" s="6"/>
      <c r="P19" s="6"/>
      <c r="Q19" s="16">
        <f t="shared" si="1"/>
        <v>0</v>
      </c>
      <c r="R19" s="6"/>
      <c r="S19" s="6">
        <v>123</v>
      </c>
      <c r="T19" s="6">
        <f>$I19/$G19*S19</f>
        <v>134.16517857142858</v>
      </c>
      <c r="U19" s="16">
        <f>(S19+T19)/2</f>
        <v>128.58258928571428</v>
      </c>
      <c r="V19" s="6"/>
      <c r="W19" s="6">
        <v>171.2</v>
      </c>
      <c r="X19" s="6">
        <v>83.3</v>
      </c>
      <c r="Y19" s="6">
        <f>(W19+X19)/2</f>
        <v>127.25</v>
      </c>
      <c r="Z19" s="6"/>
      <c r="AA19" s="6">
        <v>0.5</v>
      </c>
      <c r="AB19" s="6">
        <v>0.5</v>
      </c>
      <c r="AC19" s="16">
        <f>(AA19+AB19)/2</f>
        <v>0.5</v>
      </c>
      <c r="AD19" s="6"/>
      <c r="AE19" s="6">
        <v>0.4</v>
      </c>
      <c r="AF19" s="6">
        <f>$I19/$G19*AE19</f>
        <v>0.43630952380952381</v>
      </c>
      <c r="AG19" s="6">
        <f t="shared" si="3"/>
        <v>0.41815476190476192</v>
      </c>
      <c r="AH19" s="21">
        <v>0.1</v>
      </c>
      <c r="AI19" s="33"/>
      <c r="AJ19" s="27"/>
      <c r="AL19" s="13">
        <f t="shared" si="0"/>
        <v>2.7712417539999996</v>
      </c>
      <c r="AM19" s="13">
        <f t="shared" si="4"/>
        <v>0</v>
      </c>
      <c r="AN19" s="13">
        <f t="shared" si="5"/>
        <v>0.74899358258928561</v>
      </c>
      <c r="AO19" s="13">
        <f t="shared" si="6"/>
        <v>0.80002075000000006</v>
      </c>
      <c r="AP19" s="13">
        <f t="shared" si="7"/>
        <v>0.51400000000000001</v>
      </c>
      <c r="AQ19" s="13">
        <f t="shared" si="8"/>
        <v>5.2299213435374158E-2</v>
      </c>
      <c r="AR19" s="13">
        <f t="shared" si="9"/>
        <v>2.3268449006271266</v>
      </c>
    </row>
    <row r="20" spans="1:44" x14ac:dyDescent="0.2">
      <c r="G20" s="3"/>
      <c r="I20" s="3"/>
      <c r="J20" s="3"/>
      <c r="K20" s="3"/>
      <c r="L20" s="3"/>
      <c r="M20" s="23"/>
      <c r="N20" s="3"/>
      <c r="O20" s="6"/>
      <c r="P20" s="6"/>
      <c r="Q20" s="16">
        <f t="shared" si="1"/>
        <v>0</v>
      </c>
      <c r="R20" s="6"/>
      <c r="S20" s="6"/>
      <c r="T20" s="6"/>
      <c r="U20" s="16"/>
      <c r="V20" s="6"/>
      <c r="W20" s="6"/>
      <c r="X20" s="6"/>
      <c r="Y20" s="6"/>
      <c r="Z20" s="6"/>
      <c r="AA20" s="6"/>
      <c r="AB20" s="6"/>
      <c r="AC20" s="16"/>
      <c r="AD20" s="6"/>
      <c r="AE20" s="6"/>
      <c r="AF20" s="6"/>
      <c r="AG20" s="6"/>
      <c r="AH20" s="21"/>
      <c r="AI20" s="33"/>
      <c r="AJ20" s="27"/>
      <c r="AL20" s="13"/>
      <c r="AM20" s="13"/>
      <c r="AN20" s="13"/>
      <c r="AO20" s="13"/>
      <c r="AP20" s="13"/>
      <c r="AQ20" s="13"/>
      <c r="AR20" s="13"/>
    </row>
    <row r="21" spans="1:44" x14ac:dyDescent="0.2">
      <c r="B21">
        <v>212311</v>
      </c>
      <c r="C21" t="s">
        <v>25</v>
      </c>
      <c r="D21">
        <v>166</v>
      </c>
      <c r="E21">
        <v>400</v>
      </c>
      <c r="F21">
        <v>178</v>
      </c>
      <c r="G21" s="3">
        <v>1658</v>
      </c>
      <c r="H21">
        <v>177</v>
      </c>
      <c r="I21" s="3">
        <v>2675</v>
      </c>
      <c r="J21" s="3">
        <v>43000</v>
      </c>
      <c r="K21" s="3">
        <v>76335</v>
      </c>
      <c r="L21" s="30">
        <v>150868</v>
      </c>
      <c r="M21" s="23">
        <f t="shared" ref="M21:M30" si="10">(K21+L21)/2</f>
        <v>113601.5</v>
      </c>
      <c r="N21" s="3"/>
      <c r="O21" s="6"/>
      <c r="P21" s="6"/>
      <c r="Q21" s="16"/>
      <c r="R21" s="6"/>
      <c r="S21" s="6">
        <v>27.5</v>
      </c>
      <c r="T21" s="6">
        <f>$I21/$G21*S21</f>
        <v>44.368214716525934</v>
      </c>
      <c r="U21" s="16">
        <f t="shared" ref="U21:U27" si="11">(S21+T21)/2</f>
        <v>35.934107358262963</v>
      </c>
      <c r="V21" s="6"/>
      <c r="W21" s="6">
        <v>6</v>
      </c>
      <c r="X21" s="6">
        <f>$I21/$G21*W21</f>
        <v>9.680337756332932</v>
      </c>
      <c r="Y21" s="6">
        <f t="shared" ref="Y21:Y26" si="12">(W21+X21)/2</f>
        <v>7.840168878166466</v>
      </c>
      <c r="Z21" s="6"/>
      <c r="AA21" s="6"/>
      <c r="AB21" s="6"/>
      <c r="AC21" s="16"/>
      <c r="AD21" s="6"/>
      <c r="AE21" s="6">
        <v>0.3</v>
      </c>
      <c r="AF21" s="6">
        <v>1</v>
      </c>
      <c r="AG21" s="6">
        <f t="shared" si="3"/>
        <v>0.65</v>
      </c>
      <c r="AH21" s="21">
        <v>0.4</v>
      </c>
      <c r="AI21" s="33"/>
      <c r="AJ21" s="27"/>
      <c r="AL21" s="13">
        <f t="shared" si="0"/>
        <v>0.38760831799999995</v>
      </c>
      <c r="AM21" s="13">
        <f t="shared" si="4"/>
        <v>0</v>
      </c>
      <c r="AN21" s="13">
        <f t="shared" si="5"/>
        <v>0.20931617536188174</v>
      </c>
      <c r="AO21" s="13">
        <f t="shared" si="6"/>
        <v>4.9291141737032571E-2</v>
      </c>
      <c r="AP21" s="13">
        <f t="shared" si="7"/>
        <v>0</v>
      </c>
      <c r="AQ21" s="13">
        <f t="shared" si="8"/>
        <v>8.1296428571428575E-2</v>
      </c>
      <c r="AR21" s="13">
        <f t="shared" si="9"/>
        <v>0.47586524393848001</v>
      </c>
    </row>
    <row r="22" spans="1:44" x14ac:dyDescent="0.2">
      <c r="B22">
        <v>212312</v>
      </c>
      <c r="C22" t="s">
        <v>26</v>
      </c>
      <c r="D22">
        <v>1432</v>
      </c>
      <c r="E22">
        <v>27700</v>
      </c>
      <c r="F22">
        <v>1435</v>
      </c>
      <c r="G22" s="3">
        <v>27563</v>
      </c>
      <c r="H22">
        <v>1518</v>
      </c>
      <c r="I22" s="3">
        <v>28945</v>
      </c>
      <c r="J22" s="3">
        <v>2332800</v>
      </c>
      <c r="K22" s="3">
        <v>3156910</v>
      </c>
      <c r="L22" s="30">
        <v>3554863</v>
      </c>
      <c r="M22" s="23">
        <f t="shared" si="10"/>
        <v>3355886.5</v>
      </c>
      <c r="N22" s="3"/>
      <c r="O22" s="6">
        <v>43</v>
      </c>
      <c r="P22" s="6">
        <f>$I22/$G22*O22</f>
        <v>45.15600624024961</v>
      </c>
      <c r="Q22" s="16">
        <f>(O22+P22)/2</f>
        <v>44.078003120124805</v>
      </c>
      <c r="R22" s="6"/>
      <c r="S22" s="6">
        <v>2312.4</v>
      </c>
      <c r="T22" s="6">
        <f>$I22/$G22*S22</f>
        <v>2428.3429960454232</v>
      </c>
      <c r="U22" s="16">
        <f t="shared" si="11"/>
        <v>2370.3714980227114</v>
      </c>
      <c r="V22" s="6"/>
      <c r="W22" s="6">
        <v>240.4</v>
      </c>
      <c r="X22" s="6">
        <v>308.39999999999998</v>
      </c>
      <c r="Y22" s="6">
        <f t="shared" si="12"/>
        <v>274.39999999999998</v>
      </c>
      <c r="Z22" s="6"/>
      <c r="AA22" s="6">
        <v>2.2999999999999998</v>
      </c>
      <c r="AB22" s="6">
        <f>$I22/$G22*AA22</f>
        <v>2.4153212640133512</v>
      </c>
      <c r="AC22" s="16">
        <f>(AA22+AB22)/2</f>
        <v>2.3576606320066755</v>
      </c>
      <c r="AD22" s="6"/>
      <c r="AE22" s="6">
        <v>11.3</v>
      </c>
      <c r="AF22" s="6">
        <f>$I22/$G22*AE22</f>
        <v>11.866578384065596</v>
      </c>
      <c r="AG22" s="6">
        <f t="shared" si="3"/>
        <v>11.583289192032797</v>
      </c>
      <c r="AH22" s="21">
        <f>AJ22/AI22-1</f>
        <v>0.55868097554280216</v>
      </c>
      <c r="AI22" s="33">
        <f>1569+82924+8807+7887+12384+3000</f>
        <v>116571</v>
      </c>
      <c r="AJ22" s="27">
        <v>181697</v>
      </c>
      <c r="AL22" s="13">
        <f t="shared" si="0"/>
        <v>11.450284737999999</v>
      </c>
      <c r="AM22" s="13">
        <f t="shared" si="4"/>
        <v>0.91426594071762868</v>
      </c>
      <c r="AN22" s="13">
        <f t="shared" si="5"/>
        <v>13.807413975982293</v>
      </c>
      <c r="AO22" s="13">
        <f t="shared" si="6"/>
        <v>1.7251527999999998</v>
      </c>
      <c r="AP22" s="13">
        <f t="shared" si="7"/>
        <v>2.4236751297028625</v>
      </c>
      <c r="AQ22" s="13">
        <f t="shared" si="8"/>
        <v>1.4487385268035307</v>
      </c>
      <c r="AR22" s="13">
        <f t="shared" si="9"/>
        <v>31.671222759283758</v>
      </c>
    </row>
    <row r="23" spans="1:44" x14ac:dyDescent="0.2">
      <c r="B23">
        <v>212313</v>
      </c>
      <c r="C23" t="s">
        <v>29</v>
      </c>
      <c r="D23">
        <v>264</v>
      </c>
      <c r="E23">
        <v>6100</v>
      </c>
      <c r="F23">
        <v>290</v>
      </c>
      <c r="G23" s="3">
        <v>6812</v>
      </c>
      <c r="H23">
        <v>321</v>
      </c>
      <c r="I23" s="3">
        <v>7400</v>
      </c>
      <c r="J23" s="3">
        <v>580000</v>
      </c>
      <c r="K23" s="3">
        <v>748736</v>
      </c>
      <c r="L23" s="30">
        <v>787309</v>
      </c>
      <c r="M23" s="23">
        <f t="shared" si="10"/>
        <v>768022.5</v>
      </c>
      <c r="N23" s="3"/>
      <c r="O23" s="6"/>
      <c r="P23" s="6"/>
      <c r="Q23" s="16">
        <f>(O23+P23)/2</f>
        <v>0</v>
      </c>
      <c r="R23" s="6"/>
      <c r="S23" s="6">
        <v>692.7</v>
      </c>
      <c r="T23" s="6">
        <f>$I23/$G23*S23</f>
        <v>752.49266001174396</v>
      </c>
      <c r="U23" s="16">
        <f t="shared" si="11"/>
        <v>722.59633000587201</v>
      </c>
      <c r="V23" s="6"/>
      <c r="W23" s="6">
        <v>170.9</v>
      </c>
      <c r="X23" s="6">
        <v>50.4</v>
      </c>
      <c r="Y23" s="6">
        <f t="shared" si="12"/>
        <v>110.65</v>
      </c>
      <c r="Z23" s="6"/>
      <c r="AA23" s="6"/>
      <c r="AB23" s="6"/>
      <c r="AC23" s="16"/>
      <c r="AD23" s="6"/>
      <c r="AE23" s="6">
        <v>1.9</v>
      </c>
      <c r="AF23" s="6">
        <f>$I23/$G23*AE23</f>
        <v>2.0640046975924835</v>
      </c>
      <c r="AG23" s="6">
        <f t="shared" si="3"/>
        <v>1.9820023487962417</v>
      </c>
      <c r="AH23" s="21">
        <v>0.3</v>
      </c>
      <c r="AI23" s="33"/>
      <c r="AJ23" s="27"/>
      <c r="AL23" s="13">
        <f t="shared" si="0"/>
        <v>2.6204927699999998</v>
      </c>
      <c r="AM23" s="13">
        <f t="shared" si="4"/>
        <v>0</v>
      </c>
      <c r="AN23" s="13">
        <f t="shared" si="5"/>
        <v>4.2091236222842037</v>
      </c>
      <c r="AO23" s="13">
        <f t="shared" si="6"/>
        <v>0.69565655000000004</v>
      </c>
      <c r="AP23" s="13">
        <f t="shared" si="7"/>
        <v>0</v>
      </c>
      <c r="AQ23" s="13">
        <f t="shared" si="8"/>
        <v>0.24789186519587283</v>
      </c>
      <c r="AR23" s="13">
        <f t="shared" si="9"/>
        <v>6.6984736487241001</v>
      </c>
    </row>
    <row r="24" spans="1:44" x14ac:dyDescent="0.2">
      <c r="B24">
        <v>212319</v>
      </c>
      <c r="C24" t="s">
        <v>66</v>
      </c>
      <c r="G24" s="3"/>
      <c r="I24" s="3"/>
      <c r="J24" s="3"/>
      <c r="K24" s="3">
        <v>722241</v>
      </c>
      <c r="L24" s="30">
        <v>635039</v>
      </c>
      <c r="M24" s="23">
        <f t="shared" si="10"/>
        <v>678640</v>
      </c>
      <c r="N24" s="3"/>
      <c r="O24" s="6"/>
      <c r="P24" s="6"/>
      <c r="Q24" s="16"/>
      <c r="R24" s="6"/>
      <c r="S24" s="8">
        <v>468.4</v>
      </c>
      <c r="T24" s="8">
        <v>491.3</v>
      </c>
      <c r="U24" s="16">
        <f t="shared" si="11"/>
        <v>479.85</v>
      </c>
      <c r="V24" s="6"/>
      <c r="W24" s="8">
        <v>60.3</v>
      </c>
      <c r="X24" s="14">
        <v>75</v>
      </c>
      <c r="Y24" s="8">
        <f t="shared" si="12"/>
        <v>67.650000000000006</v>
      </c>
      <c r="Z24" s="6"/>
      <c r="AA24" s="6">
        <v>1.8</v>
      </c>
      <c r="AB24" s="14">
        <v>2</v>
      </c>
      <c r="AC24" s="16">
        <f t="shared" ref="AC24:AC30" si="13">(AA24+AB24)/2</f>
        <v>1.9</v>
      </c>
      <c r="AD24" s="6"/>
      <c r="AE24" s="8">
        <v>1.5</v>
      </c>
      <c r="AF24" s="14">
        <v>1.8</v>
      </c>
      <c r="AG24" s="6">
        <f t="shared" si="3"/>
        <v>1.65</v>
      </c>
      <c r="AH24" s="21">
        <f>AJ24/AI24-1</f>
        <v>0.55036870588979969</v>
      </c>
      <c r="AI24" s="33">
        <f>AJ24-17390</f>
        <v>31597</v>
      </c>
      <c r="AJ24" s="27">
        <v>48987</v>
      </c>
      <c r="AL24" s="13">
        <f t="shared" si="0"/>
        <v>2.31551968</v>
      </c>
      <c r="AM24" s="13">
        <f>Q24*AM$2</f>
        <v>0</v>
      </c>
      <c r="AN24" s="13">
        <f>U24*AN$2</f>
        <v>2.79512625</v>
      </c>
      <c r="AO24" s="13">
        <f>Y24*AO$2</f>
        <v>0.42531555000000004</v>
      </c>
      <c r="AP24" s="13">
        <f>AC24*AP$2</f>
        <v>1.9532</v>
      </c>
      <c r="AQ24" s="13">
        <f>AG24*AQ$2</f>
        <v>0.20636785714285716</v>
      </c>
      <c r="AR24" s="13">
        <f t="shared" si="9"/>
        <v>8.3409986098191968</v>
      </c>
    </row>
    <row r="25" spans="1:44" x14ac:dyDescent="0.2">
      <c r="B25">
        <v>212321</v>
      </c>
      <c r="C25" t="s">
        <v>68</v>
      </c>
      <c r="G25" s="3"/>
      <c r="I25" s="3"/>
      <c r="J25" s="3"/>
      <c r="K25" s="3">
        <v>2525053</v>
      </c>
      <c r="L25" s="30">
        <v>2682961</v>
      </c>
      <c r="M25" s="23">
        <f t="shared" si="10"/>
        <v>2604007</v>
      </c>
      <c r="N25" s="3"/>
      <c r="O25" s="6"/>
      <c r="P25" s="6"/>
      <c r="Q25" s="16"/>
      <c r="R25" s="6"/>
      <c r="S25" s="8">
        <v>1403.8</v>
      </c>
      <c r="T25" s="8">
        <v>1068.7</v>
      </c>
      <c r="U25" s="16">
        <f t="shared" si="11"/>
        <v>1236.25</v>
      </c>
      <c r="V25" s="6"/>
      <c r="W25" s="8">
        <v>315.10000000000002</v>
      </c>
      <c r="X25" s="14">
        <v>250</v>
      </c>
      <c r="Y25" s="8">
        <f t="shared" si="12"/>
        <v>282.55</v>
      </c>
      <c r="Z25" s="6"/>
      <c r="AA25" s="6">
        <v>1.4</v>
      </c>
      <c r="AB25" s="14">
        <v>1</v>
      </c>
      <c r="AC25" s="16">
        <f t="shared" si="13"/>
        <v>1.2</v>
      </c>
      <c r="AD25" s="6"/>
      <c r="AE25" s="8">
        <v>5.7</v>
      </c>
      <c r="AF25" s="8">
        <v>6.1</v>
      </c>
      <c r="AG25" s="6">
        <f t="shared" si="3"/>
        <v>5.9</v>
      </c>
      <c r="AH25" s="21">
        <f>AJ25/AI25-1</f>
        <v>1.3004025106796417</v>
      </c>
      <c r="AI25" s="33">
        <f>AJ25-84322</f>
        <v>64843</v>
      </c>
      <c r="AJ25" s="27">
        <v>149165</v>
      </c>
      <c r="AL25" s="13">
        <f t="shared" si="0"/>
        <v>8.8848718839999989</v>
      </c>
      <c r="AM25" s="13">
        <f>Q25*AM$2</f>
        <v>0</v>
      </c>
      <c r="AN25" s="13">
        <f>U25*AN$2</f>
        <v>7.2011562499999995</v>
      </c>
      <c r="AO25" s="13">
        <f>Y25*AO$2</f>
        <v>1.77639185</v>
      </c>
      <c r="AP25" s="13">
        <f>AC25*AP$2</f>
        <v>1.2336</v>
      </c>
      <c r="AQ25" s="13">
        <f>AG25*AQ$2</f>
        <v>0.73792142857142873</v>
      </c>
      <c r="AR25" s="13">
        <f t="shared" si="9"/>
        <v>25.187267033131675</v>
      </c>
    </row>
    <row r="26" spans="1:44" x14ac:dyDescent="0.2">
      <c r="B26">
        <v>212322</v>
      </c>
      <c r="C26" t="s">
        <v>69</v>
      </c>
      <c r="G26" s="3"/>
      <c r="I26" s="3"/>
      <c r="J26" s="3"/>
      <c r="K26" s="3">
        <v>560091</v>
      </c>
      <c r="L26" s="30">
        <v>628958</v>
      </c>
      <c r="M26" s="23">
        <f t="shared" si="10"/>
        <v>594524.5</v>
      </c>
      <c r="N26" s="3"/>
      <c r="O26" s="6"/>
      <c r="P26" s="6"/>
      <c r="Q26" s="16"/>
      <c r="R26" s="6"/>
      <c r="S26" s="8">
        <v>83.5</v>
      </c>
      <c r="T26" s="8">
        <v>134.4</v>
      </c>
      <c r="U26" s="16">
        <f t="shared" si="11"/>
        <v>108.95</v>
      </c>
      <c r="V26" s="6"/>
      <c r="W26" s="8">
        <v>33.299999999999997</v>
      </c>
      <c r="X26" s="14">
        <v>50</v>
      </c>
      <c r="Y26" s="8">
        <f t="shared" si="12"/>
        <v>41.65</v>
      </c>
      <c r="Z26" s="6"/>
      <c r="AA26" s="8">
        <v>6.4</v>
      </c>
      <c r="AB26" s="8">
        <v>5.2</v>
      </c>
      <c r="AC26" s="16">
        <f t="shared" si="13"/>
        <v>5.8000000000000007</v>
      </c>
      <c r="AD26" s="6"/>
      <c r="AE26" s="8"/>
      <c r="AF26" s="8"/>
      <c r="AG26" s="6">
        <f t="shared" si="3"/>
        <v>0</v>
      </c>
      <c r="AH26" s="21">
        <v>0.15</v>
      </c>
      <c r="AI26" s="33"/>
      <c r="AJ26" s="27"/>
      <c r="AL26" s="13">
        <f>M26*AL$2</f>
        <v>2.0285175939999998</v>
      </c>
      <c r="AM26" s="13">
        <f>Q26*AM$2</f>
        <v>0</v>
      </c>
      <c r="AN26" s="13">
        <f>U26*AN$2</f>
        <v>0.63463375</v>
      </c>
      <c r="AO26" s="13">
        <f>Y26*AO$2</f>
        <v>0.26185354999999999</v>
      </c>
      <c r="AP26" s="13">
        <f>AC26*AP$2</f>
        <v>5.9624000000000006</v>
      </c>
      <c r="AQ26" s="13">
        <f>AG26*AQ$2</f>
        <v>0</v>
      </c>
      <c r="AR26" s="13">
        <f t="shared" si="9"/>
        <v>7.8877203950000006</v>
      </c>
    </row>
    <row r="27" spans="1:44" x14ac:dyDescent="0.2">
      <c r="B27">
        <v>212324</v>
      </c>
      <c r="C27" t="s">
        <v>30</v>
      </c>
      <c r="F27">
        <v>35</v>
      </c>
      <c r="G27" s="3">
        <v>3630</v>
      </c>
      <c r="H27">
        <v>33</v>
      </c>
      <c r="I27" s="3">
        <v>3166</v>
      </c>
      <c r="J27" s="3"/>
      <c r="K27" s="3">
        <v>1112667</v>
      </c>
      <c r="L27" s="3">
        <v>1002681</v>
      </c>
      <c r="M27" s="23">
        <f t="shared" si="10"/>
        <v>1057674</v>
      </c>
      <c r="N27" s="3"/>
      <c r="O27" s="6"/>
      <c r="P27" s="6"/>
      <c r="Q27" s="16">
        <f>(O27+P27)/2</f>
        <v>0</v>
      </c>
      <c r="R27" s="6"/>
      <c r="S27" s="6">
        <v>47.8</v>
      </c>
      <c r="T27" s="6">
        <f>$I27/$G27*S27</f>
        <v>41.690027548209365</v>
      </c>
      <c r="U27" s="16">
        <f t="shared" si="11"/>
        <v>44.745013774104677</v>
      </c>
      <c r="V27" s="6"/>
      <c r="W27" s="6"/>
      <c r="X27" s="6"/>
      <c r="Y27" s="6"/>
      <c r="Z27" s="6"/>
      <c r="AA27" s="6">
        <v>14</v>
      </c>
      <c r="AB27" s="6">
        <f>$I27/$G27*AA27</f>
        <v>12.210468319559228</v>
      </c>
      <c r="AC27" s="16">
        <f t="shared" si="13"/>
        <v>13.105234159779613</v>
      </c>
      <c r="AD27" s="6"/>
      <c r="AE27" s="6">
        <v>0.7</v>
      </c>
      <c r="AF27" s="6">
        <v>0.3</v>
      </c>
      <c r="AG27" s="6">
        <f t="shared" si="3"/>
        <v>0.5</v>
      </c>
      <c r="AH27" s="21">
        <v>0.1</v>
      </c>
      <c r="AI27" s="33"/>
      <c r="AJ27" s="27"/>
      <c r="AL27" s="13">
        <f t="shared" si="0"/>
        <v>3.6087836879999995</v>
      </c>
      <c r="AM27" s="13">
        <f t="shared" si="4"/>
        <v>0</v>
      </c>
      <c r="AN27" s="13">
        <f t="shared" si="5"/>
        <v>0.26063970523415975</v>
      </c>
      <c r="AO27" s="13">
        <f t="shared" si="6"/>
        <v>0</v>
      </c>
      <c r="AP27" s="13">
        <f t="shared" si="7"/>
        <v>13.472180716253442</v>
      </c>
      <c r="AQ27" s="13">
        <f t="shared" si="8"/>
        <v>6.2535714285714292E-2</v>
      </c>
      <c r="AR27" s="13">
        <f t="shared" si="9"/>
        <v>15.17489174935065</v>
      </c>
    </row>
    <row r="28" spans="1:44" x14ac:dyDescent="0.2">
      <c r="B28">
        <v>212391</v>
      </c>
      <c r="C28" t="s">
        <v>21</v>
      </c>
      <c r="F28">
        <v>27</v>
      </c>
      <c r="G28" s="3">
        <v>4805</v>
      </c>
      <c r="H28">
        <v>24</v>
      </c>
      <c r="I28" s="3">
        <v>3444</v>
      </c>
      <c r="J28" s="3"/>
      <c r="K28" s="3">
        <v>1317100</v>
      </c>
      <c r="L28" s="30">
        <f>677693+469698</f>
        <v>1147391</v>
      </c>
      <c r="M28" s="23">
        <f t="shared" si="10"/>
        <v>1232245.5</v>
      </c>
      <c r="N28" s="3">
        <v>1329.1</v>
      </c>
      <c r="O28" s="6">
        <v>1712.2</v>
      </c>
      <c r="P28" s="6">
        <f>$L28/$K28*O28</f>
        <v>1491.5821655151469</v>
      </c>
      <c r="Q28" s="16">
        <f>(O28+P28)/2</f>
        <v>1601.8910827575735</v>
      </c>
      <c r="R28" s="6"/>
      <c r="S28" s="6"/>
      <c r="T28" s="6"/>
      <c r="U28" s="16"/>
      <c r="V28" s="6"/>
      <c r="W28" s="6"/>
      <c r="X28" s="6"/>
      <c r="Y28" s="6"/>
      <c r="Z28" s="6"/>
      <c r="AA28" s="6">
        <v>25.2</v>
      </c>
      <c r="AB28" s="14">
        <v>40</v>
      </c>
      <c r="AC28" s="16">
        <f t="shared" si="13"/>
        <v>32.6</v>
      </c>
      <c r="AD28" s="6"/>
      <c r="AE28" s="6">
        <v>0.3</v>
      </c>
      <c r="AF28" s="6">
        <f>$I28/$G28*AE28</f>
        <v>0.21502601456815815</v>
      </c>
      <c r="AG28" s="6">
        <f t="shared" si="3"/>
        <v>0.25751300728407905</v>
      </c>
      <c r="AH28" s="21">
        <v>0.1</v>
      </c>
      <c r="AI28" s="33">
        <f>AJ28-12564</f>
        <v>98864</v>
      </c>
      <c r="AJ28" s="27">
        <v>111428</v>
      </c>
      <c r="AL28" s="13">
        <f t="shared" si="0"/>
        <v>4.2044216459999992</v>
      </c>
      <c r="AM28" s="13">
        <f t="shared" si="4"/>
        <v>33.226424838557591</v>
      </c>
      <c r="AN28" s="13">
        <f t="shared" si="5"/>
        <v>0</v>
      </c>
      <c r="AO28" s="13">
        <f t="shared" si="6"/>
        <v>0</v>
      </c>
      <c r="AP28" s="13">
        <f t="shared" si="7"/>
        <v>33.512800000000006</v>
      </c>
      <c r="AQ28" s="13">
        <f t="shared" si="8"/>
        <v>3.2207519696744465E-2</v>
      </c>
      <c r="AR28" s="13">
        <f t="shared" si="9"/>
        <v>73.44857559407977</v>
      </c>
    </row>
    <row r="29" spans="1:44" x14ac:dyDescent="0.2">
      <c r="B29">
        <v>212392</v>
      </c>
      <c r="C29" t="s">
        <v>24</v>
      </c>
      <c r="F29">
        <v>20</v>
      </c>
      <c r="G29" s="3">
        <v>3858</v>
      </c>
      <c r="H29">
        <v>15</v>
      </c>
      <c r="I29" s="3">
        <v>3175</v>
      </c>
      <c r="J29" s="3"/>
      <c r="K29" s="3">
        <v>2932558</v>
      </c>
      <c r="L29" s="3">
        <v>2685043</v>
      </c>
      <c r="M29" s="23">
        <f t="shared" si="10"/>
        <v>2808800.5</v>
      </c>
      <c r="N29" s="3"/>
      <c r="O29" s="6"/>
      <c r="P29" s="6"/>
      <c r="Q29" s="16"/>
      <c r="R29" s="6"/>
      <c r="S29" s="6">
        <v>315.10000000000002</v>
      </c>
      <c r="T29" s="6">
        <v>231.3</v>
      </c>
      <c r="U29" s="16">
        <f>(S29+T29)/2</f>
        <v>273.20000000000005</v>
      </c>
      <c r="V29" s="6"/>
      <c r="W29" s="6">
        <v>108.6</v>
      </c>
      <c r="X29" s="6">
        <f>$I29/$G29*W29</f>
        <v>89.374027993779151</v>
      </c>
      <c r="Y29" s="6">
        <f>(W29+X29)/2</f>
        <v>98.987013996889573</v>
      </c>
      <c r="Z29" s="6"/>
      <c r="AA29" s="6">
        <v>0.7</v>
      </c>
      <c r="AB29" s="6">
        <f>$I29/$G29*AA29</f>
        <v>0.57607568688439603</v>
      </c>
      <c r="AC29" s="16">
        <f t="shared" si="13"/>
        <v>0.63803784344219805</v>
      </c>
      <c r="AD29" s="6"/>
      <c r="AE29" s="6">
        <v>1.4</v>
      </c>
      <c r="AF29" s="6">
        <f>$I29/$G29*AE29</f>
        <v>1.1521513737687921</v>
      </c>
      <c r="AG29" s="6">
        <f t="shared" si="3"/>
        <v>1.2760756868843961</v>
      </c>
      <c r="AH29" s="21">
        <v>0.2</v>
      </c>
      <c r="AI29" s="33"/>
      <c r="AJ29" s="27"/>
      <c r="AL29" s="13">
        <f t="shared" si="0"/>
        <v>9.5836273059999986</v>
      </c>
      <c r="AM29" s="13">
        <f t="shared" si="4"/>
        <v>0</v>
      </c>
      <c r="AN29" s="13">
        <f t="shared" si="5"/>
        <v>1.5913900000000001</v>
      </c>
      <c r="AO29" s="13">
        <f t="shared" si="6"/>
        <v>0.62233135699844477</v>
      </c>
      <c r="AP29" s="13">
        <f t="shared" si="7"/>
        <v>0.65590290305857957</v>
      </c>
      <c r="AQ29" s="13">
        <f t="shared" si="8"/>
        <v>0.15960060912389842</v>
      </c>
      <c r="AR29" s="13">
        <f t="shared" si="9"/>
        <v>3.6350698430171073</v>
      </c>
    </row>
    <row r="30" spans="1:44" x14ac:dyDescent="0.2">
      <c r="A30">
        <v>1479</v>
      </c>
      <c r="B30">
        <v>212393</v>
      </c>
      <c r="C30" t="s">
        <v>27</v>
      </c>
      <c r="D30">
        <v>99</v>
      </c>
      <c r="E30">
        <v>4100</v>
      </c>
      <c r="F30">
        <v>45</v>
      </c>
      <c r="G30" s="3">
        <v>2160</v>
      </c>
      <c r="H30">
        <v>47</v>
      </c>
      <c r="I30" s="3">
        <v>1963</v>
      </c>
      <c r="J30" s="3">
        <v>293700</v>
      </c>
      <c r="K30" s="3">
        <v>212685</v>
      </c>
      <c r="L30" s="24">
        <f>I30/G30*K30</f>
        <v>193287.34027777778</v>
      </c>
      <c r="M30" s="23">
        <f t="shared" si="10"/>
        <v>202986.17013888888</v>
      </c>
      <c r="N30" s="3"/>
      <c r="O30" s="6"/>
      <c r="P30" s="6"/>
      <c r="Q30" s="16"/>
      <c r="R30" s="6"/>
      <c r="S30" s="14">
        <v>50</v>
      </c>
      <c r="T30" s="6">
        <v>56.2</v>
      </c>
      <c r="U30" s="16">
        <f>(S30+T30)/2</f>
        <v>53.1</v>
      </c>
      <c r="V30" s="6"/>
      <c r="W30" s="6"/>
      <c r="X30" s="6"/>
      <c r="Y30" s="6"/>
      <c r="Z30" s="6"/>
      <c r="AA30" s="14">
        <v>0.4</v>
      </c>
      <c r="AB30" s="6">
        <v>0.4</v>
      </c>
      <c r="AC30" s="16">
        <f t="shared" si="13"/>
        <v>0.4</v>
      </c>
      <c r="AD30" s="6"/>
      <c r="AE30" s="6"/>
      <c r="AF30" s="6"/>
      <c r="AG30" s="6"/>
      <c r="AH30" s="21">
        <v>0.4</v>
      </c>
      <c r="AI30" s="33"/>
      <c r="AJ30" s="27"/>
      <c r="AL30" s="13">
        <f t="shared" si="0"/>
        <v>0.69258881251388882</v>
      </c>
      <c r="AM30" s="13">
        <f t="shared" si="4"/>
        <v>0</v>
      </c>
      <c r="AN30" s="13">
        <f t="shared" si="5"/>
        <v>0.30930749999999996</v>
      </c>
      <c r="AO30" s="13">
        <f t="shared" si="6"/>
        <v>0</v>
      </c>
      <c r="AP30" s="13">
        <f t="shared" si="7"/>
        <v>0.41120000000000001</v>
      </c>
      <c r="AQ30" s="13">
        <f t="shared" si="8"/>
        <v>0</v>
      </c>
      <c r="AR30" s="13">
        <f t="shared" si="9"/>
        <v>1.0087104999999998</v>
      </c>
    </row>
    <row r="31" spans="1:44" x14ac:dyDescent="0.2">
      <c r="G31" s="3"/>
      <c r="I31" s="3"/>
      <c r="J31" s="3"/>
      <c r="K31" s="3"/>
      <c r="L31" s="3"/>
      <c r="M31" s="23"/>
      <c r="N31" s="3"/>
      <c r="O31" s="6"/>
      <c r="P31" s="6"/>
      <c r="Q31" s="16"/>
      <c r="R31" s="6"/>
      <c r="S31" s="6"/>
      <c r="T31" s="6"/>
      <c r="U31" s="16"/>
      <c r="V31" s="6"/>
      <c r="W31" s="6"/>
      <c r="X31" s="6"/>
      <c r="Y31" s="6"/>
      <c r="Z31" s="6"/>
      <c r="AA31" s="6"/>
      <c r="AB31" s="6"/>
      <c r="AC31" s="16"/>
      <c r="AD31" s="6"/>
      <c r="AE31" s="6"/>
      <c r="AF31" s="6"/>
      <c r="AG31" s="6"/>
      <c r="AH31" s="21"/>
      <c r="AI31" s="33"/>
      <c r="AJ31" s="27"/>
      <c r="AL31" s="13">
        <f t="shared" si="0"/>
        <v>0</v>
      </c>
      <c r="AM31" s="13">
        <f t="shared" si="4"/>
        <v>0</v>
      </c>
      <c r="AN31" s="13">
        <f t="shared" si="5"/>
        <v>0</v>
      </c>
      <c r="AO31" s="13">
        <f t="shared" si="6"/>
        <v>0</v>
      </c>
      <c r="AP31" s="13">
        <f t="shared" si="7"/>
        <v>0</v>
      </c>
      <c r="AQ31" s="13">
        <f t="shared" si="8"/>
        <v>0</v>
      </c>
      <c r="AR31" s="13">
        <f t="shared" si="9"/>
        <v>0</v>
      </c>
    </row>
    <row r="32" spans="1:44" x14ac:dyDescent="0.2">
      <c r="A32">
        <v>1499</v>
      </c>
      <c r="B32">
        <v>212399</v>
      </c>
      <c r="C32" t="s">
        <v>28</v>
      </c>
      <c r="D32">
        <v>281</v>
      </c>
      <c r="E32">
        <v>5500</v>
      </c>
      <c r="F32">
        <v>211</v>
      </c>
      <c r="G32" s="3">
        <v>3960</v>
      </c>
      <c r="H32">
        <v>242</v>
      </c>
      <c r="I32" s="3">
        <v>4005</v>
      </c>
      <c r="J32" s="3">
        <v>463700</v>
      </c>
      <c r="K32" s="3">
        <v>417239</v>
      </c>
      <c r="L32" s="24">
        <f>I32/G32*K32</f>
        <v>421980.35227272729</v>
      </c>
      <c r="M32" s="23">
        <f>(K32+L32)/2</f>
        <v>419609.67613636365</v>
      </c>
      <c r="N32" s="3"/>
      <c r="O32" s="6"/>
      <c r="P32" s="6"/>
      <c r="Q32" s="16"/>
      <c r="R32" s="6"/>
      <c r="S32" s="6">
        <v>174.1</v>
      </c>
      <c r="T32" s="6">
        <f>$I32/$G32*S32</f>
        <v>176.0784090909091</v>
      </c>
      <c r="U32" s="16">
        <f>(S32+T32)/2</f>
        <v>175.08920454545455</v>
      </c>
      <c r="V32" s="6"/>
      <c r="W32" s="6">
        <v>54.6</v>
      </c>
      <c r="X32">
        <f>$I32/$G32*W32</f>
        <v>55.220454545454551</v>
      </c>
      <c r="Y32" s="6">
        <f>(W32+X32)/2</f>
        <v>54.910227272727276</v>
      </c>
      <c r="Z32" s="6"/>
      <c r="AA32" s="6">
        <v>3.6</v>
      </c>
      <c r="AB32" s="6">
        <v>6.2</v>
      </c>
      <c r="AC32" s="16">
        <f>(AA32+AB32)/2</f>
        <v>4.9000000000000004</v>
      </c>
      <c r="AD32" s="6"/>
      <c r="AE32" s="6">
        <v>1.1000000000000001</v>
      </c>
      <c r="AF32" s="6">
        <f>$I32/$G32*AE32</f>
        <v>1.1125000000000003</v>
      </c>
      <c r="AG32" s="6">
        <f>(AE32+AF32)/2</f>
        <v>1.1062500000000002</v>
      </c>
      <c r="AH32" s="21">
        <v>0.2</v>
      </c>
      <c r="AI32" s="33"/>
      <c r="AJ32" s="27"/>
      <c r="AL32" s="13">
        <f t="shared" si="0"/>
        <v>1.4317082149772726</v>
      </c>
      <c r="AM32" s="13">
        <f t="shared" si="4"/>
        <v>0</v>
      </c>
      <c r="AN32" s="13">
        <f t="shared" si="5"/>
        <v>1.0198946164772726</v>
      </c>
      <c r="AO32" s="13">
        <f t="shared" si="6"/>
        <v>0.34522059886363637</v>
      </c>
      <c r="AP32" s="13">
        <f t="shared" si="7"/>
        <v>5.0372000000000003</v>
      </c>
      <c r="AQ32" s="13">
        <f t="shared" si="8"/>
        <v>0.13836026785714289</v>
      </c>
      <c r="AR32" s="13">
        <f t="shared" si="9"/>
        <v>7.8488105798376626</v>
      </c>
    </row>
    <row r="33" spans="7:46" x14ac:dyDescent="0.2">
      <c r="G33" s="3"/>
      <c r="I33" s="3"/>
      <c r="J33" s="3"/>
      <c r="K33" s="3"/>
      <c r="L33" s="3"/>
      <c r="M33" s="3"/>
      <c r="N33" s="3"/>
      <c r="R33" s="6"/>
      <c r="S33" s="6"/>
      <c r="V33" s="6"/>
      <c r="W33" s="6"/>
      <c r="X33" s="6"/>
      <c r="Y33" s="6"/>
      <c r="Z33" s="6"/>
      <c r="AA33" s="6"/>
      <c r="AB33" s="6"/>
      <c r="AC33" s="6"/>
      <c r="AD33" s="6"/>
      <c r="AE33" s="6"/>
      <c r="AF33" s="6"/>
      <c r="AG33" s="6"/>
      <c r="AH33" s="4"/>
      <c r="AI33" s="6"/>
    </row>
    <row r="34" spans="7:46" x14ac:dyDescent="0.2">
      <c r="G34" s="3"/>
      <c r="I34" s="3"/>
      <c r="J34" s="3"/>
      <c r="K34" s="3"/>
      <c r="L34" s="3"/>
      <c r="M34" s="3"/>
      <c r="N34" s="3"/>
      <c r="S34" s="4"/>
      <c r="V34" s="6"/>
      <c r="W34" s="6"/>
      <c r="X34" s="6"/>
      <c r="Y34" s="6"/>
      <c r="Z34" s="6"/>
      <c r="AA34" s="6"/>
      <c r="AB34" s="6"/>
      <c r="AC34" s="6"/>
      <c r="AD34" s="6"/>
      <c r="AE34" s="6"/>
      <c r="AF34" s="6"/>
      <c r="AG34" s="6"/>
      <c r="AH34" s="4"/>
      <c r="AI34" s="6"/>
      <c r="AQ34" t="s">
        <v>60</v>
      </c>
      <c r="AR34" t="s">
        <v>64</v>
      </c>
      <c r="AS34" t="s">
        <v>65</v>
      </c>
    </row>
    <row r="35" spans="7:46" x14ac:dyDescent="0.2">
      <c r="G35" s="3"/>
      <c r="I35" s="3"/>
      <c r="J35" s="3"/>
      <c r="K35" s="3"/>
      <c r="L35" s="3"/>
      <c r="M35" s="3"/>
      <c r="N35" s="3"/>
      <c r="S35" s="4"/>
      <c r="V35" s="6"/>
      <c r="W35" s="6"/>
      <c r="X35" s="6"/>
      <c r="Y35" s="6"/>
      <c r="Z35" s="6"/>
      <c r="AA35" s="6"/>
      <c r="AB35" s="6"/>
      <c r="AC35" s="6"/>
      <c r="AD35" s="6"/>
      <c r="AE35" s="6"/>
      <c r="AF35" s="6"/>
      <c r="AG35" s="6"/>
      <c r="AH35" s="4"/>
      <c r="AI35" s="6"/>
      <c r="AN35" t="s">
        <v>52</v>
      </c>
      <c r="AQ35" s="13">
        <f>AL5</f>
        <v>96.396052603999991</v>
      </c>
      <c r="AR35" s="13">
        <f>AR5</f>
        <v>250.94919207927919</v>
      </c>
      <c r="AS35" s="13">
        <f>SUM(AQ35:AR35)</f>
        <v>347.34524468327919</v>
      </c>
      <c r="AT35" s="13"/>
    </row>
    <row r="36" spans="7:46" x14ac:dyDescent="0.2">
      <c r="G36" s="3"/>
      <c r="I36" s="3"/>
      <c r="J36" s="3"/>
      <c r="K36" s="3"/>
      <c r="L36" s="3"/>
      <c r="M36" s="3"/>
      <c r="N36" s="3"/>
      <c r="S36" s="4"/>
      <c r="V36" s="6"/>
      <c r="W36" s="6"/>
      <c r="X36" s="6"/>
      <c r="Y36" s="6"/>
      <c r="Z36" s="4"/>
      <c r="AA36" s="6"/>
      <c r="AB36" s="6"/>
      <c r="AC36" s="6"/>
      <c r="AD36" s="6"/>
      <c r="AE36" s="6"/>
      <c r="AF36" s="6"/>
      <c r="AG36" s="6"/>
      <c r="AH36" s="4"/>
      <c r="AI36" s="6"/>
      <c r="AN36" t="s">
        <v>55</v>
      </c>
      <c r="AQ36" s="13">
        <f>SUM(AL8:AL11)</f>
        <v>36.490533061999997</v>
      </c>
      <c r="AR36">
        <f>SUM(AR8:AR11)</f>
        <v>69.017808020324551</v>
      </c>
      <c r="AS36" s="13">
        <f>SUM(AQ36:AR36)</f>
        <v>105.50834108232455</v>
      </c>
    </row>
    <row r="37" spans="7:46" x14ac:dyDescent="0.2">
      <c r="G37" s="3"/>
      <c r="I37" s="3"/>
      <c r="J37" s="3"/>
      <c r="K37" s="3"/>
      <c r="L37" s="3"/>
      <c r="M37" s="3"/>
      <c r="N37" s="3"/>
      <c r="S37" s="4"/>
      <c r="V37" s="6"/>
      <c r="W37" s="6"/>
      <c r="X37" s="6"/>
      <c r="Y37" s="6"/>
      <c r="Z37" s="4"/>
      <c r="AA37" s="6"/>
      <c r="AB37" s="6"/>
      <c r="AC37" s="6"/>
      <c r="AD37" s="6"/>
      <c r="AE37" s="6"/>
      <c r="AF37" s="6"/>
      <c r="AG37" s="6"/>
      <c r="AH37" s="4"/>
      <c r="AI37" s="6"/>
      <c r="AN37" t="s">
        <v>53</v>
      </c>
      <c r="AQ37" s="13">
        <f>SUM(AL13:AL19)</f>
        <v>61.670978759999997</v>
      </c>
      <c r="AR37" s="13">
        <f>SUM(AR13:AR19)</f>
        <v>88.600503229242364</v>
      </c>
      <c r="AS37" s="13">
        <f>SUM(AQ37:AR37)</f>
        <v>150.27148198924237</v>
      </c>
    </row>
    <row r="38" spans="7:46" x14ac:dyDescent="0.2">
      <c r="S38" s="4"/>
      <c r="V38" s="6"/>
      <c r="W38" s="6"/>
      <c r="X38" s="6"/>
      <c r="Y38" s="6"/>
      <c r="AD38" s="6"/>
      <c r="AN38" s="12" t="s">
        <v>54</v>
      </c>
      <c r="AO38" s="12"/>
      <c r="AP38" s="12"/>
      <c r="AQ38" s="22">
        <f>SUM(AL21:AL32)</f>
        <v>47.20842465149115</v>
      </c>
      <c r="AR38" s="22">
        <f>SUM(AR21:AR32)</f>
        <v>181.37760595618244</v>
      </c>
      <c r="AS38" s="13">
        <f>SUM(AQ38:AR38)</f>
        <v>228.58603060767359</v>
      </c>
    </row>
    <row r="39" spans="7:46" x14ac:dyDescent="0.2">
      <c r="V39" s="6"/>
      <c r="AP39" t="s">
        <v>57</v>
      </c>
      <c r="AQ39" s="13">
        <f>SUM(AQ35:AQ38)</f>
        <v>241.76598907749113</v>
      </c>
      <c r="AR39" s="13">
        <f>SUM(AR35:AR38)</f>
        <v>589.94510928502859</v>
      </c>
      <c r="AS39" s="13">
        <f>SUM(AS35:AS38)</f>
        <v>831.71109836251969</v>
      </c>
    </row>
    <row r="40" spans="7:46" x14ac:dyDescent="0.2">
      <c r="V40" s="6"/>
      <c r="AP40" t="s">
        <v>56</v>
      </c>
    </row>
  </sheetData>
  <mergeCells count="8">
    <mergeCell ref="W2:Y2"/>
    <mergeCell ref="Z2:AC2"/>
    <mergeCell ref="AE2:AG2"/>
    <mergeCell ref="F3:G3"/>
    <mergeCell ref="H3:I3"/>
    <mergeCell ref="O2:Q2"/>
    <mergeCell ref="S2:U2"/>
    <mergeCell ref="J2:M2"/>
  </mergeCells>
  <phoneticPr fontId="3" type="noConversion"/>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R53"/>
  <sheetViews>
    <sheetView workbookViewId="0">
      <pane xSplit="3" ySplit="6" topLeftCell="FH17" activePane="bottomRight" state="frozen"/>
      <selection pane="topRight" activeCell="D1" sqref="D1"/>
      <selection pane="bottomLeft" activeCell="A5" sqref="A5"/>
      <selection pane="bottomRight" activeCell="FP41" sqref="FP41"/>
    </sheetView>
  </sheetViews>
  <sheetFormatPr defaultRowHeight="12.75" x14ac:dyDescent="0.2"/>
  <cols>
    <col min="1" max="1" width="0" hidden="1" customWidth="1"/>
    <col min="2" max="2" width="12.5703125" customWidth="1"/>
    <col min="3" max="3" width="36.5703125" customWidth="1"/>
    <col min="4" max="4" width="15.140625" customWidth="1"/>
    <col min="5" max="5" width="13.28515625" customWidth="1"/>
    <col min="6" max="6" width="14.42578125" customWidth="1"/>
    <col min="7" max="7" width="10.5703125" customWidth="1"/>
    <col min="8" max="8" width="14.140625" customWidth="1"/>
    <col min="9" max="11" width="10.28515625" customWidth="1"/>
    <col min="12" max="15" width="11.140625" customWidth="1"/>
    <col min="16" max="16" width="11.85546875" customWidth="1"/>
    <col min="17" max="18" width="10.28515625" customWidth="1"/>
    <col min="19" max="25" width="10.5703125" customWidth="1"/>
    <col min="26" max="28" width="10.42578125" customWidth="1"/>
    <col min="29" max="30" width="11" customWidth="1"/>
    <col min="31" max="31" width="10.140625" customWidth="1"/>
    <col min="32" max="32" width="11.5703125" customWidth="1"/>
    <col min="33" max="35" width="10.140625" customWidth="1"/>
    <col min="36" max="38" width="10.28515625" customWidth="1"/>
    <col min="39" max="45" width="10.42578125" customWidth="1"/>
    <col min="46" max="46" width="9.7109375" customWidth="1"/>
    <col min="51" max="51" width="12.42578125" bestFit="1" customWidth="1"/>
    <col min="52" max="56" width="12.42578125" customWidth="1"/>
    <col min="57" max="59" width="10.140625" customWidth="1"/>
    <col min="67" max="72" width="10.42578125" customWidth="1"/>
    <col min="73" max="73" width="12.28515625" customWidth="1"/>
    <col min="74" max="74" width="15.42578125" customWidth="1"/>
    <col min="75" max="79" width="12.28515625" customWidth="1"/>
    <col min="80" max="80" width="13.7109375" customWidth="1"/>
    <col min="81" max="82" width="12.28515625" customWidth="1"/>
    <col min="83" max="83" width="11.85546875" customWidth="1"/>
    <col min="84" max="84" width="14.7109375" customWidth="1"/>
    <col min="85" max="86" width="12.7109375" customWidth="1"/>
    <col min="87" max="88" width="13.42578125" customWidth="1"/>
    <col min="89" max="94" width="12.7109375" customWidth="1"/>
    <col min="95" max="97" width="11.42578125" customWidth="1"/>
    <col min="98" max="98" width="9.5703125" customWidth="1"/>
    <col min="99" max="99" width="10.140625" customWidth="1"/>
    <col min="100" max="100" width="10.42578125" customWidth="1"/>
    <col min="101" max="101" width="11.28515625" customWidth="1"/>
    <col min="102" max="102" width="11.42578125" customWidth="1"/>
    <col min="103" max="103" width="10.42578125" customWidth="1"/>
    <col min="104" max="104" width="11.42578125" customWidth="1"/>
    <col min="105" max="105" width="12.5703125" customWidth="1"/>
    <col min="106" max="106" width="11.42578125" customWidth="1"/>
    <col min="111" max="112" width="9.85546875" customWidth="1"/>
    <col min="116" max="116" width="12.5703125" bestFit="1" customWidth="1"/>
    <col min="123" max="123" width="9.5703125" bestFit="1" customWidth="1"/>
    <col min="138" max="138" width="10.42578125" customWidth="1"/>
    <col min="139" max="139" width="12.85546875" customWidth="1"/>
    <col min="141" max="141" width="12.85546875" customWidth="1"/>
    <col min="143" max="143" width="11.5703125" customWidth="1"/>
    <col min="145" max="145" width="11.28515625" customWidth="1"/>
    <col min="146" max="146" width="10.85546875" customWidth="1"/>
    <col min="147" max="148" width="11.42578125" customWidth="1"/>
    <col min="153" max="153" width="9.140625" style="203"/>
    <col min="155" max="155" width="11.85546875" customWidth="1"/>
    <col min="157" max="157" width="10.28515625" customWidth="1"/>
    <col min="159" max="159" width="11.42578125" customWidth="1"/>
  </cols>
  <sheetData>
    <row r="1" spans="2:174" ht="15.75" x14ac:dyDescent="0.25">
      <c r="AZ1" s="13"/>
      <c r="CS1" s="112">
        <v>1997</v>
      </c>
      <c r="DB1" s="112">
        <v>2002</v>
      </c>
      <c r="DL1" s="112">
        <v>2007</v>
      </c>
      <c r="EX1" s="108" t="s">
        <v>453</v>
      </c>
    </row>
    <row r="2" spans="2:174" x14ac:dyDescent="0.2">
      <c r="BH2" s="6"/>
      <c r="BI2" s="6"/>
      <c r="BJ2" s="6"/>
      <c r="BK2" s="6"/>
      <c r="BL2" s="6"/>
      <c r="BM2" s="6"/>
      <c r="BN2" s="6"/>
      <c r="BO2" s="16"/>
      <c r="BP2" s="6"/>
      <c r="BQ2" s="6"/>
      <c r="BR2" s="6"/>
      <c r="BS2" s="6"/>
      <c r="BT2" s="6"/>
      <c r="BW2">
        <v>1997</v>
      </c>
      <c r="BY2">
        <v>1997</v>
      </c>
      <c r="BZ2">
        <v>1997</v>
      </c>
      <c r="CA2">
        <v>1997</v>
      </c>
      <c r="CB2">
        <v>1997</v>
      </c>
      <c r="CC2">
        <v>2002</v>
      </c>
      <c r="CE2">
        <v>2002</v>
      </c>
      <c r="CF2">
        <v>2002</v>
      </c>
      <c r="CG2">
        <v>2007</v>
      </c>
      <c r="CH2">
        <v>2007</v>
      </c>
      <c r="CI2">
        <v>2007</v>
      </c>
      <c r="CJ2">
        <v>2012</v>
      </c>
      <c r="CK2">
        <v>2007</v>
      </c>
      <c r="CL2">
        <v>2007</v>
      </c>
      <c r="CN2" s="108" t="s">
        <v>454</v>
      </c>
      <c r="CS2" s="12" t="s">
        <v>60</v>
      </c>
      <c r="CT2" s="12" t="s">
        <v>45</v>
      </c>
      <c r="CU2" s="12" t="s">
        <v>46</v>
      </c>
      <c r="CV2" s="12" t="s">
        <v>8</v>
      </c>
      <c r="CW2" s="12" t="s">
        <v>47</v>
      </c>
      <c r="CX2" s="12" t="s">
        <v>11</v>
      </c>
      <c r="CY2" s="57" t="s">
        <v>320</v>
      </c>
      <c r="CZ2" s="12" t="s">
        <v>63</v>
      </c>
      <c r="DB2" s="12" t="s">
        <v>60</v>
      </c>
      <c r="DC2" s="12" t="s">
        <v>45</v>
      </c>
      <c r="DD2" s="12" t="s">
        <v>46</v>
      </c>
      <c r="DE2" s="12" t="s">
        <v>8</v>
      </c>
      <c r="DF2" s="12" t="s">
        <v>47</v>
      </c>
      <c r="DG2" s="12" t="s">
        <v>11</v>
      </c>
      <c r="DH2" s="57" t="s">
        <v>320</v>
      </c>
      <c r="DI2" s="12" t="s">
        <v>63</v>
      </c>
      <c r="DL2" s="12" t="s">
        <v>60</v>
      </c>
      <c r="DM2" s="12" t="s">
        <v>45</v>
      </c>
      <c r="DN2" s="12" t="s">
        <v>46</v>
      </c>
      <c r="DO2" s="12" t="s">
        <v>8</v>
      </c>
      <c r="DP2" s="12" t="s">
        <v>47</v>
      </c>
      <c r="DQ2" s="12" t="s">
        <v>11</v>
      </c>
      <c r="DR2" s="57" t="s">
        <v>320</v>
      </c>
      <c r="DS2" s="12" t="s">
        <v>63</v>
      </c>
    </row>
    <row r="3" spans="2:174" x14ac:dyDescent="0.2">
      <c r="C3" s="10" t="s">
        <v>67</v>
      </c>
      <c r="J3" s="192" t="s">
        <v>58</v>
      </c>
      <c r="K3" s="192"/>
      <c r="L3" s="192"/>
      <c r="M3" s="192"/>
      <c r="N3" s="192"/>
      <c r="O3" s="192"/>
      <c r="P3" s="192"/>
      <c r="S3" s="228" t="s">
        <v>2</v>
      </c>
      <c r="T3" s="228"/>
      <c r="U3" s="228"/>
      <c r="V3" s="228"/>
      <c r="W3" s="228"/>
      <c r="X3" s="228"/>
      <c r="Y3" s="228"/>
      <c r="Z3" s="232"/>
      <c r="AA3" s="1"/>
      <c r="AB3" s="1"/>
      <c r="AC3" s="196" t="s">
        <v>6</v>
      </c>
      <c r="AD3" s="197"/>
      <c r="AE3" s="197"/>
      <c r="AF3" s="197"/>
      <c r="AG3" s="197"/>
      <c r="AH3" s="197"/>
      <c r="AI3" s="197"/>
      <c r="AJ3" s="198"/>
      <c r="AK3" s="5"/>
      <c r="AL3" s="5"/>
      <c r="AM3" s="200" t="s">
        <v>8</v>
      </c>
      <c r="AN3" s="200"/>
      <c r="AO3" s="200"/>
      <c r="AP3" s="200"/>
      <c r="AQ3" s="200"/>
      <c r="AR3" s="200"/>
      <c r="AS3" s="200"/>
      <c r="AT3" s="200"/>
      <c r="AU3" s="204" t="s">
        <v>455</v>
      </c>
      <c r="AV3" s="193"/>
      <c r="AW3" s="193"/>
      <c r="AX3" s="193"/>
      <c r="AY3" s="193"/>
      <c r="AZ3" s="193"/>
      <c r="BA3" s="193"/>
      <c r="BB3" s="193"/>
      <c r="BC3" s="193"/>
      <c r="BD3" s="193"/>
      <c r="BE3" s="194"/>
      <c r="BF3" s="5"/>
      <c r="BG3" s="5"/>
      <c r="BH3" s="228" t="s">
        <v>11</v>
      </c>
      <c r="BI3" s="228"/>
      <c r="BJ3" s="228"/>
      <c r="BK3" s="228"/>
      <c r="BL3" s="228"/>
      <c r="BM3" s="228"/>
      <c r="BN3" s="228"/>
      <c r="BO3" s="232"/>
      <c r="BP3" s="53"/>
      <c r="BQ3" s="53"/>
      <c r="BR3" s="5"/>
      <c r="BS3" s="87" t="s">
        <v>318</v>
      </c>
      <c r="BT3" s="5"/>
      <c r="BW3" s="114" t="s">
        <v>337</v>
      </c>
      <c r="BX3" s="113" t="s">
        <v>13</v>
      </c>
      <c r="BY3" s="117" t="s">
        <v>338</v>
      </c>
      <c r="BZ3" s="6" t="s">
        <v>89</v>
      </c>
      <c r="CA3" s="88" t="s">
        <v>321</v>
      </c>
      <c r="CB3" t="s">
        <v>90</v>
      </c>
      <c r="CC3" s="4" t="s">
        <v>13</v>
      </c>
      <c r="CD3" s="88" t="s">
        <v>13</v>
      </c>
      <c r="CE3" s="6" t="s">
        <v>89</v>
      </c>
      <c r="CF3" t="s">
        <v>90</v>
      </c>
      <c r="CG3" s="60" t="s">
        <v>322</v>
      </c>
      <c r="CH3" s="60" t="s">
        <v>13</v>
      </c>
      <c r="CI3" s="60" t="s">
        <v>168</v>
      </c>
      <c r="CJ3" s="108" t="s">
        <v>418</v>
      </c>
      <c r="CK3" s="61" t="s">
        <v>321</v>
      </c>
      <c r="CL3" s="60" t="s">
        <v>167</v>
      </c>
      <c r="CM3" s="108" t="s">
        <v>419</v>
      </c>
      <c r="CN3" s="108" t="s">
        <v>419</v>
      </c>
      <c r="CO3" s="60" t="s">
        <v>330</v>
      </c>
      <c r="CP3" s="108" t="s">
        <v>334</v>
      </c>
      <c r="CQ3" t="s">
        <v>44</v>
      </c>
      <c r="CS3">
        <f>Conversion_Factors!$G$11</f>
        <v>3.4119999999999997E-6</v>
      </c>
      <c r="CT3">
        <f>Conversion_Factors!$G$6</f>
        <v>2.0742E-2</v>
      </c>
      <c r="CU3">
        <f>Conversion_Factors!$G$7</f>
        <v>5.8249999999999994E-3</v>
      </c>
      <c r="CV3">
        <f>Conversion_Factors!$G$8</f>
        <v>6.2870000000000001E-3</v>
      </c>
      <c r="CW3">
        <f>Conversion_Factors!$G$9</f>
        <v>1.028</v>
      </c>
      <c r="CX3">
        <f>Conversion_Factors!$G$10</f>
        <v>0.12507142857142858</v>
      </c>
      <c r="DB3">
        <f>Conversion_Factors!$G$11</f>
        <v>3.4119999999999997E-6</v>
      </c>
      <c r="DC3">
        <f>Conversion_Factors!$G$6</f>
        <v>2.0742E-2</v>
      </c>
      <c r="DD3">
        <f>Conversion_Factors!$G$7</f>
        <v>5.8249999999999994E-3</v>
      </c>
      <c r="DE3">
        <f>Conversion_Factors!$G$8</f>
        <v>6.2870000000000001E-3</v>
      </c>
      <c r="DF3">
        <f>Conversion_Factors!$G$9</f>
        <v>1.028</v>
      </c>
      <c r="DG3">
        <f>Conversion_Factors!$G$10</f>
        <v>0.12507142857142858</v>
      </c>
      <c r="DK3" t="s">
        <v>44</v>
      </c>
      <c r="DL3">
        <f>Conversion_Factors!$G$11</f>
        <v>3.4119999999999997E-6</v>
      </c>
      <c r="DM3">
        <f>Conversion_Factors!$G$6</f>
        <v>2.0742E-2</v>
      </c>
      <c r="DN3">
        <f>Conversion_Factors!$G$7</f>
        <v>5.8249999999999994E-3</v>
      </c>
      <c r="DO3">
        <f>Conversion_Factors!$G$8</f>
        <v>6.2870000000000001E-3</v>
      </c>
      <c r="DP3">
        <f>Conversion_Factors!$G$9</f>
        <v>1.028</v>
      </c>
      <c r="DQ3">
        <f>Conversion_Factors!$G$10</f>
        <v>0.12507142857142858</v>
      </c>
    </row>
    <row r="4" spans="2:174" x14ac:dyDescent="0.2">
      <c r="C4" s="10"/>
      <c r="J4" s="1"/>
      <c r="K4" s="1"/>
      <c r="L4" s="1"/>
      <c r="M4" s="1"/>
      <c r="N4" s="1"/>
      <c r="O4" s="188"/>
      <c r="P4" s="1"/>
      <c r="S4" s="5"/>
      <c r="T4" s="5"/>
      <c r="U4" s="5"/>
      <c r="V4" s="89">
        <f>EH39</f>
        <v>0.55147058823529416</v>
      </c>
      <c r="W4" s="5"/>
      <c r="X4" s="187"/>
      <c r="Y4" s="187"/>
      <c r="Z4" s="44"/>
      <c r="AA4" s="1"/>
      <c r="AB4" s="1"/>
      <c r="AC4" s="5"/>
      <c r="AD4" s="5"/>
      <c r="AE4" s="89">
        <f>EM14</f>
        <v>1.1722689075630253</v>
      </c>
      <c r="AF4" s="5"/>
      <c r="AG4" s="89">
        <f>EM15</f>
        <v>2.8052568697729989</v>
      </c>
      <c r="AH4" s="89"/>
      <c r="AI4" s="89"/>
      <c r="AJ4" s="44"/>
      <c r="AK4" s="5"/>
      <c r="AL4" s="5"/>
      <c r="AM4" s="5"/>
      <c r="AN4" s="5"/>
      <c r="AO4" s="5"/>
      <c r="AP4" s="79">
        <f>EN15</f>
        <v>1.3759999999999999</v>
      </c>
      <c r="AQ4" s="90">
        <f>EO15</f>
        <v>2.4527629233511581</v>
      </c>
      <c r="AR4" s="90"/>
      <c r="AS4" s="90"/>
      <c r="AT4" s="56"/>
      <c r="AU4" s="5"/>
      <c r="AV4" s="5"/>
      <c r="AW4" s="5"/>
      <c r="AX4" s="5"/>
      <c r="AY4" s="5"/>
      <c r="AZ4" s="89">
        <f>EQ14</f>
        <v>1.1197771587743732</v>
      </c>
      <c r="BA4" s="5"/>
      <c r="BB4" s="89">
        <f>EQ15</f>
        <v>1.91044776119403</v>
      </c>
      <c r="BC4" s="89"/>
      <c r="BD4" s="89"/>
      <c r="BE4" s="44"/>
      <c r="BF4" s="5"/>
      <c r="BG4" s="5"/>
      <c r="BH4" s="5"/>
      <c r="BI4" s="5"/>
      <c r="BJ4" s="5"/>
      <c r="BK4" s="89">
        <f>EK15</f>
        <v>2.5493895671476139</v>
      </c>
      <c r="BL4" s="5"/>
      <c r="BM4" s="187"/>
      <c r="BN4" s="187"/>
      <c r="BO4" s="44"/>
      <c r="BP4" s="53"/>
      <c r="BQ4" s="53"/>
      <c r="BR4" s="5"/>
      <c r="BS4" s="87"/>
      <c r="BT4" s="5"/>
      <c r="CC4" s="4"/>
      <c r="CD4" s="6"/>
      <c r="CE4" s="6"/>
      <c r="CH4" s="60"/>
      <c r="CI4" s="60"/>
      <c r="CJ4" s="60"/>
      <c r="CK4" s="61"/>
      <c r="CL4" s="60"/>
      <c r="CM4" s="60"/>
      <c r="CN4" s="60"/>
      <c r="CO4" s="60"/>
      <c r="CP4" s="60"/>
    </row>
    <row r="5" spans="2:174" ht="25.5" x14ac:dyDescent="0.2">
      <c r="D5">
        <v>1992</v>
      </c>
      <c r="E5">
        <v>1992</v>
      </c>
      <c r="F5" s="229">
        <v>1997</v>
      </c>
      <c r="G5" s="229"/>
      <c r="H5" s="229">
        <v>2002</v>
      </c>
      <c r="I5" s="229"/>
      <c r="J5" s="6">
        <v>1992</v>
      </c>
      <c r="K5" s="6">
        <v>1997</v>
      </c>
      <c r="L5" s="6">
        <v>2002</v>
      </c>
      <c r="M5" s="8">
        <v>2007</v>
      </c>
      <c r="N5" s="8">
        <v>2007</v>
      </c>
      <c r="O5" s="8">
        <v>2012</v>
      </c>
      <c r="P5" s="15" t="s">
        <v>3</v>
      </c>
      <c r="Q5" s="6">
        <v>1992</v>
      </c>
      <c r="R5" s="63">
        <v>1997</v>
      </c>
      <c r="S5" s="6">
        <v>1997</v>
      </c>
      <c r="T5" s="63">
        <v>2002</v>
      </c>
      <c r="U5" s="6">
        <v>2002</v>
      </c>
      <c r="V5" s="8">
        <v>2007</v>
      </c>
      <c r="W5" s="8">
        <v>2007</v>
      </c>
      <c r="X5" s="8"/>
      <c r="Y5" s="8"/>
      <c r="Z5" s="15" t="s">
        <v>3</v>
      </c>
      <c r="AA5" s="7">
        <v>1992</v>
      </c>
      <c r="AB5" s="63">
        <v>1997</v>
      </c>
      <c r="AC5" s="6">
        <v>1997</v>
      </c>
      <c r="AD5" s="63">
        <v>2002</v>
      </c>
      <c r="AE5" s="6">
        <v>2002</v>
      </c>
      <c r="AF5" s="8">
        <v>2007</v>
      </c>
      <c r="AG5" s="6"/>
      <c r="AH5" s="8">
        <v>2012</v>
      </c>
      <c r="AI5" s="8">
        <v>2012</v>
      </c>
      <c r="AJ5" s="15" t="s">
        <v>3</v>
      </c>
      <c r="AK5" s="6">
        <v>1992</v>
      </c>
      <c r="AL5" s="63">
        <v>1997</v>
      </c>
      <c r="AM5" s="6">
        <v>1997</v>
      </c>
      <c r="AN5" s="63">
        <v>2002</v>
      </c>
      <c r="AO5" s="6">
        <v>2002</v>
      </c>
      <c r="AP5" s="8">
        <v>2007</v>
      </c>
      <c r="AQ5" s="6"/>
      <c r="AR5" s="8">
        <v>2012</v>
      </c>
      <c r="AS5" s="8">
        <v>2012</v>
      </c>
      <c r="AT5" s="15" t="s">
        <v>3</v>
      </c>
      <c r="AU5" s="8">
        <v>1992</v>
      </c>
      <c r="AV5" s="63">
        <v>1997</v>
      </c>
      <c r="AW5" s="6">
        <v>1997</v>
      </c>
      <c r="AX5" s="63">
        <v>2002</v>
      </c>
      <c r="AY5" s="6">
        <v>2002</v>
      </c>
      <c r="AZ5" s="6">
        <v>2002</v>
      </c>
      <c r="BA5" s="8">
        <v>2007</v>
      </c>
      <c r="BB5" s="6"/>
      <c r="BC5" s="8">
        <v>2012</v>
      </c>
      <c r="BD5" s="8">
        <v>2012</v>
      </c>
      <c r="BE5" s="15" t="s">
        <v>3</v>
      </c>
      <c r="BF5" s="12">
        <v>1992</v>
      </c>
      <c r="BG5" s="63">
        <v>1997</v>
      </c>
      <c r="BH5" s="6">
        <v>1997</v>
      </c>
      <c r="BI5" s="63">
        <v>2002</v>
      </c>
      <c r="BJ5" s="6">
        <v>2002</v>
      </c>
      <c r="BK5" s="8">
        <v>2007</v>
      </c>
      <c r="BL5" s="6"/>
      <c r="BM5" s="8">
        <v>2012</v>
      </c>
      <c r="BN5" s="8">
        <v>2012</v>
      </c>
      <c r="BO5" s="15" t="s">
        <v>3</v>
      </c>
      <c r="BP5" s="63">
        <v>1997</v>
      </c>
      <c r="BQ5" s="55"/>
      <c r="BR5" s="63">
        <v>2002</v>
      </c>
      <c r="BS5" s="7"/>
      <c r="BT5" s="8">
        <v>2007</v>
      </c>
      <c r="BU5">
        <v>2012</v>
      </c>
      <c r="BV5">
        <v>2012</v>
      </c>
      <c r="CC5" s="4"/>
      <c r="CD5" s="6"/>
      <c r="CE5" s="6"/>
      <c r="DU5" t="s">
        <v>333</v>
      </c>
      <c r="EX5">
        <f>[1]_2012!A4</f>
        <v>0</v>
      </c>
      <c r="EY5" t="str">
        <f>[1]_2012!B4</f>
        <v>Coal (bituminous, subbituminous, lignite, and anthracite) consumed as a fuel</v>
      </c>
      <c r="EZ5">
        <f>[1]_2012!C4</f>
        <v>0</v>
      </c>
      <c r="FA5" t="str">
        <f>[1]_2012!D4</f>
        <v>Distillate (light) grade numbers 1, 2, 4, and light diesel fuel used as a fuel</v>
      </c>
      <c r="FB5">
        <f>[1]_2012!E4</f>
        <v>0</v>
      </c>
      <c r="FC5" t="str">
        <f>[1]_2012!F4</f>
        <v>Gas (natural, manufactured, and mixed) used as a fuel</v>
      </c>
      <c r="FD5">
        <f>[1]_2012!G4</f>
        <v>0</v>
      </c>
      <c r="FE5" t="str">
        <f>[1]_2012!H4</f>
        <v>Gasoline used as a fuel</v>
      </c>
      <c r="FF5">
        <f>[1]_2012!I4</f>
        <v>0</v>
      </c>
      <c r="FG5" t="str">
        <f>[1]_2012!J4</f>
        <v>Other fuels (liquefied petroleum gas, coke, wood, etc.)</v>
      </c>
      <c r="FH5">
        <f>[1]_2012!K4</f>
        <v>0</v>
      </c>
      <c r="FI5" t="str">
        <f>[1]_2012!L4</f>
        <v>Residual (heavy) grade numbers 5 and 6 and heavy diesel fuel used as a fuel</v>
      </c>
      <c r="FJ5">
        <f>[1]_2012!M4</f>
        <v>0</v>
      </c>
      <c r="FK5" t="str">
        <f>[1]_2012!N4</f>
        <v>Total fuels</v>
      </c>
      <c r="FL5">
        <f>[1]_2012!O4</f>
        <v>0</v>
      </c>
      <c r="FM5" t="str">
        <f>[1]_2012!P4</f>
        <v>Undistributed fuels</v>
      </c>
      <c r="FN5">
        <f>[1]_2012!Q4</f>
        <v>0</v>
      </c>
      <c r="FO5" t="str">
        <f>[1]_2012!R4</f>
        <v>Total Sum of MATFUELCOST</v>
      </c>
      <c r="FP5" t="str">
        <f>[1]_2012!S4</f>
        <v>Total Sum of MATFUELQTY</v>
      </c>
    </row>
    <row r="6" spans="2:174" ht="34.5" customHeight="1" x14ac:dyDescent="0.2">
      <c r="B6" s="12"/>
      <c r="C6" s="12"/>
      <c r="D6" s="12" t="s">
        <v>1</v>
      </c>
      <c r="E6" s="12" t="s">
        <v>0</v>
      </c>
      <c r="F6" s="12" t="s">
        <v>1</v>
      </c>
      <c r="G6" s="12" t="s">
        <v>0</v>
      </c>
      <c r="H6" s="12" t="s">
        <v>1</v>
      </c>
      <c r="I6" s="12" t="s">
        <v>0</v>
      </c>
      <c r="J6" s="12" t="s">
        <v>59</v>
      </c>
      <c r="K6" s="12"/>
      <c r="L6" s="12"/>
      <c r="M6" s="57" t="s">
        <v>170</v>
      </c>
      <c r="N6" s="57" t="s">
        <v>171</v>
      </c>
      <c r="O6" s="57"/>
      <c r="P6" s="12"/>
      <c r="Q6" s="12" t="s">
        <v>4</v>
      </c>
      <c r="R6" s="67" t="s">
        <v>166</v>
      </c>
      <c r="S6" s="12" t="s">
        <v>4</v>
      </c>
      <c r="T6" s="67" t="s">
        <v>166</v>
      </c>
      <c r="U6" s="12" t="s">
        <v>4</v>
      </c>
      <c r="V6" s="57" t="s">
        <v>166</v>
      </c>
      <c r="W6" s="12" t="s">
        <v>4</v>
      </c>
      <c r="X6" s="57" t="str">
        <f t="shared" ref="X6:X40" si="0">EY6</f>
        <v>Sum of MATFUELCOST</v>
      </c>
      <c r="Y6" s="12" t="str">
        <f t="shared" ref="Y6:Y40" si="1">EZ6</f>
        <v>Sum of MATFUELQTY</v>
      </c>
      <c r="Z6" s="17" t="s">
        <v>4</v>
      </c>
      <c r="AA6" s="12" t="s">
        <v>7</v>
      </c>
      <c r="AB6" s="67" t="s">
        <v>166</v>
      </c>
      <c r="AC6" s="12" t="s">
        <v>7</v>
      </c>
      <c r="AD6" s="67" t="s">
        <v>166</v>
      </c>
      <c r="AE6" s="12" t="s">
        <v>7</v>
      </c>
      <c r="AF6" s="57" t="s">
        <v>166</v>
      </c>
      <c r="AG6" s="17" t="s">
        <v>7</v>
      </c>
      <c r="AH6" s="199" t="str">
        <f t="shared" ref="AH6:AH40" si="2">FA6</f>
        <v>Sum of MATFUELCOST</v>
      </c>
      <c r="AI6" s="199" t="str">
        <f t="shared" ref="AI6:AI40" si="3">FB6</f>
        <v>Sum of MATFUELQTY</v>
      </c>
      <c r="AJ6" s="17" t="s">
        <v>7</v>
      </c>
      <c r="AK6" s="12" t="s">
        <v>7</v>
      </c>
      <c r="AL6" s="67" t="s">
        <v>166</v>
      </c>
      <c r="AM6" s="12" t="s">
        <v>7</v>
      </c>
      <c r="AN6" s="67" t="s">
        <v>166</v>
      </c>
      <c r="AO6" s="12" t="s">
        <v>7</v>
      </c>
      <c r="AP6" s="57" t="s">
        <v>166</v>
      </c>
      <c r="AQ6" s="17" t="s">
        <v>7</v>
      </c>
      <c r="AR6" s="199" t="str">
        <f t="shared" ref="AR6:AR40" si="4">FI6</f>
        <v>Sum of MATFUELCOST</v>
      </c>
      <c r="AS6" s="199" t="str">
        <f t="shared" ref="AS6:AS40" si="5">FJ6</f>
        <v>Sum of MATFUELQTY</v>
      </c>
      <c r="AT6" s="17" t="s">
        <v>7</v>
      </c>
      <c r="AU6" s="12" t="s">
        <v>10</v>
      </c>
      <c r="AV6" s="67" t="s">
        <v>166</v>
      </c>
      <c r="AW6" s="12" t="s">
        <v>10</v>
      </c>
      <c r="AX6" s="67" t="s">
        <v>166</v>
      </c>
      <c r="AY6" s="12" t="s">
        <v>10</v>
      </c>
      <c r="AZ6" s="57" t="s">
        <v>173</v>
      </c>
      <c r="BA6" s="57" t="s">
        <v>166</v>
      </c>
      <c r="BB6" s="57" t="s">
        <v>43</v>
      </c>
      <c r="BC6" s="195" t="str">
        <f t="shared" ref="BC6:BC40" si="6">FC6</f>
        <v>Sum of MATFUELCOST</v>
      </c>
      <c r="BD6" s="195" t="str">
        <f t="shared" ref="BD6:BD40" si="7">FD6</f>
        <v>Sum of MATFUELQTY</v>
      </c>
      <c r="BE6" s="17" t="s">
        <v>10</v>
      </c>
      <c r="BF6" s="12" t="s">
        <v>12</v>
      </c>
      <c r="BG6" s="67" t="s">
        <v>166</v>
      </c>
      <c r="BH6" s="12" t="s">
        <v>12</v>
      </c>
      <c r="BI6" s="67" t="s">
        <v>166</v>
      </c>
      <c r="BJ6" s="12" t="s">
        <v>12</v>
      </c>
      <c r="BK6" s="57" t="s">
        <v>166</v>
      </c>
      <c r="BL6" s="12" t="s">
        <v>12</v>
      </c>
      <c r="BM6" s="57" t="str">
        <f t="shared" ref="BM6:BM40" si="8">FE6</f>
        <v>Sum of MATFUELCOST</v>
      </c>
      <c r="BN6" s="12" t="str">
        <f t="shared" ref="BN6:BN40" si="9">FF6</f>
        <v>Sum of MATFUELQTY</v>
      </c>
      <c r="BO6" s="17" t="s">
        <v>12</v>
      </c>
      <c r="BP6" s="67" t="s">
        <v>166</v>
      </c>
      <c r="BQ6" s="88" t="s">
        <v>319</v>
      </c>
      <c r="BR6" s="67" t="s">
        <v>166</v>
      </c>
      <c r="BS6" s="88" t="s">
        <v>319</v>
      </c>
      <c r="BT6" s="57" t="s">
        <v>166</v>
      </c>
      <c r="BU6" s="117" t="s">
        <v>166</v>
      </c>
      <c r="BV6" s="117" t="s">
        <v>416</v>
      </c>
      <c r="CC6" s="18" t="s">
        <v>14</v>
      </c>
      <c r="CD6" s="6"/>
      <c r="CE6" s="31"/>
      <c r="CF6" s="32"/>
      <c r="CG6" s="32"/>
      <c r="CH6" s="32"/>
      <c r="CI6" s="32"/>
      <c r="CJ6" s="32"/>
      <c r="CK6" s="32"/>
      <c r="CL6" s="32"/>
      <c r="CM6" s="32"/>
      <c r="CN6" s="32"/>
      <c r="CO6" s="32"/>
      <c r="CP6" s="32"/>
      <c r="CS6" s="108" t="s">
        <v>335</v>
      </c>
      <c r="CT6" s="108" t="s">
        <v>336</v>
      </c>
      <c r="CU6" s="60" t="s">
        <v>326</v>
      </c>
      <c r="CV6" s="60" t="s">
        <v>327</v>
      </c>
      <c r="CW6" s="60" t="s">
        <v>328</v>
      </c>
      <c r="CX6" s="60" t="s">
        <v>329</v>
      </c>
      <c r="DB6" s="60" t="s">
        <v>324</v>
      </c>
      <c r="DC6" s="60" t="s">
        <v>325</v>
      </c>
      <c r="DD6" s="60" t="s">
        <v>326</v>
      </c>
      <c r="DE6" s="60" t="s">
        <v>327</v>
      </c>
      <c r="DF6" s="60" t="s">
        <v>328</v>
      </c>
      <c r="DG6" s="60" t="s">
        <v>329</v>
      </c>
      <c r="EX6" s="191" t="str">
        <f>[1]_2012!A5</f>
        <v>Row Labels</v>
      </c>
      <c r="EY6" s="191" t="str">
        <f>[1]_2012!B5</f>
        <v>Sum of MATFUELCOST</v>
      </c>
      <c r="EZ6" s="191" t="str">
        <f>[1]_2012!C5</f>
        <v>Sum of MATFUELQTY</v>
      </c>
      <c r="FA6" s="191" t="str">
        <f>[1]_2012!D5</f>
        <v>Sum of MATFUELCOST</v>
      </c>
      <c r="FB6" s="191" t="str">
        <f>[1]_2012!E5</f>
        <v>Sum of MATFUELQTY</v>
      </c>
      <c r="FC6" s="191" t="str">
        <f>[1]_2012!F5</f>
        <v>Sum of MATFUELCOST</v>
      </c>
      <c r="FD6" s="191" t="str">
        <f>[1]_2012!G5</f>
        <v>Sum of MATFUELQTY</v>
      </c>
      <c r="FE6" s="191" t="str">
        <f>[1]_2012!H5</f>
        <v>Sum of MATFUELCOST</v>
      </c>
      <c r="FF6" s="191" t="str">
        <f>[1]_2012!I5</f>
        <v>Sum of MATFUELQTY</v>
      </c>
      <c r="FG6" s="191" t="str">
        <f>[1]_2012!J5</f>
        <v>Sum of MATFUELCOST</v>
      </c>
      <c r="FH6" s="191" t="str">
        <f>[1]_2012!K5</f>
        <v>Sum of MATFUELQTY</v>
      </c>
      <c r="FI6" s="191" t="str">
        <f>[1]_2012!L5</f>
        <v>Sum of MATFUELCOST</v>
      </c>
      <c r="FJ6" s="191" t="str">
        <f>[1]_2012!M5</f>
        <v>Sum of MATFUELQTY</v>
      </c>
      <c r="FK6" s="191" t="str">
        <f>[1]_2012!N5</f>
        <v>Sum of MATFUELCOST</v>
      </c>
      <c r="FL6" s="191" t="str">
        <f>[1]_2012!O5</f>
        <v>Sum of MATFUELQTY</v>
      </c>
      <c r="FM6" s="191" t="str">
        <f>[1]_2012!P5</f>
        <v>Sum of MATFUELCOST</v>
      </c>
      <c r="FN6" s="191" t="str">
        <f>[1]_2012!Q5</f>
        <v>Sum of MATFUELQTY</v>
      </c>
      <c r="FO6" s="191">
        <f>[1]_2012!R5</f>
        <v>0</v>
      </c>
      <c r="FP6" s="191">
        <f>[1]_2012!S5</f>
        <v>0</v>
      </c>
      <c r="FQ6" s="191"/>
      <c r="FR6" s="191"/>
    </row>
    <row r="7" spans="2:174" x14ac:dyDescent="0.2">
      <c r="B7" s="6">
        <v>211111</v>
      </c>
      <c r="C7" s="6" t="s">
        <v>49</v>
      </c>
      <c r="D7" s="6">
        <v>9391</v>
      </c>
      <c r="E7" s="6">
        <v>173000</v>
      </c>
      <c r="F7" s="6"/>
      <c r="G7" s="6">
        <v>173000</v>
      </c>
      <c r="H7" s="6"/>
      <c r="I7" s="6">
        <v>173000</v>
      </c>
      <c r="J7" s="6">
        <v>28999200</v>
      </c>
      <c r="K7" s="30">
        <v>29577576</v>
      </c>
      <c r="L7" s="34">
        <v>26926558</v>
      </c>
      <c r="M7" s="78">
        <v>211111</v>
      </c>
      <c r="N7" s="91">
        <v>21512516</v>
      </c>
      <c r="O7" s="91"/>
      <c r="P7" s="23">
        <f>(K7+L7)/2</f>
        <v>28252067</v>
      </c>
      <c r="Q7" s="6"/>
      <c r="R7" s="6"/>
      <c r="S7" s="6"/>
      <c r="T7" s="6"/>
      <c r="U7" s="6"/>
      <c r="V7" s="6"/>
      <c r="W7" s="6"/>
      <c r="X7" s="6">
        <f t="shared" si="0"/>
        <v>0</v>
      </c>
      <c r="Y7" s="6">
        <f t="shared" si="1"/>
        <v>0</v>
      </c>
      <c r="Z7" s="16"/>
      <c r="AA7" s="6">
        <v>2940.9</v>
      </c>
      <c r="AB7" s="6">
        <v>61219</v>
      </c>
      <c r="AC7" s="8">
        <v>2017.8</v>
      </c>
      <c r="AD7" s="8">
        <v>109965</v>
      </c>
      <c r="AE7" s="8">
        <v>3716.4</v>
      </c>
      <c r="AF7" s="58">
        <v>519532</v>
      </c>
      <c r="AG7" s="84">
        <f>AF7/(AD7*AG$4)*AE7</f>
        <v>6259.0387581800651</v>
      </c>
      <c r="AH7" s="84">
        <f t="shared" si="2"/>
        <v>743744</v>
      </c>
      <c r="AI7" s="84">
        <f t="shared" si="3"/>
        <v>0</v>
      </c>
      <c r="AJ7" s="16">
        <f>(AC7+AE7)/2</f>
        <v>2867.1</v>
      </c>
      <c r="AK7" s="6">
        <v>174.7</v>
      </c>
      <c r="AL7" s="8">
        <v>20549</v>
      </c>
      <c r="AM7" s="8">
        <v>648.5</v>
      </c>
      <c r="AN7" s="8">
        <v>20436</v>
      </c>
      <c r="AO7" s="84">
        <f>AN7/(AL7*EO$14)*AM7</f>
        <v>493.18472059610735</v>
      </c>
      <c r="AP7" s="58">
        <v>60556</v>
      </c>
      <c r="AQ7" s="84">
        <f>AP7/(AN7*AQ$4)*AO7</f>
        <v>595.82034257028295</v>
      </c>
      <c r="AR7" s="84">
        <f t="shared" si="4"/>
        <v>88565</v>
      </c>
      <c r="AS7" s="84">
        <f t="shared" si="5"/>
        <v>0</v>
      </c>
      <c r="AT7" s="16">
        <f>(AM7+AO7)/2</f>
        <v>570.84236029805368</v>
      </c>
      <c r="AU7" s="6">
        <v>181.4</v>
      </c>
      <c r="AV7" s="6">
        <v>459812</v>
      </c>
      <c r="AW7" s="8">
        <f>169.7</f>
        <v>169.7</v>
      </c>
      <c r="AX7" s="8">
        <v>341552</v>
      </c>
      <c r="AY7" s="8">
        <v>102.4</v>
      </c>
      <c r="AZ7" s="8">
        <f>AX7/AY7*0.001</f>
        <v>3.33546875</v>
      </c>
      <c r="BA7" s="58">
        <v>848249</v>
      </c>
      <c r="BB7" s="169">
        <f>BA7/(AX7*BB$4)*AY7</f>
        <v>133.11632313674053</v>
      </c>
      <c r="BC7" s="84">
        <f t="shared" si="6"/>
        <v>558505</v>
      </c>
      <c r="BD7" s="84">
        <f t="shared" si="7"/>
        <v>0</v>
      </c>
      <c r="BE7" s="16">
        <f>(AW7+AY7)/2</f>
        <v>136.05000000000001</v>
      </c>
      <c r="BF7" s="6">
        <v>34.6</v>
      </c>
      <c r="BG7" s="8">
        <v>105255</v>
      </c>
      <c r="BH7" s="8">
        <v>98.2</v>
      </c>
      <c r="BI7" s="8"/>
      <c r="BJ7" s="14">
        <v>50</v>
      </c>
      <c r="BK7" s="58">
        <v>220100</v>
      </c>
      <c r="BL7" s="84">
        <f>(BK7/(BG7*EK$14*EK$15))*BH7</f>
        <v>70.177429456050589</v>
      </c>
      <c r="BM7" s="84">
        <f t="shared" si="8"/>
        <v>325708</v>
      </c>
      <c r="BN7" s="84">
        <f t="shared" si="9"/>
        <v>0</v>
      </c>
      <c r="BO7" s="16">
        <f>(BH7+BJ7)/2</f>
        <v>74.099999999999994</v>
      </c>
      <c r="BP7" s="6">
        <v>38537</v>
      </c>
      <c r="BQ7" s="93">
        <f>ER$37*0.001*BP7</f>
        <v>4.0087843583902814</v>
      </c>
      <c r="BR7" s="6">
        <v>46407</v>
      </c>
      <c r="BS7" s="93">
        <f>ER$38*0.001*BR7</f>
        <v>4.4243277661795402</v>
      </c>
      <c r="BT7" s="92">
        <f>CI7</f>
        <v>114905</v>
      </c>
      <c r="BU7" s="93">
        <f>ER$39*0.001*BT7</f>
        <v>5.5586105225988698</v>
      </c>
      <c r="BV7" s="170"/>
      <c r="BW7" s="21">
        <f>CB7/BZ7-1</f>
        <v>0.3175122415272289</v>
      </c>
      <c r="BX7" s="33">
        <v>217570</v>
      </c>
      <c r="BY7" s="33"/>
      <c r="BZ7" s="33">
        <f>CA7</f>
        <v>685372</v>
      </c>
      <c r="CA7" s="33">
        <f>R7+AB7+AL7+AV7+BG7+BP7</f>
        <v>685372</v>
      </c>
      <c r="CB7" s="27">
        <v>902986</v>
      </c>
      <c r="CC7" s="21">
        <f>CF7/CE7-1</f>
        <v>0.49622879620370397</v>
      </c>
      <c r="CD7" s="110"/>
      <c r="CE7" s="33">
        <f>CF7-268957</f>
        <v>542002</v>
      </c>
      <c r="CF7" s="27">
        <v>810959</v>
      </c>
      <c r="CG7" s="21">
        <f>CL7/(CI7+CK7)-1</f>
        <v>6.2258484173801865E-2</v>
      </c>
      <c r="CH7" s="27">
        <v>109783</v>
      </c>
      <c r="CI7" s="27">
        <f>CL7-CK7-CH7</f>
        <v>114905</v>
      </c>
      <c r="CJ7" s="27"/>
      <c r="CK7" s="27">
        <f>AF7+AP7+BA7+BK7</f>
        <v>1648437</v>
      </c>
      <c r="CL7" s="27">
        <v>1873125</v>
      </c>
      <c r="CM7" s="27">
        <v>1882003</v>
      </c>
      <c r="CN7" s="27">
        <f>FK7</f>
        <v>1882003</v>
      </c>
      <c r="CO7" s="27"/>
      <c r="CP7" s="27"/>
      <c r="CS7" s="13">
        <f>K7*CS$3</f>
        <v>100.91868931199998</v>
      </c>
      <c r="CT7" s="13">
        <f>S7*CT$3</f>
        <v>0</v>
      </c>
      <c r="CU7" s="13">
        <f>AC7*CU$3</f>
        <v>11.753684999999999</v>
      </c>
      <c r="CV7" s="13">
        <f>AM7*CV$3</f>
        <v>4.0771195000000002</v>
      </c>
      <c r="CW7" s="13">
        <f>AW7*CW$3</f>
        <v>174.45159999999998</v>
      </c>
      <c r="CX7" s="13">
        <f>BH7*CX$3</f>
        <v>12.282014285714288</v>
      </c>
      <c r="CY7" s="13">
        <f>BQ7</f>
        <v>4.0087843583902814</v>
      </c>
      <c r="CZ7" s="13">
        <f>SUM(CT7:CX7)*(1+BW7)</f>
        <v>266.88110144802675</v>
      </c>
      <c r="DB7" s="13">
        <f>L7*DB$3</f>
        <v>91.873415895999997</v>
      </c>
      <c r="DC7" s="13">
        <f>U7*DC$3</f>
        <v>0</v>
      </c>
      <c r="DD7" s="13">
        <f>AE7*DD$3</f>
        <v>21.648029999999999</v>
      </c>
      <c r="DE7" s="13">
        <f>AO7*DE$3</f>
        <v>3.1006523383877269</v>
      </c>
      <c r="DF7" s="13">
        <f>AY7*DF$3</f>
        <v>105.2672</v>
      </c>
      <c r="DG7" s="13">
        <f>BJ7*DG$3</f>
        <v>6.253571428571429</v>
      </c>
      <c r="DH7" s="13">
        <f>BS7</f>
        <v>4.4243277661795402</v>
      </c>
      <c r="DI7" s="13">
        <f>SUM(DC7:DH7)*(1+CC7)</f>
        <v>210.51008737667502</v>
      </c>
      <c r="DL7" s="13">
        <f>N7*DL$3</f>
        <v>73.400704591999997</v>
      </c>
      <c r="DM7" s="13">
        <f>W7*DM$3</f>
        <v>0</v>
      </c>
      <c r="DN7" s="13">
        <f>AG7*DN$3</f>
        <v>36.458900766398877</v>
      </c>
      <c r="DO7" s="13">
        <f>AQ7*DO$3</f>
        <v>3.7459224937393687</v>
      </c>
      <c r="DP7" s="13">
        <f>BB7*DP$3</f>
        <v>136.84358018456928</v>
      </c>
      <c r="DQ7" s="13">
        <f>BL7*DQ$3</f>
        <v>8.7771913555388998</v>
      </c>
      <c r="DR7" s="13">
        <f>BU7</f>
        <v>5.5586105225988698</v>
      </c>
      <c r="DS7" s="13">
        <f>SUM(DM7:DR7)*(1+CG7)</f>
        <v>203.29949584105333</v>
      </c>
      <c r="DU7">
        <f>[2]ALLFOS!AD11</f>
        <v>180.40899999999999</v>
      </c>
      <c r="EH7" s="60" t="str">
        <f>Prices!E4</f>
        <v>Coal</v>
      </c>
      <c r="EI7" s="16"/>
      <c r="EJ7" s="60" t="str">
        <f>Prices!G4</f>
        <v>Gasoline</v>
      </c>
      <c r="EK7" s="16">
        <f>Prices!H4</f>
        <v>0</v>
      </c>
      <c r="EL7" s="60" t="str">
        <f>Prices!I4</f>
        <v>Distillate</v>
      </c>
      <c r="EM7" s="16">
        <f>Prices!J4</f>
        <v>0</v>
      </c>
      <c r="EN7" s="60" t="str">
        <f>Prices!K4</f>
        <v>Residual</v>
      </c>
      <c r="EO7" s="16">
        <f>Prices!L4</f>
        <v>0</v>
      </c>
      <c r="EP7" s="60" t="str">
        <f>Prices!M4</f>
        <v>Natural Gas</v>
      </c>
      <c r="EQ7" s="16">
        <f>Prices!N4</f>
        <v>0</v>
      </c>
      <c r="ER7" s="60" t="str">
        <f>Prices!O4</f>
        <v>Propane</v>
      </c>
      <c r="EX7">
        <f>[1]_2012!A6</f>
        <v>211111</v>
      </c>
      <c r="EY7">
        <f>[1]_2012!B6</f>
        <v>0</v>
      </c>
      <c r="EZ7">
        <f>[1]_2012!C6</f>
        <v>0</v>
      </c>
      <c r="FA7">
        <f>[1]_2012!D6</f>
        <v>743744</v>
      </c>
      <c r="FB7">
        <f>[1]_2012!E6</f>
        <v>0</v>
      </c>
      <c r="FC7">
        <f>[1]_2012!F6</f>
        <v>558505</v>
      </c>
      <c r="FD7">
        <f>[1]_2012!G6</f>
        <v>0</v>
      </c>
      <c r="FE7">
        <f>[1]_2012!H6</f>
        <v>325708</v>
      </c>
      <c r="FF7">
        <f>[1]_2012!I6</f>
        <v>0</v>
      </c>
      <c r="FG7">
        <f>[1]_2012!J6</f>
        <v>46821</v>
      </c>
      <c r="FH7">
        <f>[1]_2012!K6</f>
        <v>0</v>
      </c>
      <c r="FI7">
        <f>[1]_2012!L6</f>
        <v>88565</v>
      </c>
      <c r="FJ7">
        <f>[1]_2012!M6</f>
        <v>0</v>
      </c>
      <c r="FK7">
        <f>[1]_2012!N6</f>
        <v>1882003</v>
      </c>
      <c r="FL7">
        <f>[1]_2012!O6</f>
        <v>0</v>
      </c>
      <c r="FM7">
        <f>[1]_2012!P6</f>
        <v>0</v>
      </c>
      <c r="FN7">
        <f>[1]_2012!Q6</f>
        <v>0</v>
      </c>
      <c r="FO7">
        <f>[1]_2012!R6</f>
        <v>3645346</v>
      </c>
      <c r="FP7">
        <f>[1]_2012!S6</f>
        <v>0</v>
      </c>
    </row>
    <row r="8" spans="2:174" x14ac:dyDescent="0.2">
      <c r="B8" s="6"/>
      <c r="C8" s="6" t="s">
        <v>51</v>
      </c>
      <c r="D8" s="6"/>
      <c r="E8" s="6"/>
      <c r="F8" s="6"/>
      <c r="G8" s="6"/>
      <c r="H8" s="6"/>
      <c r="I8" s="6"/>
      <c r="J8" s="6"/>
      <c r="K8" s="6"/>
      <c r="L8" s="5"/>
      <c r="N8" s="3"/>
      <c r="O8" s="3"/>
      <c r="P8" s="6"/>
      <c r="Q8" s="6"/>
      <c r="R8" s="6"/>
      <c r="S8" s="6"/>
      <c r="T8" s="6"/>
      <c r="U8" s="6"/>
      <c r="V8" s="6"/>
      <c r="W8" s="6"/>
      <c r="X8" s="6">
        <f t="shared" si="0"/>
        <v>0</v>
      </c>
      <c r="Y8" s="6">
        <f t="shared" si="1"/>
        <v>0</v>
      </c>
      <c r="Z8" s="16"/>
      <c r="AA8" s="6">
        <v>21.8</v>
      </c>
      <c r="AB8" s="6"/>
      <c r="AC8" s="14">
        <v>22</v>
      </c>
      <c r="AD8" s="14"/>
      <c r="AE8" s="14">
        <v>22</v>
      </c>
      <c r="AF8" s="58"/>
      <c r="AG8" s="58"/>
      <c r="AH8" s="58">
        <f t="shared" si="2"/>
        <v>0</v>
      </c>
      <c r="AI8" s="58">
        <f t="shared" si="3"/>
        <v>0</v>
      </c>
      <c r="AJ8" s="16">
        <f>(AC8+AE8)/2</f>
        <v>22</v>
      </c>
      <c r="AK8" s="6"/>
      <c r="AL8" s="6"/>
      <c r="AM8" s="6"/>
      <c r="AN8" s="6"/>
      <c r="AO8" s="6"/>
      <c r="AP8" s="58"/>
      <c r="AQ8" s="58"/>
      <c r="AR8" s="58">
        <f t="shared" si="4"/>
        <v>0</v>
      </c>
      <c r="AS8" s="58">
        <f t="shared" si="5"/>
        <v>0</v>
      </c>
      <c r="AT8" s="16">
        <f>(AM8+AO8)/2</f>
        <v>0</v>
      </c>
      <c r="AU8" s="6">
        <f>80.3</f>
        <v>80.3</v>
      </c>
      <c r="AV8" s="6"/>
      <c r="AW8" s="14">
        <v>80</v>
      </c>
      <c r="AX8" s="14"/>
      <c r="AY8" s="14">
        <v>80</v>
      </c>
      <c r="AZ8" s="14"/>
      <c r="BA8" s="58"/>
      <c r="BB8" s="171"/>
      <c r="BC8" s="58">
        <f t="shared" si="6"/>
        <v>0</v>
      </c>
      <c r="BD8" s="58">
        <f t="shared" si="7"/>
        <v>0</v>
      </c>
      <c r="BE8" s="16">
        <f>(AW8+AY8)/2</f>
        <v>80</v>
      </c>
      <c r="BF8" s="6">
        <v>0.6</v>
      </c>
      <c r="BG8" s="6"/>
      <c r="BH8" s="8">
        <v>0.6</v>
      </c>
      <c r="BI8" s="8"/>
      <c r="BJ8" s="8">
        <v>0.6</v>
      </c>
      <c r="BK8" s="58"/>
      <c r="BL8" s="58"/>
      <c r="BM8" s="58">
        <f t="shared" si="8"/>
        <v>0</v>
      </c>
      <c r="BN8" s="58">
        <f t="shared" si="9"/>
        <v>0</v>
      </c>
      <c r="BO8" s="16">
        <f>(BH8+BJ8)/2</f>
        <v>0.6</v>
      </c>
      <c r="BP8" s="6"/>
      <c r="BQ8" s="6"/>
      <c r="BR8" s="6"/>
      <c r="BS8" s="6"/>
      <c r="BT8" s="6"/>
      <c r="BV8" s="130"/>
      <c r="CC8" s="21">
        <v>0.05</v>
      </c>
      <c r="CD8" s="110"/>
      <c r="CE8" s="33"/>
      <c r="CF8" s="27"/>
      <c r="CG8" s="27"/>
      <c r="CH8" s="27"/>
      <c r="CI8" s="27"/>
      <c r="CJ8" s="27"/>
      <c r="CK8" s="27"/>
      <c r="CL8" s="27"/>
      <c r="CM8" s="27"/>
      <c r="CN8" s="27">
        <f t="shared" ref="CN8:CN40" si="10">FK8</f>
        <v>0</v>
      </c>
      <c r="CO8" s="27"/>
      <c r="CP8" s="27"/>
      <c r="CS8" s="13"/>
      <c r="CT8" s="13"/>
      <c r="CU8" s="13"/>
      <c r="CV8" s="13"/>
      <c r="CW8" s="13"/>
      <c r="CX8" s="13"/>
      <c r="CY8" s="13"/>
      <c r="CZ8" s="13"/>
      <c r="DB8" s="13">
        <f>P8*DB$3</f>
        <v>0</v>
      </c>
      <c r="DC8" s="13">
        <f>Z8*DC$3</f>
        <v>0</v>
      </c>
      <c r="DD8" s="13">
        <f>AJ8*DD$3</f>
        <v>0.12814999999999999</v>
      </c>
      <c r="DE8" s="13">
        <f>AT8*DE$3</f>
        <v>0</v>
      </c>
      <c r="DF8" s="13">
        <f>BE8*DF$3</f>
        <v>82.240000000000009</v>
      </c>
      <c r="DG8" s="13">
        <f>BO8*DG$3</f>
        <v>7.5042857142857147E-2</v>
      </c>
      <c r="DH8" s="13"/>
      <c r="DI8" s="13">
        <f>SUM(DC8:DG8)*(1+CC8)*0</f>
        <v>0</v>
      </c>
      <c r="DL8" s="13"/>
      <c r="DM8" s="13"/>
      <c r="DN8" s="13"/>
      <c r="DO8" s="13"/>
      <c r="DP8" s="13"/>
      <c r="DQ8" s="13"/>
      <c r="DR8" s="13"/>
      <c r="DS8" s="13"/>
      <c r="DU8">
        <f>[2]ALLFOS!AD12</f>
        <v>21.308</v>
      </c>
      <c r="EG8">
        <f>Prices!D5</f>
        <v>0</v>
      </c>
      <c r="EH8" s="60" t="str">
        <f>Prices!E5</f>
        <v xml:space="preserve"> $/ton</v>
      </c>
      <c r="EI8" s="85" t="str">
        <f>Prices!F5</f>
        <v>Price relative</v>
      </c>
      <c r="EJ8" s="60" t="str">
        <f>Prices!G5</f>
        <v>$ /gallon</v>
      </c>
      <c r="EK8" s="85" t="str">
        <f>Prices!H5</f>
        <v>Price relative</v>
      </c>
      <c r="EL8">
        <f>Prices!I5</f>
        <v>0</v>
      </c>
      <c r="EM8" s="85" t="str">
        <f>Prices!J5</f>
        <v>Price relative</v>
      </c>
      <c r="EN8">
        <f>Prices!K5</f>
        <v>0</v>
      </c>
      <c r="EO8" s="85" t="str">
        <f>Prices!L5</f>
        <v>Price relative</v>
      </c>
      <c r="EP8" s="60" t="str">
        <f>Prices!M5</f>
        <v xml:space="preserve"> $/1000 cf</v>
      </c>
      <c r="EQ8" s="85" t="str">
        <f>Prices!N5</f>
        <v>Price relative</v>
      </c>
      <c r="ER8" s="60" t="str">
        <f>Prices!O5</f>
        <v>$/ Gallon</v>
      </c>
    </row>
    <row r="9" spans="2:174" x14ac:dyDescent="0.2">
      <c r="B9" s="6">
        <v>211112</v>
      </c>
      <c r="C9" s="6" t="s">
        <v>50</v>
      </c>
      <c r="D9" s="6"/>
      <c r="E9" s="6"/>
      <c r="F9" s="6"/>
      <c r="G9" s="6"/>
      <c r="H9" s="6"/>
      <c r="I9" s="6"/>
      <c r="J9" s="6"/>
      <c r="K9" s="6">
        <v>3220910</v>
      </c>
      <c r="L9" s="6">
        <v>2764113</v>
      </c>
      <c r="M9" s="78">
        <v>211112</v>
      </c>
      <c r="N9" s="91">
        <v>2298600</v>
      </c>
      <c r="O9" s="91"/>
      <c r="P9" s="6"/>
      <c r="Q9" s="6"/>
      <c r="R9" s="6"/>
      <c r="S9" s="6"/>
      <c r="T9" s="6"/>
      <c r="U9" s="6"/>
      <c r="V9" s="6"/>
      <c r="W9" s="6"/>
      <c r="X9" s="6">
        <f t="shared" si="0"/>
        <v>0</v>
      </c>
      <c r="Y9" s="6">
        <f t="shared" si="1"/>
        <v>0</v>
      </c>
      <c r="Z9" s="16"/>
      <c r="AA9" s="6"/>
      <c r="AB9" s="6">
        <v>1353</v>
      </c>
      <c r="AC9" s="8">
        <v>47.7</v>
      </c>
      <c r="AD9" s="8">
        <v>1250</v>
      </c>
      <c r="AE9" s="84">
        <f>AD9/(AB9*AE$4)*AC9</f>
        <v>37.592685311017334</v>
      </c>
      <c r="AF9" s="58">
        <v>5160</v>
      </c>
      <c r="AG9" s="84">
        <f>AF9/(AD9*AG$4)*AE9</f>
        <v>55.318501002882101</v>
      </c>
      <c r="AH9" s="84">
        <f t="shared" si="2"/>
        <v>13686</v>
      </c>
      <c r="AI9" s="84">
        <f t="shared" si="3"/>
        <v>0</v>
      </c>
      <c r="AJ9" s="16"/>
      <c r="AK9" s="6"/>
      <c r="AL9" s="6"/>
      <c r="AM9" s="6"/>
      <c r="AN9" s="6"/>
      <c r="AO9" s="6"/>
      <c r="AP9" s="58">
        <v>617</v>
      </c>
      <c r="AQ9" s="99">
        <f>AP9/(EN$15*42)</f>
        <v>10.676218161683279</v>
      </c>
      <c r="AR9" s="99">
        <f t="shared" si="4"/>
        <v>1420</v>
      </c>
      <c r="AS9" s="99">
        <f t="shared" si="5"/>
        <v>0</v>
      </c>
      <c r="AT9" s="16"/>
      <c r="AU9" s="6"/>
      <c r="AV9" s="6">
        <v>137784</v>
      </c>
      <c r="AW9" s="6">
        <v>60.5</v>
      </c>
      <c r="AX9" s="6">
        <v>344523</v>
      </c>
      <c r="AY9" s="8">
        <v>121.6</v>
      </c>
      <c r="AZ9" s="8">
        <f>AX9/AY9*0.001</f>
        <v>2.8332483552631578</v>
      </c>
      <c r="BA9" s="58">
        <v>300107</v>
      </c>
      <c r="BB9" s="169">
        <f>BA9/(AX9*BB$4)*AY9</f>
        <v>55.444224478481843</v>
      </c>
      <c r="BC9" s="84">
        <f t="shared" si="6"/>
        <v>114195</v>
      </c>
      <c r="BD9" s="84">
        <f t="shared" si="7"/>
        <v>0</v>
      </c>
      <c r="BE9" s="16"/>
      <c r="BF9" s="6"/>
      <c r="BG9" s="6">
        <v>2244</v>
      </c>
      <c r="BH9" s="8">
        <v>1.9</v>
      </c>
      <c r="BI9" s="8"/>
      <c r="BJ9" s="14">
        <v>2</v>
      </c>
      <c r="BK9" s="58">
        <v>7742</v>
      </c>
      <c r="BL9" s="84">
        <f>(BK9/(BG9*EK$14*EK$15))*BH9</f>
        <v>2.2402298355523786</v>
      </c>
      <c r="BM9" s="84">
        <f t="shared" si="8"/>
        <v>13627</v>
      </c>
      <c r="BN9" s="84">
        <f t="shared" si="9"/>
        <v>0</v>
      </c>
      <c r="BO9" s="16"/>
      <c r="BP9" s="59">
        <v>2000</v>
      </c>
      <c r="BQ9" s="93">
        <f>ER$37*0.001*BP9</f>
        <v>0.20804859529233108</v>
      </c>
      <c r="BR9" s="6"/>
      <c r="BS9" s="6"/>
      <c r="BT9" s="92">
        <f>CI9</f>
        <v>5913</v>
      </c>
      <c r="BU9" s="93">
        <f>ER$39*0.001*BT9</f>
        <v>0.28604555084745764</v>
      </c>
      <c r="BV9" s="170"/>
      <c r="BW9" s="21">
        <f>CB9/BZ9-1</f>
        <v>0.14986643976538039</v>
      </c>
      <c r="BX9" s="116">
        <f>CB9-CA9</f>
        <v>21488</v>
      </c>
      <c r="BY9" s="116"/>
      <c r="BZ9" s="33">
        <f>CA9</f>
        <v>143381</v>
      </c>
      <c r="CA9" s="33">
        <f>R9+AB9+AL9+AV9+BG9+BP9</f>
        <v>143381</v>
      </c>
      <c r="CB9">
        <v>164869</v>
      </c>
      <c r="CC9" s="21">
        <f>CF9/CE9-1</f>
        <v>9.3036262601371655E-2</v>
      </c>
      <c r="CD9" s="110"/>
      <c r="CE9" s="33">
        <f>CF9-33602</f>
        <v>361171</v>
      </c>
      <c r="CF9" s="27">
        <v>394773</v>
      </c>
      <c r="CG9" s="21">
        <f>CL9/(CI9+CK9)-1</f>
        <v>6.8129398915313111E-3</v>
      </c>
      <c r="CH9" s="27">
        <v>2177</v>
      </c>
      <c r="CI9" s="27">
        <v>5913</v>
      </c>
      <c r="CJ9" s="27"/>
      <c r="CK9" s="27">
        <f>AF9+AP9+BA9+BK9</f>
        <v>313626</v>
      </c>
      <c r="CL9" s="27">
        <v>321716</v>
      </c>
      <c r="CM9" s="27">
        <v>153539</v>
      </c>
      <c r="CN9" s="27">
        <f t="shared" si="10"/>
        <v>153539</v>
      </c>
      <c r="CO9" s="27"/>
      <c r="CP9" s="27"/>
      <c r="CS9" s="13">
        <f>K9*CS$3</f>
        <v>10.98974492</v>
      </c>
      <c r="CT9" s="13">
        <f>S9*CT$3</f>
        <v>0</v>
      </c>
      <c r="CU9" s="13">
        <f>AC9*CU$3</f>
        <v>0.2778525</v>
      </c>
      <c r="CV9" s="13">
        <f>AM9*CV$3</f>
        <v>0</v>
      </c>
      <c r="CW9" s="13">
        <f>AW9*CW$3</f>
        <v>62.194000000000003</v>
      </c>
      <c r="CX9" s="13">
        <f>BH9*CX$3</f>
        <v>0.23763571428571428</v>
      </c>
      <c r="CY9" s="13">
        <f>BQ9</f>
        <v>0.20804859529233108</v>
      </c>
      <c r="CZ9" s="13">
        <f>SUM(CT9:CX9)*(1+BW9)</f>
        <v>72.107535952469803</v>
      </c>
      <c r="DB9" s="13">
        <f>L9*DB$3</f>
        <v>9.4311535559999999</v>
      </c>
      <c r="DC9" s="13">
        <f>U9*DC$3</f>
        <v>0</v>
      </c>
      <c r="DD9" s="13">
        <f>AE9*DD$3</f>
        <v>0.21897739193667595</v>
      </c>
      <c r="DE9" s="13">
        <f>AO9*DE$3</f>
        <v>0</v>
      </c>
      <c r="DF9" s="13">
        <f>AY9*DF$3</f>
        <v>125.0048</v>
      </c>
      <c r="DG9" s="13">
        <f>BJ9*DG$3</f>
        <v>0.25014285714285717</v>
      </c>
      <c r="DH9" s="13">
        <f>BS9</f>
        <v>0</v>
      </c>
      <c r="DI9" s="13">
        <f>SUM(DC9:DH9)*(1+CC9)</f>
        <v>137.14754484299647</v>
      </c>
      <c r="DL9" s="13">
        <f>N9*DL$3</f>
        <v>7.8428231999999989</v>
      </c>
      <c r="DM9" s="13">
        <f>W9*DM$3</f>
        <v>0</v>
      </c>
      <c r="DN9" s="13">
        <f>AG9*DN$3</f>
        <v>0.3222302683417882</v>
      </c>
      <c r="DO9" s="13">
        <f>AQ9*DO$3</f>
        <v>6.7121383582502775E-2</v>
      </c>
      <c r="DP9" s="13">
        <f>BB9*DP$3</f>
        <v>56.996662763879336</v>
      </c>
      <c r="DQ9" s="13">
        <f>BL9*DQ$3</f>
        <v>0.2801887458608725</v>
      </c>
      <c r="DR9" s="13">
        <f>BU9</f>
        <v>0.28604555084745764</v>
      </c>
      <c r="DS9" s="13">
        <f>SUM(DM9:DR9)*(1+CG9)</f>
        <v>58.347073899569367</v>
      </c>
      <c r="DU9">
        <f>[2]ALLFOS!AD13</f>
        <v>101.361</v>
      </c>
      <c r="EG9">
        <f>Prices!D6</f>
        <v>1977</v>
      </c>
      <c r="EH9">
        <f>Prices!E6</f>
        <v>20.59</v>
      </c>
      <c r="EI9" s="16">
        <f>Prices!F6</f>
        <v>0</v>
      </c>
      <c r="EJ9" s="79">
        <f>Prices!G6</f>
        <v>0.40410071942446046</v>
      </c>
      <c r="EK9" s="16">
        <f>Prices!H6</f>
        <v>0</v>
      </c>
      <c r="EL9" s="79">
        <f>Prices!I6</f>
        <v>0.27941058655221745</v>
      </c>
      <c r="EM9" s="16">
        <f>Prices!J6</f>
        <v>0</v>
      </c>
      <c r="EN9" s="79">
        <f>Prices!K6</f>
        <v>0.3302241379310345</v>
      </c>
      <c r="EO9" s="16">
        <f>Prices!L6</f>
        <v>0</v>
      </c>
      <c r="EP9">
        <f>Prices!M6</f>
        <v>1.5</v>
      </c>
      <c r="EQ9" s="16">
        <f>Prices!N6</f>
        <v>0</v>
      </c>
      <c r="ER9">
        <f>Prices!O6</f>
        <v>0</v>
      </c>
      <c r="EX9">
        <f>[1]_2012!A7</f>
        <v>211112</v>
      </c>
      <c r="EY9">
        <f>[1]_2012!B7</f>
        <v>0</v>
      </c>
      <c r="EZ9">
        <f>[1]_2012!C7</f>
        <v>0</v>
      </c>
      <c r="FA9">
        <f>[1]_2012!D7</f>
        <v>13686</v>
      </c>
      <c r="FB9">
        <f>[1]_2012!E7</f>
        <v>0</v>
      </c>
      <c r="FC9">
        <f>[1]_2012!F7</f>
        <v>114195</v>
      </c>
      <c r="FD9">
        <f>[1]_2012!G7</f>
        <v>0</v>
      </c>
      <c r="FE9">
        <f>[1]_2012!H7</f>
        <v>13627</v>
      </c>
      <c r="FF9">
        <f>[1]_2012!I7</f>
        <v>0</v>
      </c>
      <c r="FG9">
        <f>[1]_2012!J7</f>
        <v>5744</v>
      </c>
      <c r="FH9">
        <f>[1]_2012!K7</f>
        <v>0</v>
      </c>
      <c r="FI9">
        <f>[1]_2012!L7</f>
        <v>1420</v>
      </c>
      <c r="FJ9">
        <f>[1]_2012!M7</f>
        <v>0</v>
      </c>
      <c r="FK9">
        <f>[1]_2012!N7</f>
        <v>153539</v>
      </c>
      <c r="FL9">
        <f>[1]_2012!O7</f>
        <v>0</v>
      </c>
      <c r="FM9">
        <f>[1]_2012!P7</f>
        <v>4867</v>
      </c>
      <c r="FN9">
        <f>[1]_2012!Q7</f>
        <v>0</v>
      </c>
      <c r="FO9">
        <f>[1]_2012!R7</f>
        <v>307078</v>
      </c>
      <c r="FP9">
        <f>[1]_2012!S7</f>
        <v>0</v>
      </c>
    </row>
    <row r="10" spans="2:174" x14ac:dyDescent="0.2">
      <c r="B10" s="6"/>
      <c r="C10" s="6"/>
      <c r="D10" s="6"/>
      <c r="E10" s="6"/>
      <c r="F10" s="6"/>
      <c r="G10" s="6"/>
      <c r="H10" s="6"/>
      <c r="I10" s="6"/>
      <c r="J10" s="6"/>
      <c r="K10" s="6"/>
      <c r="L10" s="6"/>
      <c r="N10" s="3"/>
      <c r="O10" s="3"/>
      <c r="P10" s="6"/>
      <c r="Q10" s="6"/>
      <c r="R10" s="6"/>
      <c r="S10" s="6"/>
      <c r="T10" s="6"/>
      <c r="U10" s="6"/>
      <c r="V10" s="6"/>
      <c r="W10" s="6"/>
      <c r="X10" s="6">
        <f t="shared" si="0"/>
        <v>0</v>
      </c>
      <c r="Y10" s="6">
        <f t="shared" si="1"/>
        <v>0</v>
      </c>
      <c r="Z10" s="16"/>
      <c r="AA10" s="6"/>
      <c r="AB10" s="6"/>
      <c r="AC10" s="6"/>
      <c r="AD10" s="6"/>
      <c r="AE10" s="6"/>
      <c r="AF10" s="58"/>
      <c r="AG10" s="58"/>
      <c r="AH10" s="58">
        <f t="shared" si="2"/>
        <v>0</v>
      </c>
      <c r="AI10" s="58">
        <f t="shared" si="3"/>
        <v>0</v>
      </c>
      <c r="AJ10" s="16"/>
      <c r="AK10" s="6"/>
      <c r="AL10" s="6"/>
      <c r="AM10" s="6"/>
      <c r="AN10" s="6"/>
      <c r="AO10" s="6"/>
      <c r="AP10" s="58"/>
      <c r="AQ10" s="58"/>
      <c r="AR10" s="58">
        <f t="shared" si="4"/>
        <v>0</v>
      </c>
      <c r="AS10" s="58">
        <f t="shared" si="5"/>
        <v>0</v>
      </c>
      <c r="AT10" s="16"/>
      <c r="AU10" s="6"/>
      <c r="AV10" s="6"/>
      <c r="AW10" s="6"/>
      <c r="AX10" s="6"/>
      <c r="AY10" s="6"/>
      <c r="AZ10" s="6"/>
      <c r="BA10" s="6"/>
      <c r="BB10" s="94"/>
      <c r="BC10" s="6">
        <f t="shared" si="6"/>
        <v>0</v>
      </c>
      <c r="BD10" s="6">
        <f t="shared" si="7"/>
        <v>0</v>
      </c>
      <c r="BE10" s="16"/>
      <c r="BF10" s="6"/>
      <c r="BG10" s="6"/>
      <c r="BH10" s="6"/>
      <c r="BI10" s="6"/>
      <c r="BJ10" s="6"/>
      <c r="BK10" s="6"/>
      <c r="BL10" s="6"/>
      <c r="BM10" s="6">
        <f t="shared" si="8"/>
        <v>0</v>
      </c>
      <c r="BN10" s="6">
        <f t="shared" si="9"/>
        <v>0</v>
      </c>
      <c r="BO10" s="16"/>
      <c r="BP10" s="6"/>
      <c r="BQ10" s="6"/>
      <c r="BR10" s="6"/>
      <c r="BS10" s="6"/>
      <c r="BT10" s="6"/>
      <c r="BV10" s="130"/>
      <c r="CC10" s="4"/>
      <c r="CD10" s="6"/>
      <c r="CE10" s="33"/>
      <c r="CF10" s="27"/>
      <c r="CG10" s="27"/>
      <c r="CH10" s="27"/>
      <c r="CI10" s="27"/>
      <c r="CJ10" s="27"/>
      <c r="CK10" s="27"/>
      <c r="CL10" s="27"/>
      <c r="CM10" s="27"/>
      <c r="CN10" s="27">
        <f t="shared" si="10"/>
        <v>0</v>
      </c>
      <c r="CO10" s="27"/>
      <c r="CP10" s="27"/>
      <c r="CS10" s="13"/>
      <c r="DB10" s="13"/>
      <c r="EG10">
        <f>Prices!D7</f>
        <v>1982</v>
      </c>
      <c r="EH10">
        <f>Prices!E7</f>
        <v>32.15</v>
      </c>
      <c r="EI10" s="86">
        <f>Prices!F7</f>
        <v>1.5614375910636231</v>
      </c>
      <c r="EJ10" s="79">
        <f>Prices!G7</f>
        <v>0.7983453237410072</v>
      </c>
      <c r="EK10" s="86">
        <f>Prices!H7</f>
        <v>1.9756097560975607</v>
      </c>
      <c r="EL10" s="79">
        <f>Prices!I7</f>
        <v>0.69897567954220319</v>
      </c>
      <c r="EM10" s="86">
        <f>Prices!J7</f>
        <v>2.501607717041801</v>
      </c>
      <c r="EN10" s="79">
        <f>Prices!K7</f>
        <v>0.71754310344827588</v>
      </c>
      <c r="EO10" s="86">
        <f>Prices!L7</f>
        <v>2.1728971962616823</v>
      </c>
      <c r="EP10">
        <f>Prices!M7</f>
        <v>3.87</v>
      </c>
      <c r="EQ10" s="86">
        <f>Prices!N7</f>
        <v>2.58</v>
      </c>
      <c r="ER10">
        <f>Prices!O7</f>
        <v>0</v>
      </c>
    </row>
    <row r="11" spans="2:174" x14ac:dyDescent="0.2">
      <c r="B11">
        <v>212111</v>
      </c>
      <c r="C11" t="s">
        <v>15</v>
      </c>
      <c r="D11">
        <v>1503</v>
      </c>
      <c r="E11">
        <v>55500</v>
      </c>
      <c r="F11">
        <v>829</v>
      </c>
      <c r="G11" s="3">
        <v>36632</v>
      </c>
      <c r="H11">
        <v>642</v>
      </c>
      <c r="I11" s="3">
        <v>32755</v>
      </c>
      <c r="J11" s="3">
        <v>4809100</v>
      </c>
      <c r="K11" s="3">
        <v>4203877</v>
      </c>
      <c r="L11" s="30">
        <v>3698491</v>
      </c>
      <c r="M11" s="78">
        <v>212111</v>
      </c>
      <c r="N11" s="91">
        <v>4070984</v>
      </c>
      <c r="O11" s="91"/>
      <c r="P11" s="23">
        <f>(K11+L11)/2</f>
        <v>3951184</v>
      </c>
      <c r="Q11" s="3">
        <v>60.3</v>
      </c>
      <c r="R11" s="3"/>
      <c r="S11" s="6">
        <v>31.5</v>
      </c>
      <c r="T11" s="6">
        <f>S11*EH13</f>
        <v>776.16</v>
      </c>
      <c r="U11" s="6">
        <v>1.1000000000000001</v>
      </c>
      <c r="V11" s="6">
        <v>4617</v>
      </c>
      <c r="W11" s="94">
        <f>V11/EH15</f>
        <v>113.16176470588236</v>
      </c>
      <c r="X11" s="94">
        <f t="shared" si="0"/>
        <v>0</v>
      </c>
      <c r="Y11" s="94">
        <f t="shared" si="1"/>
        <v>0</v>
      </c>
      <c r="Z11" s="16">
        <f t="shared" ref="Z11:Z22" si="11">(S11+U11)/2</f>
        <v>16.3</v>
      </c>
      <c r="AA11" s="8">
        <v>8045</v>
      </c>
      <c r="AB11" s="8">
        <v>219512</v>
      </c>
      <c r="AC11" s="6">
        <v>7420.4</v>
      </c>
      <c r="AD11" s="8">
        <v>260168</v>
      </c>
      <c r="AE11" s="6">
        <v>7126.8</v>
      </c>
      <c r="AF11" s="8">
        <v>846955</v>
      </c>
      <c r="AG11" s="84">
        <f>AF11/(AD11*AG$4)*AE11</f>
        <v>8270.4357965730906</v>
      </c>
      <c r="AH11" s="84">
        <f t="shared" si="2"/>
        <v>1241878</v>
      </c>
      <c r="AI11" s="84">
        <f t="shared" si="3"/>
        <v>0</v>
      </c>
      <c r="AJ11" s="16">
        <f>(AC11+AE11)/2</f>
        <v>7273.6</v>
      </c>
      <c r="AK11" s="8">
        <v>975.4</v>
      </c>
      <c r="AL11" s="8">
        <v>20461</v>
      </c>
      <c r="AM11" s="6">
        <v>721.2</v>
      </c>
      <c r="AN11" s="6">
        <v>37498</v>
      </c>
      <c r="AO11" s="6">
        <v>973.9</v>
      </c>
      <c r="AP11" s="58">
        <v>210164</v>
      </c>
      <c r="AQ11" s="84">
        <f>AP11/(AN11*AQ$4)*AO11</f>
        <v>2225.4047676263667</v>
      </c>
      <c r="AR11" s="84">
        <f t="shared" si="4"/>
        <v>446353</v>
      </c>
      <c r="AS11" s="84">
        <f t="shared" si="5"/>
        <v>0</v>
      </c>
      <c r="AT11" s="16">
        <f>(AM11+AO11)/2</f>
        <v>847.55</v>
      </c>
      <c r="AU11" s="8">
        <v>0.3</v>
      </c>
      <c r="AV11" s="8">
        <v>2011</v>
      </c>
      <c r="AW11" s="6">
        <v>0.7</v>
      </c>
      <c r="AX11" s="8">
        <v>2099</v>
      </c>
      <c r="AY11" s="6">
        <f>$I11/$G11*AW11</f>
        <v>0.62591450098274726</v>
      </c>
      <c r="AZ11" s="8">
        <f>AX11/AY11*0.001</f>
        <v>3.3534931635301048</v>
      </c>
      <c r="BA11" s="6">
        <v>15220</v>
      </c>
      <c r="BB11" s="169">
        <f>BA11/(AX11*BB$4)*AY11</f>
        <v>2.3756478279543334</v>
      </c>
      <c r="BC11" s="84">
        <f t="shared" si="6"/>
        <v>5570</v>
      </c>
      <c r="BD11" s="84">
        <f t="shared" si="7"/>
        <v>0</v>
      </c>
      <c r="BE11" s="16">
        <f>(AW11+AY11)/2</f>
        <v>0.66295725049137366</v>
      </c>
      <c r="BF11" s="6">
        <v>18.600000000000001</v>
      </c>
      <c r="BG11" s="6">
        <v>24031</v>
      </c>
      <c r="BH11" s="6">
        <v>29.4</v>
      </c>
      <c r="BI11" s="6">
        <v>24031</v>
      </c>
      <c r="BJ11" s="6">
        <v>11.8</v>
      </c>
      <c r="BK11" s="8">
        <v>93639</v>
      </c>
      <c r="BL11" s="84">
        <f>BK11/(BI11*BK$4)*BJ11</f>
        <v>18.035605478897551</v>
      </c>
      <c r="BM11" s="84">
        <f t="shared" si="8"/>
        <v>118985</v>
      </c>
      <c r="BN11" s="84">
        <f t="shared" si="9"/>
        <v>0</v>
      </c>
      <c r="BO11" s="16">
        <f>(BH11+BJ11)/2</f>
        <v>20.6</v>
      </c>
      <c r="BP11" s="92">
        <f>BY11</f>
        <v>6998</v>
      </c>
      <c r="BQ11" s="93">
        <f>ER$37*0.001*BP11</f>
        <v>0.72796203492786637</v>
      </c>
      <c r="BR11" s="6">
        <v>2874</v>
      </c>
      <c r="BS11" s="93">
        <f>ER$38*0.001*BR11</f>
        <v>0.27399999999999997</v>
      </c>
      <c r="BT11" s="92">
        <f>CI11</f>
        <v>2326</v>
      </c>
      <c r="BU11" s="93">
        <f>ER$39*0.001*BT11</f>
        <v>0.11252189265536723</v>
      </c>
      <c r="BV11" s="170"/>
      <c r="BW11" s="21">
        <f>CB11/BZ11-1</f>
        <v>0.32599912824664035</v>
      </c>
      <c r="BX11">
        <v>89002</v>
      </c>
      <c r="BY11" s="116">
        <f>CB11-CA11-BX11</f>
        <v>6998</v>
      </c>
      <c r="BZ11" s="116">
        <f>CA11+BY11</f>
        <v>273013</v>
      </c>
      <c r="CA11" s="33">
        <f>R11+AB11+AL11+AV11+BG11</f>
        <v>266015</v>
      </c>
      <c r="CB11">
        <v>362015</v>
      </c>
      <c r="CC11" s="21">
        <v>0.1</v>
      </c>
      <c r="CD11" s="110"/>
      <c r="CE11" s="33"/>
      <c r="CF11" s="27"/>
      <c r="CG11" s="21">
        <f>CL11/(CI11+CK11)-1</f>
        <v>1.9024299164223324E-2</v>
      </c>
      <c r="CH11" s="27">
        <v>22314</v>
      </c>
      <c r="CI11" s="27">
        <v>2326</v>
      </c>
      <c r="CJ11" s="27"/>
      <c r="CK11" s="27">
        <f>V11+AF11+AP11+BA11+BK11</f>
        <v>1170595</v>
      </c>
      <c r="CL11" s="27">
        <v>1195235</v>
      </c>
      <c r="CM11" s="27">
        <v>1853534</v>
      </c>
      <c r="CN11" s="27">
        <f t="shared" si="10"/>
        <v>1853542</v>
      </c>
      <c r="CO11" s="27"/>
      <c r="CP11" s="27"/>
      <c r="CS11" s="13">
        <f>K11*CS$3</f>
        <v>14.343628323999999</v>
      </c>
      <c r="CT11" s="13">
        <f>S11*CT$3</f>
        <v>0.65337299999999998</v>
      </c>
      <c r="CU11" s="13">
        <f>AC11*CU$3</f>
        <v>43.223829999999992</v>
      </c>
      <c r="CV11" s="13">
        <f>AM11*CV$3</f>
        <v>4.5341844</v>
      </c>
      <c r="CW11" s="13">
        <f>AW11*CW$3</f>
        <v>0.71960000000000002</v>
      </c>
      <c r="CX11" s="13">
        <f>BH11*CX$3</f>
        <v>3.6771000000000003</v>
      </c>
      <c r="CY11" s="13">
        <f>BQ11</f>
        <v>0.72796203492786637</v>
      </c>
      <c r="CZ11" s="13">
        <f>SUM(CT11:CX11)*(1+BW11)</f>
        <v>70.023477856772388</v>
      </c>
      <c r="DB11" s="13">
        <f>L11*DB$3</f>
        <v>12.619251292</v>
      </c>
      <c r="DC11" s="13">
        <f>U11*DC$3</f>
        <v>2.2816200000000002E-2</v>
      </c>
      <c r="DD11" s="13">
        <f>AE11*DD$3</f>
        <v>41.51361</v>
      </c>
      <c r="DE11" s="13">
        <f>AO11*DE$3</f>
        <v>6.1229092999999999</v>
      </c>
      <c r="DF11" s="13">
        <f>AY11*DF$3</f>
        <v>0.64344010701026422</v>
      </c>
      <c r="DG11" s="13">
        <f>BJ11*DG$3</f>
        <v>1.4758428571428575</v>
      </c>
      <c r="DH11" s="13">
        <f>BS11</f>
        <v>0.27399999999999997</v>
      </c>
      <c r="DI11" s="13">
        <f>SUM(DC11:DH11)*(1+CC11)</f>
        <v>55.057880310568436</v>
      </c>
      <c r="DL11" s="13">
        <f>N11*DL$3</f>
        <v>13.890197407999999</v>
      </c>
      <c r="DM11" s="13">
        <f>W11*DM$3</f>
        <v>2.3472013235294118</v>
      </c>
      <c r="DN11" s="13">
        <f>AG11*DN$3</f>
        <v>48.175288515038247</v>
      </c>
      <c r="DO11" s="13">
        <f>AQ11*DO$3</f>
        <v>13.991119774066968</v>
      </c>
      <c r="DP11" s="13">
        <f>BB11*DP$3</f>
        <v>2.4421659671370546</v>
      </c>
      <c r="DQ11" s="13">
        <f>BL11*DQ$3</f>
        <v>2.2557389423964009</v>
      </c>
      <c r="DR11" s="13">
        <f>BU11</f>
        <v>0.11252189265536723</v>
      </c>
      <c r="DS11" s="13">
        <f>SUM(DM11:DR11)*(1+CG11)</f>
        <v>70.642877622850563</v>
      </c>
      <c r="DU11">
        <f>[2]ALLFOS!AD9</f>
        <v>1.8240000000000001</v>
      </c>
      <c r="EG11">
        <f>Prices!D8</f>
        <v>1987</v>
      </c>
      <c r="EH11">
        <f>Prices!E8</f>
        <v>28.19</v>
      </c>
      <c r="EI11" s="86">
        <f>Prices!F8</f>
        <v>0.87682737169517888</v>
      </c>
      <c r="EJ11" s="79">
        <f>Prices!G8</f>
        <v>0.58397482014388491</v>
      </c>
      <c r="EK11" s="86">
        <f>Prices!H8</f>
        <v>0.73148148148148151</v>
      </c>
      <c r="EL11" s="79">
        <f>Prices!I8</f>
        <v>0.53636051502145921</v>
      </c>
      <c r="EM11" s="86">
        <f>Prices!J8</f>
        <v>0.76735218508997427</v>
      </c>
      <c r="EN11" s="79">
        <f>Prices!K8</f>
        <v>0.44132758620689655</v>
      </c>
      <c r="EO11" s="86">
        <f>Prices!L8</f>
        <v>0.61505376344086016</v>
      </c>
      <c r="EP11">
        <f>Prices!M8</f>
        <v>2.94</v>
      </c>
      <c r="EQ11" s="86">
        <f>Prices!N8</f>
        <v>0.75968992248062017</v>
      </c>
      <c r="ER11">
        <f>Prices!O8</f>
        <v>0</v>
      </c>
      <c r="EX11">
        <f>[1]_2012!A8</f>
        <v>212111</v>
      </c>
      <c r="EY11">
        <f>[1]_2012!B8</f>
        <v>0</v>
      </c>
      <c r="EZ11">
        <f>[1]_2012!C8</f>
        <v>0</v>
      </c>
      <c r="FA11">
        <f>[1]_2012!D8</f>
        <v>1241878</v>
      </c>
      <c r="FB11">
        <f>[1]_2012!E8</f>
        <v>0</v>
      </c>
      <c r="FC11">
        <f>[1]_2012!F8</f>
        <v>5570</v>
      </c>
      <c r="FD11">
        <f>[1]_2012!G8</f>
        <v>0</v>
      </c>
      <c r="FE11">
        <f>[1]_2012!H8</f>
        <v>118985</v>
      </c>
      <c r="FF11">
        <f>[1]_2012!I8</f>
        <v>0</v>
      </c>
      <c r="FG11">
        <f>[1]_2012!J8</f>
        <v>2183</v>
      </c>
      <c r="FH11">
        <f>[1]_2012!K8</f>
        <v>0</v>
      </c>
      <c r="FI11">
        <f>[1]_2012!L8</f>
        <v>446353</v>
      </c>
      <c r="FJ11">
        <f>[1]_2012!M8</f>
        <v>0</v>
      </c>
      <c r="FK11">
        <f>[1]_2012!N8</f>
        <v>1853542</v>
      </c>
      <c r="FL11">
        <f>[1]_2012!O8</f>
        <v>0</v>
      </c>
      <c r="FM11">
        <f>[1]_2012!P8</f>
        <v>0</v>
      </c>
      <c r="FN11">
        <f>[1]_2012!Q8</f>
        <v>0</v>
      </c>
      <c r="FO11">
        <f>[1]_2012!R8</f>
        <v>3668511</v>
      </c>
      <c r="FP11">
        <f>[1]_2012!S8</f>
        <v>0</v>
      </c>
    </row>
    <row r="12" spans="2:174" x14ac:dyDescent="0.2">
      <c r="B12">
        <v>212112</v>
      </c>
      <c r="C12" t="s">
        <v>5</v>
      </c>
      <c r="D12">
        <v>1133</v>
      </c>
      <c r="E12">
        <v>73000</v>
      </c>
      <c r="F12">
        <v>614</v>
      </c>
      <c r="G12" s="3">
        <v>50192</v>
      </c>
      <c r="H12">
        <v>478</v>
      </c>
      <c r="I12" s="3">
        <v>40319</v>
      </c>
      <c r="J12" s="3">
        <v>7646900</v>
      </c>
      <c r="K12" s="3">
        <v>7061319</v>
      </c>
      <c r="L12" s="30">
        <v>6287072</v>
      </c>
      <c r="M12" s="78">
        <v>212112</v>
      </c>
      <c r="N12" s="91">
        <v>7317272</v>
      </c>
      <c r="O12" s="91"/>
      <c r="P12" s="23">
        <f>(K12+L12)/2</f>
        <v>6674195.5</v>
      </c>
      <c r="Q12" s="3">
        <v>258.3</v>
      </c>
      <c r="R12" s="3"/>
      <c r="S12" s="6">
        <v>221.4</v>
      </c>
      <c r="T12" s="6">
        <f>S12*EH13</f>
        <v>5455.2960000000003</v>
      </c>
      <c r="U12" s="6">
        <v>179.8</v>
      </c>
      <c r="V12" s="6">
        <v>5208</v>
      </c>
      <c r="W12" s="94">
        <f>V12/EH15</f>
        <v>127.64705882352942</v>
      </c>
      <c r="X12" s="94">
        <f t="shared" si="0"/>
        <v>2986</v>
      </c>
      <c r="Y12" s="94">
        <f t="shared" si="1"/>
        <v>0</v>
      </c>
      <c r="Z12" s="16">
        <f t="shared" si="11"/>
        <v>200.60000000000002</v>
      </c>
      <c r="AA12" s="8">
        <v>1179.9000000000001</v>
      </c>
      <c r="AB12" s="8">
        <v>20584</v>
      </c>
      <c r="AC12" s="6">
        <v>655.9</v>
      </c>
      <c r="AD12" s="8">
        <v>14840</v>
      </c>
      <c r="AE12" s="6">
        <f>$I12/$G12*AC12</f>
        <v>526.8814173573478</v>
      </c>
      <c r="AF12" s="58">
        <v>89715</v>
      </c>
      <c r="AG12" s="84">
        <f>AF12/(AD12*AG$4)*AE12</f>
        <v>1135.4588708238675</v>
      </c>
      <c r="AH12" s="84">
        <f t="shared" si="2"/>
        <v>137850</v>
      </c>
      <c r="AI12" s="84">
        <f t="shared" si="3"/>
        <v>0</v>
      </c>
      <c r="AJ12" s="16">
        <f>(AC12+AE12)/2</f>
        <v>591.39070867867395</v>
      </c>
      <c r="AK12" s="6">
        <v>226</v>
      </c>
      <c r="AL12" s="6">
        <v>4051</v>
      </c>
      <c r="AM12" s="6">
        <v>144.80000000000001</v>
      </c>
      <c r="AN12" s="6">
        <v>6638</v>
      </c>
      <c r="AO12" s="6">
        <v>178.3</v>
      </c>
      <c r="AP12" s="58">
        <v>26543</v>
      </c>
      <c r="AQ12" s="84">
        <f>AP12/(AN12*AQ$4)*AO12</f>
        <v>290.67556783047928</v>
      </c>
      <c r="AR12" s="84">
        <f t="shared" si="4"/>
        <v>97094</v>
      </c>
      <c r="AS12" s="84">
        <f t="shared" si="5"/>
        <v>0</v>
      </c>
      <c r="AT12" s="16">
        <f>(AM12+AO12)/2</f>
        <v>161.55000000000001</v>
      </c>
      <c r="AU12" s="8">
        <v>0.5</v>
      </c>
      <c r="AV12" s="8">
        <v>2552</v>
      </c>
      <c r="AW12" s="6">
        <v>0.5</v>
      </c>
      <c r="AX12" s="8">
        <v>2552</v>
      </c>
      <c r="AY12" s="6">
        <f>$I12/$G12*AW12</f>
        <v>0.40164767293592607</v>
      </c>
      <c r="AZ12" s="8">
        <f>AX12/AY12*0.001</f>
        <v>6.353827426275453</v>
      </c>
      <c r="BA12" s="58">
        <v>5381</v>
      </c>
      <c r="BB12" s="169">
        <f>BA12/(AX12*BB$4)*AY12</f>
        <v>0.44329456853867866</v>
      </c>
      <c r="BC12" s="84">
        <f t="shared" si="6"/>
        <v>4648</v>
      </c>
      <c r="BD12" s="84">
        <f t="shared" si="7"/>
        <v>0</v>
      </c>
      <c r="BE12" s="16">
        <f>(AW12+AY12)/2</f>
        <v>0.45082383646796304</v>
      </c>
      <c r="BF12" s="6">
        <v>7.4</v>
      </c>
      <c r="BG12" s="8">
        <v>4385</v>
      </c>
      <c r="BH12" s="6">
        <v>4</v>
      </c>
      <c r="BI12" s="6">
        <v>1720</v>
      </c>
      <c r="BJ12" s="6">
        <v>1.5</v>
      </c>
      <c r="BK12" s="58">
        <v>12075</v>
      </c>
      <c r="BL12" s="84">
        <f>BK12/(BI12*BK$4)*BJ12</f>
        <v>4.1306057699122203</v>
      </c>
      <c r="BM12" s="84">
        <f t="shared" si="8"/>
        <v>27331</v>
      </c>
      <c r="BN12" s="84">
        <f t="shared" si="9"/>
        <v>0</v>
      </c>
      <c r="BO12" s="16">
        <f>(BH12+BJ12)/2</f>
        <v>2.75</v>
      </c>
      <c r="BP12" s="6"/>
      <c r="BQ12" s="6"/>
      <c r="BR12" s="6"/>
      <c r="BS12" s="6"/>
      <c r="BT12" s="92">
        <f>CI12</f>
        <v>765</v>
      </c>
      <c r="BU12" s="93">
        <f>ER$39*0.001*BT12</f>
        <v>3.7007415254237286E-2</v>
      </c>
      <c r="BV12" s="170"/>
      <c r="BW12" s="21">
        <f>CB12/BZ12-1</f>
        <v>0.29606109774520228</v>
      </c>
      <c r="BX12">
        <v>10583</v>
      </c>
      <c r="BY12" s="116">
        <f>CB12-CA12-BX12</f>
        <v>4174</v>
      </c>
      <c r="BZ12" s="116">
        <f>CA12+BY12</f>
        <v>35746</v>
      </c>
      <c r="CA12" s="33">
        <f>R12+AB12+AL12+AV12+BG12</f>
        <v>31572</v>
      </c>
      <c r="CB12">
        <v>46329</v>
      </c>
      <c r="CC12" s="21">
        <f>CF12/CE12-1</f>
        <v>0.30542106516390199</v>
      </c>
      <c r="CD12" s="110"/>
      <c r="CE12" s="33">
        <f>14840+6638+2000+1720</f>
        <v>25198</v>
      </c>
      <c r="CF12" s="27">
        <v>32894</v>
      </c>
      <c r="CG12" s="21">
        <f>CL12/(CI12+CK12)-1</f>
        <v>6.5789944661993616E-3</v>
      </c>
      <c r="CH12" s="27">
        <v>919</v>
      </c>
      <c r="CI12" s="27">
        <v>765</v>
      </c>
      <c r="CJ12" s="27"/>
      <c r="CK12" s="27">
        <f>V12+AF12+AP12+BA12+BK12</f>
        <v>138922</v>
      </c>
      <c r="CL12" s="27">
        <v>140606</v>
      </c>
      <c r="CM12" s="27">
        <v>272810</v>
      </c>
      <c r="CN12" s="27">
        <f t="shared" si="10"/>
        <v>272810</v>
      </c>
      <c r="CO12" s="27"/>
      <c r="CP12" s="27"/>
      <c r="CS12" s="13">
        <f>K12*CS$3</f>
        <v>24.093220427999999</v>
      </c>
      <c r="CT12" s="13">
        <f>S12*CT$3</f>
        <v>4.5922787999999999</v>
      </c>
      <c r="CU12" s="13">
        <f>AC12*CU$3</f>
        <v>3.8206174999999996</v>
      </c>
      <c r="CV12" s="13">
        <f>AM12*CV$3</f>
        <v>0.9103576000000001</v>
      </c>
      <c r="CW12" s="13">
        <f>AW12*CW$3</f>
        <v>0.51400000000000001</v>
      </c>
      <c r="CX12" s="13">
        <f>BH12*CX$3</f>
        <v>0.50028571428571433</v>
      </c>
      <c r="CY12" s="13">
        <f>BQ12</f>
        <v>0</v>
      </c>
      <c r="CZ12" s="13">
        <f>SUM(CT12:CX12)*(1+BW12)</f>
        <v>13.398082940475657</v>
      </c>
      <c r="DB12" s="13">
        <f>L12*DB$3</f>
        <v>21.451489663999997</v>
      </c>
      <c r="DC12" s="13">
        <f>U12*DC$3</f>
        <v>3.7294116000000002</v>
      </c>
      <c r="DD12" s="13">
        <f>AE12*DD$3</f>
        <v>3.0690842561065508</v>
      </c>
      <c r="DE12" s="13">
        <f>AO12*DE$3</f>
        <v>1.1209721000000001</v>
      </c>
      <c r="DF12" s="13">
        <f>AY12*DF$3</f>
        <v>0.412893807778132</v>
      </c>
      <c r="DG12" s="13">
        <f>BJ12*DG$3</f>
        <v>0.18760714285714286</v>
      </c>
      <c r="DH12" s="13"/>
      <c r="DI12" s="13">
        <f>SUM(DC12:DH12)*(1+CC12)</f>
        <v>11.122146885402241</v>
      </c>
      <c r="DL12" s="13">
        <f>N12*DL$3</f>
        <v>24.966532063999999</v>
      </c>
      <c r="DM12" s="13">
        <f>W12*DM$3</f>
        <v>2.6476552941176474</v>
      </c>
      <c r="DN12" s="13">
        <f>AG12*DN$3</f>
        <v>6.6140479225490276</v>
      </c>
      <c r="DO12" s="13">
        <f>AQ12*DO$3</f>
        <v>1.8274772949502232</v>
      </c>
      <c r="DP12" s="13">
        <f>BB12*DP$3</f>
        <v>0.45570681645776168</v>
      </c>
      <c r="DQ12" s="13">
        <f>BL12*DQ$3</f>
        <v>0.51662076450830707</v>
      </c>
      <c r="DR12" s="13">
        <f>BU12</f>
        <v>3.7007415254237286E-2</v>
      </c>
      <c r="DS12" s="13">
        <f>SUM(DM12:DR12)*(1+CG12)</f>
        <v>12.17811157441249</v>
      </c>
      <c r="DU12">
        <f>[2]ALLFOS!AD10</f>
        <v>93.287000000000006</v>
      </c>
      <c r="EG12">
        <f>Prices!D9</f>
        <v>1992</v>
      </c>
      <c r="EH12">
        <f>Prices!E9</f>
        <v>26.78</v>
      </c>
      <c r="EI12" s="86">
        <f>Prices!F9</f>
        <v>0.94998226321390566</v>
      </c>
      <c r="EJ12" s="79">
        <f>Prices!G9</f>
        <v>0.69424010791366897</v>
      </c>
      <c r="EK12" s="86">
        <f>Prices!H9</f>
        <v>1.1888185654008436</v>
      </c>
      <c r="EL12" s="79">
        <f>Prices!I9</f>
        <v>0.63698426323319024</v>
      </c>
      <c r="EM12" s="86">
        <f>Prices!J9</f>
        <v>1.187604690117253</v>
      </c>
      <c r="EN12" s="79">
        <f>Prices!K9</f>
        <v>0.35182758620689653</v>
      </c>
      <c r="EO12" s="86">
        <f>Prices!L9</f>
        <v>0.79720279720279719</v>
      </c>
      <c r="EP12">
        <f>Prices!M9</f>
        <v>2.84</v>
      </c>
      <c r="EQ12" s="86">
        <f>Prices!N9</f>
        <v>0.96598639455782309</v>
      </c>
      <c r="ER12">
        <f>Prices!O9</f>
        <v>0</v>
      </c>
      <c r="EX12">
        <f>[1]_2012!A9</f>
        <v>212112</v>
      </c>
      <c r="EY12">
        <f>[1]_2012!B9</f>
        <v>2986</v>
      </c>
      <c r="EZ12">
        <f>[1]_2012!C9</f>
        <v>0</v>
      </c>
      <c r="FA12">
        <f>[1]_2012!D9</f>
        <v>137850</v>
      </c>
      <c r="FB12">
        <f>[1]_2012!E9</f>
        <v>0</v>
      </c>
      <c r="FC12">
        <f>[1]_2012!F9</f>
        <v>4648</v>
      </c>
      <c r="FD12">
        <f>[1]_2012!G9</f>
        <v>0</v>
      </c>
      <c r="FE12">
        <f>[1]_2012!H9</f>
        <v>27331</v>
      </c>
      <c r="FF12">
        <f>[1]_2012!I9</f>
        <v>0</v>
      </c>
      <c r="FG12">
        <f>[1]_2012!J9</f>
        <v>2589</v>
      </c>
      <c r="FH12">
        <f>[1]_2012!K9</f>
        <v>0</v>
      </c>
      <c r="FI12">
        <f>[1]_2012!L9</f>
        <v>97094</v>
      </c>
      <c r="FJ12">
        <f>[1]_2012!M9</f>
        <v>0</v>
      </c>
      <c r="FK12">
        <f>[1]_2012!N9</f>
        <v>272810</v>
      </c>
      <c r="FL12">
        <f>[1]_2012!O9</f>
        <v>0</v>
      </c>
      <c r="FM12">
        <f>[1]_2012!P9</f>
        <v>312</v>
      </c>
      <c r="FN12">
        <f>[1]_2012!Q9</f>
        <v>0</v>
      </c>
      <c r="FO12">
        <f>[1]_2012!R9</f>
        <v>545620</v>
      </c>
      <c r="FP12">
        <f>[1]_2012!S9</f>
        <v>0</v>
      </c>
    </row>
    <row r="13" spans="2:174" x14ac:dyDescent="0.2">
      <c r="B13">
        <v>212113</v>
      </c>
      <c r="C13" t="s">
        <v>16</v>
      </c>
      <c r="F13">
        <v>68</v>
      </c>
      <c r="G13" s="3">
        <v>1141</v>
      </c>
      <c r="H13">
        <v>63</v>
      </c>
      <c r="I13" s="3">
        <v>835</v>
      </c>
      <c r="J13" s="3"/>
      <c r="K13" s="3">
        <v>89914</v>
      </c>
      <c r="L13" s="3">
        <v>48854</v>
      </c>
      <c r="M13" s="78">
        <v>212113</v>
      </c>
      <c r="N13" s="91">
        <v>59512</v>
      </c>
      <c r="O13" s="91"/>
      <c r="P13" s="23">
        <f>(K13+L13)/2</f>
        <v>69384</v>
      </c>
      <c r="Q13" s="3"/>
      <c r="R13" s="3"/>
      <c r="S13" s="6"/>
      <c r="T13" s="6"/>
      <c r="U13" s="6"/>
      <c r="V13" s="6"/>
      <c r="W13" s="6"/>
      <c r="X13" s="6">
        <f t="shared" si="0"/>
        <v>0</v>
      </c>
      <c r="Y13" s="6">
        <f t="shared" si="1"/>
        <v>0</v>
      </c>
      <c r="Z13" s="16">
        <f t="shared" si="11"/>
        <v>0</v>
      </c>
      <c r="AA13" s="6"/>
      <c r="AB13" s="6">
        <v>3003</v>
      </c>
      <c r="AC13" s="6">
        <v>103.2</v>
      </c>
      <c r="AD13" s="59">
        <f>EM14*AE13/AC13*AB13</f>
        <v>1056.0970588235296</v>
      </c>
      <c r="AE13" s="59">
        <f>0.3*AC13</f>
        <v>30.96</v>
      </c>
      <c r="AF13" s="58">
        <v>3787</v>
      </c>
      <c r="AG13" s="84">
        <f>AF13/(AD13*AG$4)*AE13</f>
        <v>39.574896653601932</v>
      </c>
      <c r="AH13" s="84">
        <f t="shared" si="2"/>
        <v>8353</v>
      </c>
      <c r="AI13" s="84">
        <f t="shared" si="3"/>
        <v>0</v>
      </c>
      <c r="AJ13" s="16">
        <f>(AC13+AE13)/2</f>
        <v>67.08</v>
      </c>
      <c r="AK13" s="6"/>
      <c r="AL13" s="6">
        <v>1190</v>
      </c>
      <c r="AM13" s="6">
        <v>34.9</v>
      </c>
      <c r="AN13" s="59">
        <f>EO14*AO13/AM13*AL13</f>
        <v>466.84615384615392</v>
      </c>
      <c r="AO13" s="59">
        <f>0.3*AM13</f>
        <v>10.469999999999999</v>
      </c>
      <c r="AP13" s="58">
        <v>1652</v>
      </c>
      <c r="AQ13" s="84">
        <f>AP13/(AN13*AQ$4)*AO13</f>
        <v>15.105230848153216</v>
      </c>
      <c r="AR13" s="84">
        <f t="shared" si="4"/>
        <v>3486</v>
      </c>
      <c r="AS13" s="84">
        <f t="shared" si="5"/>
        <v>0</v>
      </c>
      <c r="AT13" s="16">
        <f>(AM13+AO13)/2</f>
        <v>22.684999999999999</v>
      </c>
      <c r="AU13" s="6"/>
      <c r="AV13" s="6"/>
      <c r="AW13" s="6"/>
      <c r="AX13" s="6"/>
      <c r="AY13" s="6"/>
      <c r="AZ13" s="6"/>
      <c r="BA13" s="6"/>
      <c r="BB13" s="94"/>
      <c r="BC13" s="6">
        <f t="shared" si="6"/>
        <v>0</v>
      </c>
      <c r="BD13" s="6">
        <f t="shared" si="7"/>
        <v>0</v>
      </c>
      <c r="BE13" s="16"/>
      <c r="BF13" s="6"/>
      <c r="BG13" s="8">
        <v>342</v>
      </c>
      <c r="BH13" s="6">
        <v>0.3</v>
      </c>
      <c r="BI13" s="6"/>
      <c r="BJ13" s="59">
        <v>0.1</v>
      </c>
      <c r="BK13" s="58">
        <v>622</v>
      </c>
      <c r="BL13" s="94">
        <f>BK13/EJ15*0.001</f>
        <v>0.27078798432738355</v>
      </c>
      <c r="BM13" s="94">
        <f t="shared" si="8"/>
        <v>812</v>
      </c>
      <c r="BN13" s="94">
        <f t="shared" si="9"/>
        <v>0</v>
      </c>
      <c r="BO13" s="16">
        <f>(BH13+BJ13)/2</f>
        <v>0.2</v>
      </c>
      <c r="BP13" s="6"/>
      <c r="BQ13" s="6"/>
      <c r="BR13" s="6"/>
      <c r="BS13" s="6"/>
      <c r="BT13" s="92">
        <f>CI13</f>
        <v>170</v>
      </c>
      <c r="BU13" s="93">
        <f>ER$39*0.001*BT13</f>
        <v>8.2238700564971744E-3</v>
      </c>
      <c r="BV13" s="170"/>
      <c r="BW13" s="21">
        <f>CB13/BZ13-1</f>
        <v>0.3320837927232636</v>
      </c>
      <c r="BX13" s="116">
        <f>CB13-CA13</f>
        <v>1506</v>
      </c>
      <c r="BZ13" s="33">
        <f>CA13</f>
        <v>4535</v>
      </c>
      <c r="CA13" s="33">
        <f>R13+AB13+AL13+AV13+BG13</f>
        <v>4535</v>
      </c>
      <c r="CB13">
        <v>6041</v>
      </c>
      <c r="CC13" s="21">
        <v>0.2</v>
      </c>
      <c r="CD13" s="110"/>
      <c r="CE13" s="33"/>
      <c r="CF13" s="27"/>
      <c r="CG13" s="21">
        <f>CL13/(CI13+CK13)-1</f>
        <v>0.10511956347295781</v>
      </c>
      <c r="CH13" s="27">
        <v>655</v>
      </c>
      <c r="CI13" s="27">
        <v>170</v>
      </c>
      <c r="CJ13" s="27"/>
      <c r="CK13" s="27">
        <f>V13+AF13+AP13+BA13+BK13</f>
        <v>6061</v>
      </c>
      <c r="CL13" s="27">
        <v>6886</v>
      </c>
      <c r="CM13" s="27">
        <v>12990</v>
      </c>
      <c r="CN13" s="27">
        <f t="shared" si="10"/>
        <v>12990</v>
      </c>
      <c r="CO13" s="27"/>
      <c r="CP13" s="27"/>
      <c r="CS13" s="13">
        <f>K13*CS$3</f>
        <v>0.30678656799999998</v>
      </c>
      <c r="CT13" s="13">
        <f>S13*CT$3</f>
        <v>0</v>
      </c>
      <c r="CU13" s="13">
        <f>AC13*CU$3</f>
        <v>0.60114000000000001</v>
      </c>
      <c r="CV13" s="13">
        <f>AM13*CV$3</f>
        <v>0.21941629999999998</v>
      </c>
      <c r="CW13" s="13">
        <f>AW13*CW$3</f>
        <v>0</v>
      </c>
      <c r="CX13" s="13">
        <f>BH13*CX$3</f>
        <v>3.7521428571428574E-2</v>
      </c>
      <c r="CY13" s="13">
        <f>BQ13</f>
        <v>0</v>
      </c>
      <c r="CZ13" s="13">
        <f>SUM(CT13:CX13)*(1+BW13)</f>
        <v>1.1430314351267918</v>
      </c>
      <c r="DB13" s="13">
        <f>L13*DB$3</f>
        <v>0.16668984799999997</v>
      </c>
      <c r="DC13" s="13">
        <f>U13*DC$3</f>
        <v>0</v>
      </c>
      <c r="DD13" s="13">
        <f>AE13*DD$3</f>
        <v>0.18034199999999997</v>
      </c>
      <c r="DE13" s="13">
        <f>AO13*DE$3</f>
        <v>6.5824889999999997E-2</v>
      </c>
      <c r="DF13" s="13">
        <f>AY13*DF$3</f>
        <v>0</v>
      </c>
      <c r="DG13" s="13">
        <f>BJ13*DG$3</f>
        <v>1.2507142857142859E-2</v>
      </c>
      <c r="DH13" s="13"/>
      <c r="DI13" s="13">
        <f>SUM(DC13:DH13)*(1+CC13)</f>
        <v>0.31040883942857139</v>
      </c>
      <c r="DL13" s="13">
        <f>N13*DL$3</f>
        <v>0.20305494399999999</v>
      </c>
      <c r="DM13" s="13">
        <f>W13*DM$3</f>
        <v>0</v>
      </c>
      <c r="DN13" s="13">
        <f>AG13*DN$3</f>
        <v>0.23052377300723123</v>
      </c>
      <c r="DO13" s="13">
        <f>AQ13*DO$3</f>
        <v>9.4966586342339274E-2</v>
      </c>
      <c r="DP13" s="13">
        <f>BB13*DP$3</f>
        <v>0</v>
      </c>
      <c r="DQ13" s="13">
        <f>BL13*DQ$3</f>
        <v>3.3867840039803476E-2</v>
      </c>
      <c r="DR13" s="13">
        <f>BU13</f>
        <v>8.2238700564971744E-3</v>
      </c>
      <c r="DS13" s="13">
        <f>SUM(DM13:DR13)*(1+CG13)</f>
        <v>0.40622213612650754</v>
      </c>
      <c r="EG13">
        <f>Prices!D10</f>
        <v>1997</v>
      </c>
      <c r="EH13">
        <f>Prices!E10</f>
        <v>24.64</v>
      </c>
      <c r="EI13" s="86">
        <f>Prices!F10</f>
        <v>0.92008961911874532</v>
      </c>
      <c r="EJ13" s="79">
        <f>Prices!G10</f>
        <v>0.78500000000000003</v>
      </c>
      <c r="EK13" s="86">
        <f>Prices!H10</f>
        <v>1.1307327119994302</v>
      </c>
      <c r="EL13" s="79">
        <f>Prices!I10</f>
        <v>0.71399999999999997</v>
      </c>
      <c r="EM13" s="86">
        <f>Prices!J10</f>
        <v>1.1209068123220109</v>
      </c>
      <c r="EN13" s="79">
        <f>Prices!K10</f>
        <v>0.42899999999999999</v>
      </c>
      <c r="EO13" s="86">
        <f>Prices!L10</f>
        <v>1.2193472508085859</v>
      </c>
      <c r="EP13">
        <f>Prices!M10</f>
        <v>3.59</v>
      </c>
      <c r="EQ13" s="86">
        <f>Prices!N10</f>
        <v>1.2640845070422535</v>
      </c>
      <c r="ER13">
        <f>Prices!O10</f>
        <v>0.878</v>
      </c>
      <c r="EX13">
        <f>[1]_2012!A10</f>
        <v>212113</v>
      </c>
      <c r="EY13">
        <f>[1]_2012!B10</f>
        <v>0</v>
      </c>
      <c r="EZ13">
        <f>[1]_2012!C10</f>
        <v>0</v>
      </c>
      <c r="FA13">
        <f>[1]_2012!D10</f>
        <v>8353</v>
      </c>
      <c r="FB13">
        <f>[1]_2012!E10</f>
        <v>0</v>
      </c>
      <c r="FC13">
        <f>[1]_2012!F10</f>
        <v>0</v>
      </c>
      <c r="FD13">
        <f>[1]_2012!G10</f>
        <v>0</v>
      </c>
      <c r="FE13">
        <f>[1]_2012!H10</f>
        <v>812</v>
      </c>
      <c r="FF13">
        <f>[1]_2012!I10</f>
        <v>0</v>
      </c>
      <c r="FG13">
        <f>[1]_2012!J10</f>
        <v>0</v>
      </c>
      <c r="FH13">
        <f>[1]_2012!K10</f>
        <v>0</v>
      </c>
      <c r="FI13">
        <f>[1]_2012!L10</f>
        <v>3486</v>
      </c>
      <c r="FJ13">
        <f>[1]_2012!M10</f>
        <v>0</v>
      </c>
      <c r="FK13">
        <f>[1]_2012!N10</f>
        <v>12990</v>
      </c>
      <c r="FL13">
        <f>[1]_2012!O10</f>
        <v>0</v>
      </c>
      <c r="FM13">
        <f>[1]_2012!P10</f>
        <v>218</v>
      </c>
      <c r="FN13">
        <f>[1]_2012!Q10</f>
        <v>0</v>
      </c>
      <c r="FO13">
        <f>[1]_2012!R10</f>
        <v>25859</v>
      </c>
      <c r="FP13">
        <f>[1]_2012!S10</f>
        <v>0</v>
      </c>
    </row>
    <row r="14" spans="2:174" x14ac:dyDescent="0.2">
      <c r="G14" s="3"/>
      <c r="I14" s="3"/>
      <c r="J14" s="3"/>
      <c r="K14" s="3"/>
      <c r="L14" s="3"/>
      <c r="N14" s="3"/>
      <c r="O14" s="3"/>
      <c r="P14" s="23"/>
      <c r="Q14" s="3"/>
      <c r="R14" s="3"/>
      <c r="S14" s="6"/>
      <c r="T14" s="6"/>
      <c r="U14" s="6"/>
      <c r="V14" s="6"/>
      <c r="W14" s="6"/>
      <c r="X14" s="6">
        <f t="shared" si="0"/>
        <v>0</v>
      </c>
      <c r="Y14" s="6">
        <f t="shared" si="1"/>
        <v>0</v>
      </c>
      <c r="Z14" s="16"/>
      <c r="AA14" s="6"/>
      <c r="AB14" s="6"/>
      <c r="AC14" s="6"/>
      <c r="AD14" s="6"/>
      <c r="AE14" s="6"/>
      <c r="AF14" s="6"/>
      <c r="AG14" s="6"/>
      <c r="AH14" s="6">
        <f t="shared" si="2"/>
        <v>0</v>
      </c>
      <c r="AI14" s="6">
        <f t="shared" si="3"/>
        <v>0</v>
      </c>
      <c r="AJ14" s="16"/>
      <c r="AK14" s="6"/>
      <c r="AL14" s="6"/>
      <c r="AM14" s="6"/>
      <c r="AN14" s="6"/>
      <c r="AO14" s="6"/>
      <c r="AP14" s="6"/>
      <c r="AQ14" s="6"/>
      <c r="AR14" s="6">
        <f t="shared" si="4"/>
        <v>0</v>
      </c>
      <c r="AS14" s="6">
        <f t="shared" si="5"/>
        <v>0</v>
      </c>
      <c r="AT14" s="16"/>
      <c r="AU14" s="6"/>
      <c r="AV14" s="6"/>
      <c r="AW14" s="6"/>
      <c r="AX14" s="6"/>
      <c r="AY14" s="6"/>
      <c r="AZ14" s="6"/>
      <c r="BA14" s="6"/>
      <c r="BB14" s="94"/>
      <c r="BC14" s="6">
        <f t="shared" si="6"/>
        <v>0</v>
      </c>
      <c r="BD14" s="6">
        <f t="shared" si="7"/>
        <v>0</v>
      </c>
      <c r="BE14" s="16"/>
      <c r="BF14" s="6"/>
      <c r="BG14" s="6"/>
      <c r="BH14" s="6"/>
      <c r="BI14" s="6"/>
      <c r="BJ14" s="6"/>
      <c r="BK14" s="6"/>
      <c r="BL14" s="96"/>
      <c r="BM14" s="96">
        <f t="shared" si="8"/>
        <v>0</v>
      </c>
      <c r="BN14" s="96">
        <f t="shared" si="9"/>
        <v>0</v>
      </c>
      <c r="BO14" s="16"/>
      <c r="BP14" s="6"/>
      <c r="BQ14" s="6"/>
      <c r="BR14" s="6"/>
      <c r="BS14" s="6"/>
      <c r="BT14" s="6"/>
      <c r="BV14" s="130"/>
      <c r="CC14" s="21"/>
      <c r="CD14" s="110"/>
      <c r="CE14" s="33"/>
      <c r="CF14" s="27"/>
      <c r="CG14" s="27"/>
      <c r="CH14" s="27"/>
      <c r="CI14" s="27"/>
      <c r="CJ14" s="27"/>
      <c r="CK14" s="27"/>
      <c r="CL14" s="27"/>
      <c r="CM14" s="27"/>
      <c r="CN14" s="27">
        <f t="shared" si="10"/>
        <v>0</v>
      </c>
      <c r="CO14" s="27"/>
      <c r="CP14" s="27"/>
      <c r="DB14" s="13"/>
      <c r="DC14" s="13"/>
      <c r="DD14" s="13"/>
      <c r="DE14" s="13"/>
      <c r="DF14" s="13"/>
      <c r="DG14" s="13"/>
      <c r="DH14" s="13"/>
      <c r="DI14" s="13"/>
      <c r="EG14">
        <f>Prices!D11</f>
        <v>2002</v>
      </c>
      <c r="EH14">
        <f>Prices!E11</f>
        <v>26.57</v>
      </c>
      <c r="EI14" s="86">
        <f>Prices!F11</f>
        <v>1.0783279220779221</v>
      </c>
      <c r="EJ14" s="79">
        <f>Prices!G11</f>
        <v>0.90100000000000002</v>
      </c>
      <c r="EK14" s="86">
        <f>Prices!H11</f>
        <v>1.1477707006369426</v>
      </c>
      <c r="EL14" s="79">
        <f>Prices!I11</f>
        <v>0.83699999999999997</v>
      </c>
      <c r="EM14" s="86">
        <f>Prices!J11</f>
        <v>1.1722689075630253</v>
      </c>
      <c r="EN14" s="79">
        <f>Prices!K11</f>
        <v>0.56100000000000005</v>
      </c>
      <c r="EO14" s="86">
        <f>Prices!L11</f>
        <v>1.3076923076923079</v>
      </c>
      <c r="EP14">
        <f>Prices!M11</f>
        <v>4.0199999999999996</v>
      </c>
      <c r="EQ14" s="86">
        <f>Prices!N11</f>
        <v>1.1197771587743732</v>
      </c>
      <c r="ER14">
        <f>Prices!O11</f>
        <v>0.95799999999999996</v>
      </c>
      <c r="ES14" s="86">
        <f>Prices!P11</f>
        <v>1.0911161731207288</v>
      </c>
    </row>
    <row r="15" spans="2:174" x14ac:dyDescent="0.2">
      <c r="B15">
        <v>212210</v>
      </c>
      <c r="C15" t="s">
        <v>18</v>
      </c>
      <c r="D15">
        <v>40</v>
      </c>
      <c r="E15">
        <v>7200</v>
      </c>
      <c r="F15">
        <v>32</v>
      </c>
      <c r="G15" s="3">
        <v>7920</v>
      </c>
      <c r="H15">
        <v>24</v>
      </c>
      <c r="I15" s="3">
        <v>5189</v>
      </c>
      <c r="J15" s="3"/>
      <c r="K15" s="3">
        <v>6233554</v>
      </c>
      <c r="L15" s="3">
        <v>7164253</v>
      </c>
      <c r="M15" s="78">
        <v>212210</v>
      </c>
      <c r="N15" s="91">
        <v>7182445</v>
      </c>
      <c r="O15" s="91"/>
      <c r="P15" s="23">
        <f t="shared" ref="P15:P21" si="12">(K15+L15)/2</f>
        <v>6698903.5</v>
      </c>
      <c r="Q15" s="3"/>
      <c r="R15" s="3"/>
      <c r="S15" s="14">
        <v>60</v>
      </c>
      <c r="T15" s="8">
        <v>3815</v>
      </c>
      <c r="U15" s="6">
        <v>81</v>
      </c>
      <c r="V15" s="6"/>
      <c r="W15" s="6"/>
      <c r="X15" s="6">
        <f t="shared" si="0"/>
        <v>0</v>
      </c>
      <c r="Y15" s="6">
        <f t="shared" si="1"/>
        <v>0</v>
      </c>
      <c r="Z15" s="16">
        <f t="shared" si="11"/>
        <v>70.5</v>
      </c>
      <c r="AA15" s="8">
        <v>669.6</v>
      </c>
      <c r="AB15" s="8">
        <v>24505</v>
      </c>
      <c r="AC15" s="6">
        <v>910.7</v>
      </c>
      <c r="AD15" s="8">
        <v>23886</v>
      </c>
      <c r="AE15" s="8">
        <v>597.70000000000005</v>
      </c>
      <c r="AF15" s="58">
        <v>93430</v>
      </c>
      <c r="AG15" s="84">
        <f>AF15/(AD15*AG$4)*AE15</f>
        <v>833.40008829204476</v>
      </c>
      <c r="AH15" s="84">
        <f t="shared" si="2"/>
        <v>111679</v>
      </c>
      <c r="AI15" s="84">
        <f t="shared" si="3"/>
        <v>3888</v>
      </c>
      <c r="AJ15" s="16">
        <f>(AC15+AE15)/2</f>
        <v>754.2</v>
      </c>
      <c r="AK15" s="6"/>
      <c r="AL15" s="6"/>
      <c r="AM15" s="6"/>
      <c r="AN15" s="92"/>
      <c r="AO15" s="6"/>
      <c r="AP15" s="6"/>
      <c r="AQ15" s="6"/>
      <c r="AR15" s="6">
        <f t="shared" si="4"/>
        <v>0</v>
      </c>
      <c r="AS15" s="6">
        <f t="shared" si="5"/>
        <v>0</v>
      </c>
      <c r="AT15" s="16">
        <f>(AM15+AO15)/2</f>
        <v>0</v>
      </c>
      <c r="AU15" s="6">
        <v>29.7</v>
      </c>
      <c r="AV15" s="6">
        <v>80835</v>
      </c>
      <c r="AW15" s="6">
        <v>34.299999999999997</v>
      </c>
      <c r="AX15" s="6">
        <v>72998</v>
      </c>
      <c r="AY15" s="6">
        <v>22.1</v>
      </c>
      <c r="AZ15" s="8">
        <f>AX15/AY15*0.001</f>
        <v>3.3030769230769228</v>
      </c>
      <c r="BA15" s="8">
        <v>182528</v>
      </c>
      <c r="BB15" s="169">
        <f>BA15/(AX15*BB$4)*AY15</f>
        <v>28.925151374010245</v>
      </c>
      <c r="BC15" s="84">
        <f t="shared" si="6"/>
        <v>103974</v>
      </c>
      <c r="BD15" s="84">
        <f t="shared" si="7"/>
        <v>0</v>
      </c>
      <c r="BE15" s="16">
        <f>(AW15+AY15)/2</f>
        <v>28.2</v>
      </c>
      <c r="BF15" s="8">
        <v>1.1000000000000001</v>
      </c>
      <c r="BG15" s="8">
        <v>1296</v>
      </c>
      <c r="BH15" s="6">
        <v>1.4</v>
      </c>
      <c r="BI15" s="6">
        <f>$I15/$G15*BG15</f>
        <v>849.10909090909092</v>
      </c>
      <c r="BJ15" s="6">
        <f>$I15/$G15*BH15</f>
        <v>0.9172474747474747</v>
      </c>
      <c r="BK15" s="8">
        <v>2237</v>
      </c>
      <c r="BL15" s="84">
        <f>BK15/(BI15*BK$4)*BJ15</f>
        <v>0.94787880864466267</v>
      </c>
      <c r="BM15" s="84">
        <f t="shared" si="8"/>
        <v>4182</v>
      </c>
      <c r="BN15" s="84">
        <f t="shared" si="9"/>
        <v>0</v>
      </c>
      <c r="BO15" s="16">
        <f>(BH15+BJ15)/2</f>
        <v>1.1586237373737374</v>
      </c>
      <c r="BP15" s="6">
        <v>5340</v>
      </c>
      <c r="BQ15" s="93">
        <f>ER$37*0.001*BP15</f>
        <v>0.55548974943052398</v>
      </c>
      <c r="BR15" s="6">
        <v>4597</v>
      </c>
      <c r="BS15" s="93">
        <f>ER$38*0.001*BR15</f>
        <v>0.43826652748782186</v>
      </c>
      <c r="BT15" s="92">
        <f>CI15</f>
        <v>5000</v>
      </c>
      <c r="BU15" s="93">
        <f>ER$39*0.001*BT15</f>
        <v>0.24187853107344631</v>
      </c>
      <c r="BV15" s="170"/>
      <c r="BW15" s="21">
        <f>CB15/BZ15-1</f>
        <v>4.4875687647353057E-2</v>
      </c>
      <c r="BX15" s="116">
        <f>CB15-CA15</f>
        <v>5025</v>
      </c>
      <c r="BY15">
        <v>5340</v>
      </c>
      <c r="BZ15" s="33">
        <f>CA15</f>
        <v>111976</v>
      </c>
      <c r="CA15" s="33">
        <f>R15+AB15+AL15+AV15+BG15+BP15</f>
        <v>111976</v>
      </c>
      <c r="CB15">
        <v>117001</v>
      </c>
      <c r="CC15" s="21">
        <f>CF15/CE15-1</f>
        <v>1.9764367167347752E-2</v>
      </c>
      <c r="CD15" s="110"/>
      <c r="CE15" s="33">
        <f>T15+AD15+AN15+BI15+AX15+BR15</f>
        <v>106145.1090909091</v>
      </c>
      <c r="CF15" s="27">
        <v>108243</v>
      </c>
      <c r="CG15" s="21">
        <f>CL15/(CI15+CK15)-1</f>
        <v>0.11656279242218259</v>
      </c>
      <c r="CH15" s="27"/>
      <c r="CI15" s="97">
        <v>5000</v>
      </c>
      <c r="CJ15" s="97"/>
      <c r="CK15" s="27">
        <f t="shared" ref="CK15:CK21" si="13">V15+AF15+AP15+BA15+BK15</f>
        <v>278195</v>
      </c>
      <c r="CL15" s="27">
        <v>316205</v>
      </c>
      <c r="CM15" s="201" t="s">
        <v>452</v>
      </c>
      <c r="CN15" s="27">
        <f t="shared" si="10"/>
        <v>0</v>
      </c>
      <c r="CO15" s="27">
        <f>CL15-CK15-CI15</f>
        <v>33010</v>
      </c>
      <c r="CP15" s="27"/>
      <c r="CS15" s="13">
        <f>K15*CS$3</f>
        <v>21.268886247999998</v>
      </c>
      <c r="CT15" s="13">
        <f>S15*CT$3</f>
        <v>1.2445200000000001</v>
      </c>
      <c r="CU15" s="13">
        <f>AC15*CU$3</f>
        <v>5.3048275</v>
      </c>
      <c r="CV15" s="13">
        <f>AM15*CV$3</f>
        <v>0</v>
      </c>
      <c r="CW15" s="13">
        <f>AW15*CW$3</f>
        <v>35.260399999999997</v>
      </c>
      <c r="CX15" s="13">
        <f>BH15*CX$3</f>
        <v>0.17510000000000001</v>
      </c>
      <c r="CY15" s="13">
        <f>BQ15</f>
        <v>0.55548974943052398</v>
      </c>
      <c r="CZ15" s="13">
        <f>SUM(CT15:CX15)*(1+BW15)</f>
        <v>43.868946402331751</v>
      </c>
      <c r="DB15" s="13">
        <f>L15*DB$3</f>
        <v>24.444431235999996</v>
      </c>
      <c r="DC15" s="13">
        <f>U15*DC$3</f>
        <v>1.680102</v>
      </c>
      <c r="DD15" s="13">
        <f>AE15*DD$3</f>
        <v>3.4816025000000002</v>
      </c>
      <c r="DE15" s="13">
        <f>AO15*DE$3</f>
        <v>0</v>
      </c>
      <c r="DF15" s="13">
        <f>AY15*DF$3</f>
        <v>22.718800000000002</v>
      </c>
      <c r="DG15" s="13">
        <f>BJ15*DG$3</f>
        <v>0.11472145202020202</v>
      </c>
      <c r="DH15" s="13"/>
      <c r="DI15" s="13">
        <f>SUM(DC15:DH15)*(1+CC15)</f>
        <v>28.548533876668792</v>
      </c>
      <c r="DL15" s="13">
        <f t="shared" ref="DL15:DL21" si="14">N15*DL$3</f>
        <v>24.506502339999997</v>
      </c>
      <c r="DM15" s="13">
        <f t="shared" ref="DM15:DM21" si="15">W15*DM$3</f>
        <v>0</v>
      </c>
      <c r="DN15" s="13">
        <f t="shared" ref="DN15:DN21" si="16">AG15*DN$3</f>
        <v>4.8545555143011603</v>
      </c>
      <c r="DO15" s="13">
        <f t="shared" ref="DO15:DO21" si="17">AQ15*DO$3</f>
        <v>0</v>
      </c>
      <c r="DP15" s="13">
        <f t="shared" ref="DP15:DP21" si="18">BB15*DP$3</f>
        <v>29.735055612482533</v>
      </c>
      <c r="DQ15" s="13">
        <f t="shared" ref="DQ15:DQ21" si="19">BL15*DQ$3</f>
        <v>0.11855255670977174</v>
      </c>
      <c r="DR15" s="13">
        <f t="shared" ref="DR15:DR21" si="20">BU15</f>
        <v>0.24187853107344631</v>
      </c>
      <c r="DS15" s="13">
        <f t="shared" ref="DS15:DS21" si="21">SUM(DM15:DR15)*(1+CG15)</f>
        <v>39.023916730369997</v>
      </c>
      <c r="DU15">
        <f>[2]ALLFOS!AD6</f>
        <v>45.786999999999999</v>
      </c>
      <c r="EG15">
        <f>Prices!D12</f>
        <v>2007</v>
      </c>
      <c r="EH15">
        <f>Prices!E12</f>
        <v>40.799999999999997</v>
      </c>
      <c r="EI15" s="86">
        <f>Prices!F12</f>
        <v>1.5355664283025967</v>
      </c>
      <c r="EJ15" s="79">
        <f>Prices!G12</f>
        <v>2.2970000000000002</v>
      </c>
      <c r="EK15" s="86">
        <f>Prices!H12</f>
        <v>2.5493895671476139</v>
      </c>
      <c r="EL15" s="79">
        <f>Prices!I12</f>
        <v>2.3479999999999999</v>
      </c>
      <c r="EM15" s="86">
        <f>Prices!J12</f>
        <v>2.8052568697729989</v>
      </c>
      <c r="EN15" s="79">
        <f>Prices!K12</f>
        <v>1.3759999999999999</v>
      </c>
      <c r="EO15" s="86">
        <f>Prices!L12</f>
        <v>2.4527629233511581</v>
      </c>
      <c r="EP15">
        <f>Prices!M12</f>
        <v>7.68</v>
      </c>
      <c r="EQ15" s="86">
        <f>Prices!N12</f>
        <v>1.91044776119403</v>
      </c>
      <c r="ER15">
        <f>Prices!O12</f>
        <v>1.8879999999999999</v>
      </c>
      <c r="ES15" s="86">
        <f>Prices!P12</f>
        <v>1.9707724425887265</v>
      </c>
      <c r="EX15">
        <f>[1]_2012!A11</f>
        <v>212210</v>
      </c>
      <c r="EY15">
        <f>[1]_2012!B11</f>
        <v>0</v>
      </c>
      <c r="EZ15">
        <f>[1]_2012!C11</f>
        <v>0</v>
      </c>
      <c r="FA15">
        <f>[1]_2012!D11</f>
        <v>111679</v>
      </c>
      <c r="FB15">
        <f>[1]_2012!E11</f>
        <v>3888</v>
      </c>
      <c r="FC15">
        <f>[1]_2012!F11</f>
        <v>103974</v>
      </c>
      <c r="FD15">
        <f>[1]_2012!G11</f>
        <v>0</v>
      </c>
      <c r="FE15">
        <f>[1]_2012!H11</f>
        <v>4182</v>
      </c>
      <c r="FF15">
        <f>[1]_2012!I11</f>
        <v>0</v>
      </c>
      <c r="FG15">
        <f>[1]_2012!J11</f>
        <v>0</v>
      </c>
      <c r="FH15">
        <f>[1]_2012!K11</f>
        <v>0</v>
      </c>
      <c r="FI15">
        <f>[1]_2012!L11</f>
        <v>0</v>
      </c>
      <c r="FJ15">
        <f>[1]_2012!M11</f>
        <v>0</v>
      </c>
      <c r="FK15">
        <f>[1]_2012!N11</f>
        <v>0</v>
      </c>
      <c r="FL15">
        <f>[1]_2012!O11</f>
        <v>0</v>
      </c>
      <c r="FM15">
        <f>[1]_2012!P11</f>
        <v>4009</v>
      </c>
      <c r="FN15">
        <f>[1]_2012!Q11</f>
        <v>0</v>
      </c>
      <c r="FO15">
        <f>[1]_2012!R11</f>
        <v>223844</v>
      </c>
      <c r="FP15">
        <f>[1]_2012!S11</f>
        <v>3888</v>
      </c>
    </row>
    <row r="16" spans="2:174" x14ac:dyDescent="0.2">
      <c r="B16">
        <v>212221</v>
      </c>
      <c r="C16" t="s">
        <v>19</v>
      </c>
      <c r="D16">
        <v>403</v>
      </c>
      <c r="E16" s="3">
        <v>18200</v>
      </c>
      <c r="F16">
        <v>300</v>
      </c>
      <c r="G16" s="3">
        <v>17512</v>
      </c>
      <c r="H16">
        <v>180</v>
      </c>
      <c r="I16" s="3">
        <v>9265</v>
      </c>
      <c r="J16" s="3">
        <v>3146800</v>
      </c>
      <c r="K16" s="3">
        <v>4479792</v>
      </c>
      <c r="L16" s="30">
        <v>2692819</v>
      </c>
      <c r="M16" s="78">
        <v>212221</v>
      </c>
      <c r="N16" s="91">
        <v>4225193</v>
      </c>
      <c r="O16" s="91"/>
      <c r="P16" s="23">
        <f t="shared" si="12"/>
        <v>3586305.5</v>
      </c>
      <c r="Q16" s="3"/>
      <c r="R16" s="3"/>
      <c r="S16" s="6"/>
      <c r="T16" s="6"/>
      <c r="U16" s="6"/>
      <c r="V16" s="6"/>
      <c r="W16" s="6"/>
      <c r="X16" s="6">
        <f t="shared" si="0"/>
        <v>17219</v>
      </c>
      <c r="Y16" s="6">
        <f t="shared" si="1"/>
        <v>0</v>
      </c>
      <c r="Z16" s="16">
        <f t="shared" si="11"/>
        <v>0</v>
      </c>
      <c r="AA16" s="6">
        <v>2360</v>
      </c>
      <c r="AB16" s="8">
        <v>103489</v>
      </c>
      <c r="AC16" s="6">
        <v>3130.5</v>
      </c>
      <c r="AD16" s="8">
        <v>79253</v>
      </c>
      <c r="AE16" s="6">
        <v>1914.7</v>
      </c>
      <c r="AF16" s="58">
        <v>218878</v>
      </c>
      <c r="AG16" s="84">
        <f>AF16/(AD16*AG$4)*AE16</f>
        <v>1885.0136683232411</v>
      </c>
      <c r="AH16" s="84">
        <f t="shared" si="2"/>
        <v>326273</v>
      </c>
      <c r="AI16" s="84">
        <f t="shared" si="3"/>
        <v>0</v>
      </c>
      <c r="AJ16" s="16">
        <f>(AC16+AE16)/2</f>
        <v>2522.6</v>
      </c>
      <c r="AK16" s="6">
        <v>279.5</v>
      </c>
      <c r="AL16" s="8">
        <v>25000</v>
      </c>
      <c r="AM16" s="118">
        <f>AL16/(EN$13*42)</f>
        <v>1387.5013875013874</v>
      </c>
      <c r="AN16" s="14"/>
      <c r="AO16" s="14"/>
      <c r="AP16" s="14">
        <v>105267</v>
      </c>
      <c r="AQ16" s="98">
        <f>AP16/AP$4*0.001</f>
        <v>76.50218023255816</v>
      </c>
      <c r="AR16" s="98">
        <f t="shared" si="4"/>
        <v>0</v>
      </c>
      <c r="AS16" s="98">
        <f t="shared" si="5"/>
        <v>0</v>
      </c>
      <c r="AT16" s="16">
        <f>(AM16+AO16)/2</f>
        <v>693.7506937506937</v>
      </c>
      <c r="AU16" s="6"/>
      <c r="AV16" s="6"/>
      <c r="AW16" s="6"/>
      <c r="AX16" s="6"/>
      <c r="AY16" s="6"/>
      <c r="AZ16" s="6"/>
      <c r="BA16" s="6"/>
      <c r="BB16" s="94"/>
      <c r="BC16" s="6">
        <f t="shared" si="6"/>
        <v>69435</v>
      </c>
      <c r="BD16" s="6">
        <f t="shared" si="7"/>
        <v>0</v>
      </c>
      <c r="BE16" s="16"/>
      <c r="BF16" s="6">
        <v>5.3</v>
      </c>
      <c r="BG16" s="6">
        <v>14297</v>
      </c>
      <c r="BH16" s="6">
        <v>13.1</v>
      </c>
      <c r="BI16" s="8">
        <v>5103</v>
      </c>
      <c r="BJ16" s="6">
        <f>$I16/$G16*BH16</f>
        <v>6.9307617633622653</v>
      </c>
      <c r="BK16" s="8">
        <v>12386</v>
      </c>
      <c r="BL16" s="84">
        <f>BK16/(BI16*BK$4)*BJ16</f>
        <v>6.5985767713705012</v>
      </c>
      <c r="BM16" s="84">
        <f t="shared" si="8"/>
        <v>19119</v>
      </c>
      <c r="BN16" s="84">
        <f t="shared" si="9"/>
        <v>0</v>
      </c>
      <c r="BO16" s="16">
        <f>(BH16+BJ16)/2</f>
        <v>10.015380881681132</v>
      </c>
      <c r="BP16" s="6">
        <v>22411</v>
      </c>
      <c r="BQ16" s="6"/>
      <c r="BR16" s="59">
        <v>10000</v>
      </c>
      <c r="BS16" s="93">
        <f>ER$38*0.001*BR16</f>
        <v>0.95337508698677798</v>
      </c>
      <c r="BT16" s="92">
        <f>CI16</f>
        <v>9401</v>
      </c>
      <c r="BU16" s="93">
        <f>ER$39*0.001*BT16</f>
        <v>0.45478001412429375</v>
      </c>
      <c r="BV16" s="170"/>
      <c r="BW16" s="21">
        <f>CB16/(BZ16-BX16)-1</f>
        <v>5.733467818193283E-2</v>
      </c>
      <c r="BX16">
        <v>6567</v>
      </c>
      <c r="BZ16" s="33">
        <f>CA16</f>
        <v>165197</v>
      </c>
      <c r="CA16" s="33">
        <f>R16+AB16+AL16+AV16+BG16+BP16</f>
        <v>165197</v>
      </c>
      <c r="CB16">
        <v>167725</v>
      </c>
      <c r="CC16" s="21">
        <v>0.2</v>
      </c>
      <c r="CD16" s="110"/>
      <c r="CE16" s="33"/>
      <c r="CF16" s="27"/>
      <c r="CG16" s="21">
        <f>CL16/(CI16+CK16)-1</f>
        <v>0.21174681729357214</v>
      </c>
      <c r="CH16" s="27"/>
      <c r="CI16" s="27">
        <v>9401</v>
      </c>
      <c r="CJ16" s="27"/>
      <c r="CK16" s="27">
        <f t="shared" si="13"/>
        <v>336531</v>
      </c>
      <c r="CL16" s="27">
        <v>419182</v>
      </c>
      <c r="CM16" s="27">
        <v>706634</v>
      </c>
      <c r="CN16" s="27">
        <f t="shared" si="10"/>
        <v>706634</v>
      </c>
      <c r="CO16" s="27"/>
      <c r="CP16" s="27"/>
      <c r="CQ16" s="60" t="s">
        <v>323</v>
      </c>
      <c r="CR16" s="60"/>
      <c r="CS16" s="13">
        <f>K16*CS$3</f>
        <v>15.285050303999999</v>
      </c>
      <c r="CT16" s="13">
        <f>S16*CT$3</f>
        <v>0</v>
      </c>
      <c r="CU16" s="13">
        <f>AC16*CU$3</f>
        <v>18.235162499999998</v>
      </c>
      <c r="CV16" s="13">
        <f>AM16*CV$3</f>
        <v>8.7232212232212234</v>
      </c>
      <c r="CW16" s="13">
        <f>AW16*CW$3</f>
        <v>0</v>
      </c>
      <c r="CX16" s="13">
        <f>BH16*CX$3</f>
        <v>1.6384357142857144</v>
      </c>
      <c r="CY16" s="13">
        <f>BQ16</f>
        <v>0</v>
      </c>
      <c r="CZ16" s="13">
        <f>SUM(CT16:CX16)*(1+BW16)</f>
        <v>30.236408876983241</v>
      </c>
      <c r="DA16" s="60"/>
      <c r="DB16" s="13">
        <f>L16*DB$3</f>
        <v>9.1878984279999987</v>
      </c>
      <c r="DC16" s="13">
        <f>U16*DC$3</f>
        <v>0</v>
      </c>
      <c r="DD16" s="13">
        <f>AE16*DD$3</f>
        <v>11.1531275</v>
      </c>
      <c r="DE16" s="13">
        <f>AO16*DE$3</f>
        <v>0</v>
      </c>
      <c r="DF16" s="13">
        <f>AY16*DF$3</f>
        <v>0</v>
      </c>
      <c r="DG16" s="13">
        <f>BJ16*DG$3</f>
        <v>0.86684027483195203</v>
      </c>
      <c r="DH16" s="13">
        <f>BS16</f>
        <v>0.95337508698677798</v>
      </c>
      <c r="DI16" s="13">
        <f>SUM(DC16:DH16)*(1+CC16)</f>
        <v>15.568011434182477</v>
      </c>
      <c r="DL16" s="13">
        <f t="shared" si="14"/>
        <v>14.416358515999999</v>
      </c>
      <c r="DM16" s="13">
        <f t="shared" si="15"/>
        <v>0</v>
      </c>
      <c r="DN16" s="13">
        <f t="shared" si="16"/>
        <v>10.980204617982878</v>
      </c>
      <c r="DO16" s="13">
        <f t="shared" si="17"/>
        <v>0.48096920712209318</v>
      </c>
      <c r="DP16" s="13">
        <f t="shared" si="18"/>
        <v>0</v>
      </c>
      <c r="DQ16" s="13">
        <f t="shared" si="19"/>
        <v>0.82529342333355349</v>
      </c>
      <c r="DR16" s="13">
        <f t="shared" si="20"/>
        <v>0.45478001412429375</v>
      </c>
      <c r="DS16" s="13">
        <f t="shared" si="21"/>
        <v>15.439165818760934</v>
      </c>
      <c r="DU16">
        <f>[2]ALLFOS!AD7</f>
        <v>2.25</v>
      </c>
      <c r="EI16" s="16"/>
      <c r="EK16" s="16"/>
      <c r="EM16" s="16"/>
      <c r="EO16" s="16"/>
      <c r="EQ16" s="16"/>
      <c r="EX16">
        <f>[1]_2012!A12</f>
        <v>212221</v>
      </c>
      <c r="EY16">
        <f>[1]_2012!B12</f>
        <v>17219</v>
      </c>
      <c r="EZ16">
        <f>[1]_2012!C12</f>
        <v>0</v>
      </c>
      <c r="FA16">
        <f>[1]_2012!D12</f>
        <v>326273</v>
      </c>
      <c r="FB16">
        <f>[1]_2012!E12</f>
        <v>0</v>
      </c>
      <c r="FC16">
        <f>[1]_2012!F12</f>
        <v>69435</v>
      </c>
      <c r="FD16">
        <f>[1]_2012!G12</f>
        <v>0</v>
      </c>
      <c r="FE16">
        <f>[1]_2012!H12</f>
        <v>19119</v>
      </c>
      <c r="FF16">
        <f>[1]_2012!I12</f>
        <v>0</v>
      </c>
      <c r="FG16">
        <f>[1]_2012!J12</f>
        <v>10402</v>
      </c>
      <c r="FH16">
        <f>[1]_2012!K12</f>
        <v>0</v>
      </c>
      <c r="FI16">
        <f>[1]_2012!L12</f>
        <v>0</v>
      </c>
      <c r="FJ16">
        <f>[1]_2012!M12</f>
        <v>0</v>
      </c>
      <c r="FK16">
        <f>[1]_2012!N12</f>
        <v>706634</v>
      </c>
      <c r="FL16">
        <f>[1]_2012!O12</f>
        <v>0</v>
      </c>
      <c r="FM16">
        <f>[1]_2012!P12</f>
        <v>0</v>
      </c>
      <c r="FN16">
        <f>[1]_2012!Q12</f>
        <v>0</v>
      </c>
      <c r="FO16">
        <f>[1]_2012!R12</f>
        <v>1149082</v>
      </c>
      <c r="FP16">
        <f>[1]_2012!S12</f>
        <v>0</v>
      </c>
    </row>
    <row r="17" spans="2:172" x14ac:dyDescent="0.2">
      <c r="B17">
        <v>212222</v>
      </c>
      <c r="C17" t="s">
        <v>20</v>
      </c>
      <c r="D17">
        <v>24</v>
      </c>
      <c r="E17">
        <v>1000</v>
      </c>
      <c r="F17">
        <v>16</v>
      </c>
      <c r="G17" s="3">
        <v>780</v>
      </c>
      <c r="H17">
        <v>11</v>
      </c>
      <c r="I17" s="3">
        <v>575</v>
      </c>
      <c r="J17" s="3">
        <v>103800</v>
      </c>
      <c r="K17" s="3">
        <v>167511</v>
      </c>
      <c r="L17" s="30">
        <v>111535</v>
      </c>
      <c r="M17" s="78">
        <v>212222</v>
      </c>
      <c r="N17" s="91">
        <v>128535</v>
      </c>
      <c r="O17" s="91"/>
      <c r="P17" s="23">
        <f t="shared" si="12"/>
        <v>139523</v>
      </c>
      <c r="Q17" s="3"/>
      <c r="R17" s="3"/>
      <c r="S17" s="6"/>
      <c r="T17" s="6"/>
      <c r="U17" s="6"/>
      <c r="V17" s="6"/>
      <c r="W17" s="6"/>
      <c r="X17" s="6">
        <f t="shared" si="0"/>
        <v>0</v>
      </c>
      <c r="Y17" s="6">
        <f t="shared" si="1"/>
        <v>0</v>
      </c>
      <c r="Z17" s="16">
        <f t="shared" si="11"/>
        <v>0</v>
      </c>
      <c r="AC17" s="6"/>
      <c r="AD17" s="6"/>
      <c r="AE17" s="6"/>
      <c r="AF17" s="58">
        <v>4691</v>
      </c>
      <c r="AG17" s="99">
        <f>AF17/(EL$15*42)</f>
        <v>47.568345907357831</v>
      </c>
      <c r="AH17" s="99">
        <f t="shared" si="2"/>
        <v>20323</v>
      </c>
      <c r="AI17" s="99">
        <f t="shared" si="3"/>
        <v>0</v>
      </c>
      <c r="AJ17" s="16"/>
      <c r="AK17" s="6"/>
      <c r="AL17" s="6"/>
      <c r="AM17" s="6"/>
      <c r="AN17" s="6"/>
      <c r="AO17" s="6"/>
      <c r="AP17" s="6"/>
      <c r="AQ17" s="6"/>
      <c r="AR17" s="6">
        <f t="shared" si="4"/>
        <v>0</v>
      </c>
      <c r="AS17" s="6">
        <f t="shared" si="5"/>
        <v>0</v>
      </c>
      <c r="AT17" s="16"/>
      <c r="AW17" s="6"/>
      <c r="AX17" s="6"/>
      <c r="AY17" s="6"/>
      <c r="AZ17" s="6"/>
      <c r="BA17" s="6">
        <v>701</v>
      </c>
      <c r="BB17" s="122">
        <f>BA17/EP$15*0.001</f>
        <v>9.1276041666666669E-2</v>
      </c>
      <c r="BC17" s="95">
        <f t="shared" si="6"/>
        <v>909</v>
      </c>
      <c r="BD17" s="95">
        <f t="shared" si="7"/>
        <v>0</v>
      </c>
      <c r="BE17" s="16"/>
      <c r="BF17" s="6"/>
      <c r="BG17" s="6"/>
      <c r="BH17" s="6"/>
      <c r="BI17" s="6"/>
      <c r="BJ17" s="6"/>
      <c r="BK17" s="8">
        <v>0.1</v>
      </c>
      <c r="BL17" s="6"/>
      <c r="BM17" s="6">
        <f t="shared" si="8"/>
        <v>544</v>
      </c>
      <c r="BN17" s="6">
        <f t="shared" si="9"/>
        <v>0</v>
      </c>
      <c r="BO17" s="16"/>
      <c r="BP17" s="6"/>
      <c r="BQ17" s="6"/>
      <c r="BT17" s="92">
        <f>CH17+CI17</f>
        <v>893.89999999999964</v>
      </c>
      <c r="BU17" s="93">
        <f>ET$39*0.001*BT17</f>
        <v>8.6133420384782333E-2</v>
      </c>
      <c r="BV17" s="170"/>
      <c r="CB17">
        <v>2824</v>
      </c>
      <c r="CC17" s="21"/>
      <c r="CD17" s="110"/>
      <c r="CE17" s="33"/>
      <c r="CF17" s="27"/>
      <c r="CG17" s="21">
        <f>CL17/(CI17+CK17)-1</f>
        <v>1.0286081645773049E-2</v>
      </c>
      <c r="CH17" s="27">
        <v>64</v>
      </c>
      <c r="CI17" s="100">
        <f>CL17-CK17-CH17</f>
        <v>829.89999999999964</v>
      </c>
      <c r="CJ17" s="100"/>
      <c r="CK17" s="27">
        <f t="shared" si="13"/>
        <v>5392.1</v>
      </c>
      <c r="CL17" s="27">
        <v>6286</v>
      </c>
      <c r="CM17" s="27">
        <v>23196</v>
      </c>
      <c r="CN17" s="27">
        <f t="shared" si="10"/>
        <v>23196</v>
      </c>
      <c r="CO17" s="27"/>
      <c r="CP17" s="27"/>
      <c r="CZ17" s="119">
        <f>1624/1101*DI17</f>
        <v>0.7860433527163565</v>
      </c>
      <c r="DA17" s="108" t="s">
        <v>339</v>
      </c>
      <c r="DB17" s="13">
        <f>P17*DB$3</f>
        <v>0.47605247599999995</v>
      </c>
      <c r="DC17" s="13"/>
      <c r="DD17" s="13"/>
      <c r="DE17" s="13"/>
      <c r="DF17" s="13"/>
      <c r="DG17" s="13"/>
      <c r="DH17" s="13"/>
      <c r="DI17" s="19">
        <f>1101/954*DS17</f>
        <v>0.53290254392900771</v>
      </c>
      <c r="DL17" s="13">
        <f t="shared" si="14"/>
        <v>0.43856141999999998</v>
      </c>
      <c r="DM17" s="13">
        <f t="shared" si="15"/>
        <v>0</v>
      </c>
      <c r="DN17" s="13">
        <f t="shared" si="16"/>
        <v>0.27708561491035932</v>
      </c>
      <c r="DO17" s="13">
        <f t="shared" si="17"/>
        <v>0</v>
      </c>
      <c r="DP17" s="13">
        <f t="shared" si="18"/>
        <v>9.3831770833333342E-2</v>
      </c>
      <c r="DQ17" s="13">
        <f t="shared" si="19"/>
        <v>0</v>
      </c>
      <c r="DR17" s="13">
        <f t="shared" si="20"/>
        <v>8.6133420384782333E-2</v>
      </c>
      <c r="DS17" s="13">
        <f t="shared" si="21"/>
        <v>0.46175206803657887</v>
      </c>
      <c r="DU17">
        <f>[2]ALLFOS!AD8</f>
        <v>19.489000000000001</v>
      </c>
      <c r="EI17" s="16"/>
      <c r="EK17" s="16"/>
      <c r="EM17" s="16"/>
      <c r="EO17" s="16"/>
      <c r="EQ17" s="16"/>
      <c r="EX17">
        <f>[1]_2012!A13</f>
        <v>212222</v>
      </c>
      <c r="EY17">
        <f>[1]_2012!B13</f>
        <v>0</v>
      </c>
      <c r="EZ17">
        <f>[1]_2012!C13</f>
        <v>0</v>
      </c>
      <c r="FA17">
        <f>[1]_2012!D13</f>
        <v>20323</v>
      </c>
      <c r="FB17">
        <f>[1]_2012!E13</f>
        <v>0</v>
      </c>
      <c r="FC17">
        <f>[1]_2012!F13</f>
        <v>909</v>
      </c>
      <c r="FD17">
        <f>[1]_2012!G13</f>
        <v>0</v>
      </c>
      <c r="FE17">
        <f>[1]_2012!H13</f>
        <v>544</v>
      </c>
      <c r="FF17">
        <f>[1]_2012!I13</f>
        <v>0</v>
      </c>
      <c r="FG17">
        <f>[1]_2012!J13</f>
        <v>0</v>
      </c>
      <c r="FH17">
        <f>[1]_2012!K13</f>
        <v>0</v>
      </c>
      <c r="FI17">
        <f>[1]_2012!L13</f>
        <v>0</v>
      </c>
      <c r="FJ17">
        <f>[1]_2012!M13</f>
        <v>0</v>
      </c>
      <c r="FK17">
        <f>[1]_2012!N13</f>
        <v>23196</v>
      </c>
      <c r="FL17">
        <f>[1]_2012!O13</f>
        <v>0</v>
      </c>
      <c r="FM17">
        <f>[1]_2012!P13</f>
        <v>10</v>
      </c>
      <c r="FN17">
        <f>[1]_2012!Q13</f>
        <v>0</v>
      </c>
      <c r="FO17">
        <f>[1]_2012!R13</f>
        <v>44982</v>
      </c>
      <c r="FP17">
        <f>[1]_2012!S13</f>
        <v>0</v>
      </c>
    </row>
    <row r="18" spans="2:172" x14ac:dyDescent="0.2">
      <c r="B18">
        <v>212231</v>
      </c>
      <c r="C18" t="s">
        <v>22</v>
      </c>
      <c r="D18">
        <v>44</v>
      </c>
      <c r="E18">
        <v>2800</v>
      </c>
      <c r="F18">
        <v>31</v>
      </c>
      <c r="G18" s="3">
        <v>2127</v>
      </c>
      <c r="H18">
        <v>22</v>
      </c>
      <c r="I18" s="3">
        <v>1442</v>
      </c>
      <c r="J18" s="3"/>
      <c r="K18" s="3">
        <v>461747</v>
      </c>
      <c r="L18" s="3">
        <v>437091</v>
      </c>
      <c r="M18" s="78">
        <v>212231</v>
      </c>
      <c r="N18" s="91">
        <v>1401103</v>
      </c>
      <c r="O18" s="91"/>
      <c r="P18" s="23">
        <f t="shared" si="12"/>
        <v>449419</v>
      </c>
      <c r="Q18" s="3"/>
      <c r="R18" s="3"/>
      <c r="S18" s="6"/>
      <c r="T18" s="6"/>
      <c r="U18" s="6"/>
      <c r="V18" s="6">
        <v>4546</v>
      </c>
      <c r="W18" s="95">
        <f>V18/EH$15</f>
        <v>111.42156862745099</v>
      </c>
      <c r="X18" s="8">
        <f t="shared" si="0"/>
        <v>0</v>
      </c>
      <c r="Y18" s="8">
        <f t="shared" si="1"/>
        <v>0</v>
      </c>
      <c r="Z18" s="16">
        <f t="shared" si="11"/>
        <v>0</v>
      </c>
      <c r="AA18" s="6">
        <v>88.3</v>
      </c>
      <c r="AB18" s="6"/>
      <c r="AC18" s="14">
        <v>65</v>
      </c>
      <c r="AD18" s="14"/>
      <c r="AE18" s="14">
        <v>45</v>
      </c>
      <c r="AF18" s="14">
        <v>47852</v>
      </c>
      <c r="AG18" s="99">
        <f>AF18/(EL$15*42)</f>
        <v>485.23566155593414</v>
      </c>
      <c r="AH18" s="99">
        <f t="shared" si="2"/>
        <v>0</v>
      </c>
      <c r="AI18" s="99">
        <f t="shared" si="3"/>
        <v>0</v>
      </c>
      <c r="AJ18" s="16">
        <f>(AC18+AE18)/2</f>
        <v>55</v>
      </c>
      <c r="AK18" s="6"/>
      <c r="AL18" s="6"/>
      <c r="AM18" s="6"/>
      <c r="AN18" s="6"/>
      <c r="AO18" s="6"/>
      <c r="AP18" s="6"/>
      <c r="AQ18" s="6"/>
      <c r="AR18" s="6">
        <f t="shared" si="4"/>
        <v>0</v>
      </c>
      <c r="AS18" s="6">
        <f t="shared" si="5"/>
        <v>0</v>
      </c>
      <c r="AT18" s="16">
        <f>(AM18+AO18)/2</f>
        <v>0</v>
      </c>
      <c r="AU18" s="6"/>
      <c r="AV18" s="6"/>
      <c r="AW18" s="6"/>
      <c r="AX18" s="6"/>
      <c r="AY18" s="6"/>
      <c r="AZ18" s="6"/>
      <c r="BA18">
        <v>0.1</v>
      </c>
      <c r="BB18" s="94"/>
      <c r="BC18" s="6">
        <f t="shared" si="6"/>
        <v>0</v>
      </c>
      <c r="BD18" s="6">
        <f t="shared" si="7"/>
        <v>0</v>
      </c>
      <c r="BE18" s="16"/>
      <c r="BF18" s="6"/>
      <c r="BG18" s="6"/>
      <c r="BH18" s="6"/>
      <c r="BI18" s="6"/>
      <c r="BJ18" s="6"/>
      <c r="BK18" s="8">
        <v>3790</v>
      </c>
      <c r="BL18" s="101">
        <f>BK18/EJ$15*0.001</f>
        <v>1.6499782324771441</v>
      </c>
      <c r="BM18" s="101">
        <f t="shared" si="8"/>
        <v>0</v>
      </c>
      <c r="BN18" s="101">
        <f t="shared" si="9"/>
        <v>0</v>
      </c>
      <c r="BO18" s="16"/>
      <c r="BP18" s="6"/>
      <c r="BQ18" s="6"/>
      <c r="BR18" s="6"/>
      <c r="BS18" s="6"/>
      <c r="BT18" s="92">
        <f>CH18+CI18</f>
        <v>745.90000000000146</v>
      </c>
      <c r="BU18" s="93">
        <f>ER$39*0.001*BT18</f>
        <v>3.6083439265536789E-2</v>
      </c>
      <c r="BV18" s="170"/>
      <c r="CB18">
        <v>9287</v>
      </c>
      <c r="CC18" s="21"/>
      <c r="CD18" s="110"/>
      <c r="CE18" s="33"/>
      <c r="CF18" s="27">
        <v>13171</v>
      </c>
      <c r="CG18" s="27"/>
      <c r="CH18" s="62"/>
      <c r="CI18" s="100">
        <f>CL18-CK18-CH18</f>
        <v>745.90000000000146</v>
      </c>
      <c r="CJ18" s="100"/>
      <c r="CK18" s="27">
        <f t="shared" si="13"/>
        <v>56188.1</v>
      </c>
      <c r="CL18" s="27">
        <v>56934</v>
      </c>
      <c r="CM18" s="27">
        <v>72890</v>
      </c>
      <c r="CN18" s="27">
        <f t="shared" si="10"/>
        <v>72890</v>
      </c>
      <c r="CO18" s="27"/>
      <c r="CP18" s="27"/>
      <c r="CZ18" s="19">
        <f>3575/2576*DI18</f>
        <v>3.6496560934034048</v>
      </c>
      <c r="DA18" s="108" t="s">
        <v>339</v>
      </c>
      <c r="DB18" s="13">
        <f>P18*DB$3</f>
        <v>1.5334176279999998</v>
      </c>
      <c r="DC18" s="13"/>
      <c r="DD18" s="13">
        <f>AJ18*DD$3</f>
        <v>0.32037499999999997</v>
      </c>
      <c r="DE18" s="13">
        <f>AT18*DE$3</f>
        <v>0</v>
      </c>
      <c r="DF18" s="13"/>
      <c r="DG18" s="13"/>
      <c r="DH18" s="13"/>
      <c r="DI18" s="19">
        <f>2576/5270*DS18</f>
        <v>2.6297941528971109</v>
      </c>
      <c r="DL18" s="13">
        <f t="shared" si="14"/>
        <v>4.7805634359999996</v>
      </c>
      <c r="DM18" s="13">
        <f t="shared" si="15"/>
        <v>2.3111061764705885</v>
      </c>
      <c r="DN18" s="13">
        <f t="shared" si="16"/>
        <v>2.8264977285633162</v>
      </c>
      <c r="DO18" s="13">
        <f t="shared" si="17"/>
        <v>0</v>
      </c>
      <c r="DP18" s="13">
        <f t="shared" si="18"/>
        <v>0</v>
      </c>
      <c r="DQ18" s="13">
        <f t="shared" si="19"/>
        <v>0.20636513464767711</v>
      </c>
      <c r="DR18" s="13">
        <f t="shared" si="20"/>
        <v>3.6083439265536789E-2</v>
      </c>
      <c r="DS18" s="13">
        <f t="shared" si="21"/>
        <v>5.3800524789471176</v>
      </c>
      <c r="EX18">
        <f>[1]_2012!A14</f>
        <v>212231</v>
      </c>
      <c r="EY18">
        <f>[1]_2012!B14</f>
        <v>0</v>
      </c>
      <c r="EZ18">
        <f>[1]_2012!C14</f>
        <v>0</v>
      </c>
      <c r="FA18">
        <f>[1]_2012!D14</f>
        <v>0</v>
      </c>
      <c r="FB18">
        <f>[1]_2012!E14</f>
        <v>0</v>
      </c>
      <c r="FC18">
        <f>[1]_2012!F14</f>
        <v>0</v>
      </c>
      <c r="FD18">
        <f>[1]_2012!G14</f>
        <v>0</v>
      </c>
      <c r="FE18">
        <f>[1]_2012!H14</f>
        <v>0</v>
      </c>
      <c r="FF18">
        <f>[1]_2012!I14</f>
        <v>0</v>
      </c>
      <c r="FG18">
        <f>[1]_2012!J14</f>
        <v>0</v>
      </c>
      <c r="FH18">
        <f>[1]_2012!K14</f>
        <v>0</v>
      </c>
      <c r="FI18">
        <f>[1]_2012!L14</f>
        <v>0</v>
      </c>
      <c r="FJ18">
        <f>[1]_2012!M14</f>
        <v>0</v>
      </c>
      <c r="FK18">
        <f>[1]_2012!N14</f>
        <v>72890</v>
      </c>
      <c r="FL18">
        <f>[1]_2012!O14</f>
        <v>0</v>
      </c>
      <c r="FM18">
        <f>[1]_2012!P14</f>
        <v>0</v>
      </c>
      <c r="FN18">
        <f>[1]_2012!Q14</f>
        <v>0</v>
      </c>
      <c r="FO18">
        <f>[1]_2012!R14</f>
        <v>72890</v>
      </c>
      <c r="FP18">
        <f>[1]_2012!S14</f>
        <v>0</v>
      </c>
    </row>
    <row r="19" spans="2:172" x14ac:dyDescent="0.2">
      <c r="B19">
        <v>212234</v>
      </c>
      <c r="C19" t="s">
        <v>17</v>
      </c>
      <c r="D19">
        <v>62</v>
      </c>
      <c r="E19" s="3">
        <v>14900</v>
      </c>
      <c r="F19">
        <v>49</v>
      </c>
      <c r="G19" s="3">
        <v>13745</v>
      </c>
      <c r="H19">
        <v>33</v>
      </c>
      <c r="I19" s="3">
        <v>7288</v>
      </c>
      <c r="J19" s="3"/>
      <c r="K19" s="3">
        <v>7779128</v>
      </c>
      <c r="L19" s="3">
        <v>4775100</v>
      </c>
      <c r="M19" s="78">
        <v>212234</v>
      </c>
      <c r="N19" s="91">
        <v>5169637</v>
      </c>
      <c r="O19" s="91"/>
      <c r="P19" s="23">
        <f t="shared" si="12"/>
        <v>6277114</v>
      </c>
      <c r="Q19" s="3"/>
      <c r="R19" s="3"/>
      <c r="S19" s="6"/>
      <c r="T19" s="6"/>
      <c r="U19" s="6"/>
      <c r="V19" s="6"/>
      <c r="W19" s="6"/>
      <c r="X19" s="8">
        <f t="shared" si="0"/>
        <v>0</v>
      </c>
      <c r="Y19" s="8">
        <f t="shared" si="1"/>
        <v>0</v>
      </c>
      <c r="Z19" s="16">
        <f t="shared" si="11"/>
        <v>0</v>
      </c>
      <c r="AA19" s="6">
        <v>1501.4</v>
      </c>
      <c r="AB19" s="6">
        <v>95634</v>
      </c>
      <c r="AC19" s="6">
        <v>3057.9</v>
      </c>
      <c r="AD19" s="6"/>
      <c r="AE19" s="6">
        <f>$I19/$G19*AC19</f>
        <v>1621.3877919243359</v>
      </c>
      <c r="AF19" s="107">
        <f>0.95*CO19</f>
        <v>292684.55</v>
      </c>
      <c r="AG19" s="99">
        <f>AF19/(EL$15*42)</f>
        <v>2967.9215340309888</v>
      </c>
      <c r="AH19" s="99">
        <f t="shared" si="2"/>
        <v>347501</v>
      </c>
      <c r="AI19" s="99">
        <f t="shared" si="3"/>
        <v>0</v>
      </c>
      <c r="AJ19" s="16">
        <f>(AC19+AE19)/2</f>
        <v>2339.6438959621682</v>
      </c>
      <c r="AK19" s="6"/>
      <c r="AL19" s="6"/>
      <c r="AM19" s="6"/>
      <c r="AN19" s="6"/>
      <c r="AO19" s="6"/>
      <c r="AP19" s="6">
        <v>0.1</v>
      </c>
      <c r="AQ19" s="6"/>
      <c r="AR19" s="6">
        <f t="shared" si="4"/>
        <v>106873</v>
      </c>
      <c r="AS19" s="6">
        <f t="shared" si="5"/>
        <v>0</v>
      </c>
      <c r="AT19" s="16">
        <f>(AM19+AO19)/2</f>
        <v>0</v>
      </c>
      <c r="AU19" s="6">
        <v>2.4</v>
      </c>
      <c r="AV19" s="6">
        <v>4085</v>
      </c>
      <c r="AW19" s="6">
        <v>1.8</v>
      </c>
      <c r="AX19" s="6"/>
      <c r="AY19" s="6">
        <f>$I19/$G19*AW19</f>
        <v>0.95441251364132407</v>
      </c>
      <c r="AZ19" s="6"/>
      <c r="BA19" s="103">
        <f>0.05*CO19</f>
        <v>15404.45</v>
      </c>
      <c r="BB19" s="122">
        <f>BA19/EP$15*0.001</f>
        <v>2.0057877604166667</v>
      </c>
      <c r="BC19" s="95">
        <f t="shared" si="6"/>
        <v>0</v>
      </c>
      <c r="BD19" s="95">
        <f t="shared" si="7"/>
        <v>0</v>
      </c>
      <c r="BE19" s="16">
        <f>(AW19+AY19)/2</f>
        <v>1.377206256820662</v>
      </c>
      <c r="BF19" s="6"/>
      <c r="BG19" s="6">
        <v>3037</v>
      </c>
      <c r="BH19" s="6">
        <v>3.1</v>
      </c>
      <c r="BI19" s="6">
        <v>2133</v>
      </c>
      <c r="BJ19" s="6">
        <v>1.7</v>
      </c>
      <c r="BK19" s="8">
        <v>21174</v>
      </c>
      <c r="BL19" s="84">
        <f>BK19/(BI19*BK$4)*BJ19</f>
        <v>6.6194936586399304</v>
      </c>
      <c r="BM19" s="84">
        <f t="shared" si="8"/>
        <v>32115</v>
      </c>
      <c r="BN19" s="84">
        <f t="shared" si="9"/>
        <v>0</v>
      </c>
      <c r="BO19" s="16">
        <f t="shared" ref="BO19:BO32" si="22">(BH19+BJ19)/2</f>
        <v>2.4</v>
      </c>
      <c r="BP19" s="8">
        <v>357</v>
      </c>
      <c r="BQ19" s="93">
        <f>ER$37*0.001*BP19</f>
        <v>3.7136674259681098E-2</v>
      </c>
      <c r="BR19" s="6"/>
      <c r="BS19" s="6"/>
      <c r="BT19" s="92">
        <f>CH19+CI19</f>
        <v>1173</v>
      </c>
      <c r="BU19" s="93">
        <f>ER$39*0.001*BT19</f>
        <v>5.6744703389830509E-2</v>
      </c>
      <c r="BV19" s="170"/>
      <c r="BW19" s="21">
        <f>CB19/(CB19-BX19)-1</f>
        <v>1.2714206744057543E-2</v>
      </c>
      <c r="BX19" s="116">
        <f>CB19-CA19</f>
        <v>1311</v>
      </c>
      <c r="BZ19" s="33">
        <f>CA19</f>
        <v>103113</v>
      </c>
      <c r="CA19" s="33">
        <f>R19+AB19+AL19+AV19+BG19+BP19</f>
        <v>103113</v>
      </c>
      <c r="CB19">
        <v>104424</v>
      </c>
      <c r="CC19" s="21">
        <v>0.05</v>
      </c>
      <c r="CD19" s="110"/>
      <c r="CE19" s="33"/>
      <c r="CF19" s="27">
        <v>86214</v>
      </c>
      <c r="CG19" s="27"/>
      <c r="CH19" s="27"/>
      <c r="CI19" s="27">
        <v>1173</v>
      </c>
      <c r="CJ19" s="27"/>
      <c r="CK19" s="27">
        <f t="shared" si="13"/>
        <v>329263.09999999998</v>
      </c>
      <c r="CL19" s="27">
        <v>330436</v>
      </c>
      <c r="CM19" s="27">
        <v>501681</v>
      </c>
      <c r="CN19" s="27">
        <f t="shared" si="10"/>
        <v>501681</v>
      </c>
      <c r="CO19" s="27">
        <f>CL19-CI19-BK19</f>
        <v>308089</v>
      </c>
      <c r="CP19" s="27"/>
      <c r="CS19" s="13">
        <f>K19*CS$3</f>
        <v>26.542384735999999</v>
      </c>
      <c r="CT19" s="13">
        <f>S19*CT$3</f>
        <v>0</v>
      </c>
      <c r="CU19" s="13">
        <f>AC19*CU$3</f>
        <v>17.812267499999997</v>
      </c>
      <c r="CV19" s="13">
        <f>AM19*CV$3</f>
        <v>0</v>
      </c>
      <c r="CW19" s="13">
        <f>AW19*CW$3</f>
        <v>1.8504</v>
      </c>
      <c r="CX19" s="13">
        <f>BH19*CX$3</f>
        <v>0.38772142857142861</v>
      </c>
      <c r="CY19" s="13">
        <f>BQ19</f>
        <v>3.7136674259681098E-2</v>
      </c>
      <c r="CZ19" s="13">
        <f>SUM(CT19:CX19)*(1+BW19)</f>
        <v>20.305313718708046</v>
      </c>
      <c r="DB19" s="13">
        <f>P19*DB$3</f>
        <v>21.417512967999997</v>
      </c>
      <c r="DC19" s="13">
        <f>Z19*DC$3</f>
        <v>0</v>
      </c>
      <c r="DD19" s="13">
        <f>AJ19*DD$3</f>
        <v>13.628425693979629</v>
      </c>
      <c r="DE19" s="13">
        <f>AT19*DE$3</f>
        <v>0</v>
      </c>
      <c r="DF19" s="13">
        <f>BE19*DF$3</f>
        <v>1.4157680320116406</v>
      </c>
      <c r="DG19" s="13">
        <f>BO19*DG$3</f>
        <v>0.30017142857142859</v>
      </c>
      <c r="DH19" s="13"/>
      <c r="DI19" s="13">
        <f>SUM(DC19:DH19)*(1+CC19)</f>
        <v>16.111583412290834</v>
      </c>
      <c r="DL19" s="13">
        <f t="shared" si="14"/>
        <v>17.638801443999998</v>
      </c>
      <c r="DM19" s="13">
        <f t="shared" si="15"/>
        <v>0</v>
      </c>
      <c r="DN19" s="13">
        <f t="shared" si="16"/>
        <v>17.288142935730509</v>
      </c>
      <c r="DO19" s="13">
        <f t="shared" si="17"/>
        <v>0</v>
      </c>
      <c r="DP19" s="13">
        <f t="shared" si="18"/>
        <v>2.0619498177083333</v>
      </c>
      <c r="DQ19" s="13">
        <f t="shared" si="19"/>
        <v>0.82790952830560849</v>
      </c>
      <c r="DR19" s="13">
        <f t="shared" si="20"/>
        <v>5.6744703389830509E-2</v>
      </c>
      <c r="DS19" s="13">
        <f t="shared" si="21"/>
        <v>20.234746985134283</v>
      </c>
      <c r="DT19" t="s">
        <v>332</v>
      </c>
      <c r="EH19" s="60" t="str">
        <f>Prices!E16</f>
        <v>MMBtu/ton</v>
      </c>
      <c r="EI19" s="16"/>
      <c r="EK19" s="16"/>
      <c r="EM19" s="16"/>
      <c r="EO19" s="16"/>
      <c r="EQ19" s="16">
        <f>Prices!N16</f>
        <v>0</v>
      </c>
      <c r="ER19">
        <f>Prices!O16</f>
        <v>0</v>
      </c>
      <c r="EX19">
        <f>[1]_2012!A15</f>
        <v>212234</v>
      </c>
      <c r="EY19">
        <f>[1]_2012!B15</f>
        <v>0</v>
      </c>
      <c r="EZ19">
        <f>[1]_2012!C15</f>
        <v>0</v>
      </c>
      <c r="FA19">
        <f>[1]_2012!D15</f>
        <v>347501</v>
      </c>
      <c r="FB19">
        <f>[1]_2012!E15</f>
        <v>0</v>
      </c>
      <c r="FC19">
        <f>[1]_2012!F15</f>
        <v>0</v>
      </c>
      <c r="FD19">
        <f>[1]_2012!G15</f>
        <v>0</v>
      </c>
      <c r="FE19">
        <f>[1]_2012!H15</f>
        <v>32115</v>
      </c>
      <c r="FF19">
        <f>[1]_2012!I15</f>
        <v>0</v>
      </c>
      <c r="FG19">
        <f>[1]_2012!J15</f>
        <v>174</v>
      </c>
      <c r="FH19">
        <f>[1]_2012!K15</f>
        <v>0</v>
      </c>
      <c r="FI19">
        <f>[1]_2012!L15</f>
        <v>106873</v>
      </c>
      <c r="FJ19">
        <f>[1]_2012!M15</f>
        <v>0</v>
      </c>
      <c r="FK19">
        <f>[1]_2012!N15</f>
        <v>501681</v>
      </c>
      <c r="FL19">
        <f>[1]_2012!O15</f>
        <v>0</v>
      </c>
      <c r="FM19">
        <f>[1]_2012!P15</f>
        <v>0</v>
      </c>
      <c r="FN19">
        <f>[1]_2012!Q15</f>
        <v>0</v>
      </c>
      <c r="FO19">
        <f>[1]_2012!R15</f>
        <v>988344</v>
      </c>
      <c r="FP19">
        <f>[1]_2012!S15</f>
        <v>0</v>
      </c>
    </row>
    <row r="20" spans="2:172" x14ac:dyDescent="0.2">
      <c r="B20">
        <v>212291</v>
      </c>
      <c r="C20" t="s">
        <v>23</v>
      </c>
      <c r="F20">
        <v>29</v>
      </c>
      <c r="G20" s="3">
        <v>695</v>
      </c>
      <c r="H20">
        <v>17</v>
      </c>
      <c r="I20" s="3">
        <v>329</v>
      </c>
      <c r="J20" s="3"/>
      <c r="K20" s="3">
        <v>99045</v>
      </c>
      <c r="L20" s="3">
        <v>123476</v>
      </c>
      <c r="M20" s="78">
        <v>212291</v>
      </c>
      <c r="N20" s="91">
        <v>161873</v>
      </c>
      <c r="O20" s="91"/>
      <c r="P20" s="23">
        <f t="shared" si="12"/>
        <v>111260.5</v>
      </c>
      <c r="Q20" s="3"/>
      <c r="R20" s="3"/>
      <c r="S20" s="6"/>
      <c r="T20" s="6"/>
      <c r="U20" s="6"/>
      <c r="V20" s="6"/>
      <c r="W20" s="6"/>
      <c r="X20" s="8">
        <f t="shared" si="0"/>
        <v>0</v>
      </c>
      <c r="Y20" s="8">
        <f t="shared" si="1"/>
        <v>0</v>
      </c>
      <c r="Z20" s="16">
        <f t="shared" si="11"/>
        <v>0</v>
      </c>
      <c r="AA20" s="6"/>
      <c r="AB20" s="6">
        <v>59</v>
      </c>
      <c r="AC20" s="6">
        <v>1.5</v>
      </c>
      <c r="AD20" s="6">
        <v>116</v>
      </c>
      <c r="AE20" s="84">
        <f>AD20/(AB20*AE$4)*AC20</f>
        <v>2.5157645343539272</v>
      </c>
      <c r="AF20" s="58">
        <v>2108</v>
      </c>
      <c r="AG20" s="84">
        <f>AF20/(AD20*AG$4)*AE20</f>
        <v>16.297086593711196</v>
      </c>
      <c r="AH20" s="84">
        <f t="shared" si="2"/>
        <v>1913</v>
      </c>
      <c r="AI20" s="84">
        <f t="shared" si="3"/>
        <v>0</v>
      </c>
      <c r="AJ20" s="16">
        <f>(AC20+AE20)/2</f>
        <v>2.0078822671769636</v>
      </c>
      <c r="AK20" s="6"/>
      <c r="AL20" s="6"/>
      <c r="AM20" s="6"/>
      <c r="AN20" s="6"/>
      <c r="AO20" s="6"/>
      <c r="AP20" s="6"/>
      <c r="AQ20" s="6"/>
      <c r="AR20" s="6">
        <f t="shared" si="4"/>
        <v>0</v>
      </c>
      <c r="AS20" s="6">
        <f t="shared" si="5"/>
        <v>0</v>
      </c>
      <c r="AT20" s="16">
        <f>(AM20+AO20)/2</f>
        <v>0</v>
      </c>
      <c r="AU20" s="6"/>
      <c r="AV20" s="6">
        <v>834</v>
      </c>
      <c r="AW20" s="6">
        <v>0.3</v>
      </c>
      <c r="AX20" s="6"/>
      <c r="AY20" s="6">
        <f>$I20/$G20*AW20</f>
        <v>0.14201438848920861</v>
      </c>
      <c r="AZ20" s="6"/>
      <c r="BA20" s="8">
        <v>841</v>
      </c>
      <c r="BB20" s="122">
        <f>BA20/EP$15*0.001</f>
        <v>0.10950520833333334</v>
      </c>
      <c r="BC20" s="95">
        <f t="shared" si="6"/>
        <v>0</v>
      </c>
      <c r="BD20" s="95">
        <f t="shared" si="7"/>
        <v>0</v>
      </c>
      <c r="BE20" s="16">
        <f>(AW20+AY20)/2</f>
        <v>0.2210071942446043</v>
      </c>
      <c r="BF20" s="6"/>
      <c r="BG20" s="8">
        <v>153</v>
      </c>
      <c r="BH20" s="6">
        <v>0.1</v>
      </c>
      <c r="BI20" s="6"/>
      <c r="BJ20" s="6">
        <f>$I20/$G20*BH20</f>
        <v>4.7338129496402877E-2</v>
      </c>
      <c r="BK20" s="8">
        <v>1610</v>
      </c>
      <c r="BL20" s="101">
        <f>BK20/EJ$15*0.001</f>
        <v>0.70091423595994773</v>
      </c>
      <c r="BM20" s="101">
        <f t="shared" si="8"/>
        <v>1285</v>
      </c>
      <c r="BN20" s="101">
        <f t="shared" si="9"/>
        <v>0</v>
      </c>
      <c r="BO20" s="16">
        <f t="shared" si="22"/>
        <v>7.3669064748201438E-2</v>
      </c>
      <c r="BP20" s="8">
        <v>135</v>
      </c>
      <c r="BQ20" s="93">
        <f>ER$37*0.001*BP20</f>
        <v>1.4043280182232347E-2</v>
      </c>
      <c r="BR20" s="59">
        <v>200</v>
      </c>
      <c r="BS20" s="93">
        <f>ER$38*0.001*BR20</f>
        <v>1.9067501739735558E-2</v>
      </c>
      <c r="BT20" s="92">
        <f>CH20+CI20</f>
        <v>151</v>
      </c>
      <c r="BU20" s="93">
        <f>ER$39*0.001*BT20</f>
        <v>7.3047316384180789E-3</v>
      </c>
      <c r="BV20" s="170"/>
      <c r="BW20" s="21">
        <f>CB20/(CB20-BX20)-1</f>
        <v>0.55969517358171039</v>
      </c>
      <c r="BX20">
        <v>661</v>
      </c>
      <c r="CA20" s="33">
        <f>R20+AB20+AL20+AV20+BG20+BP20</f>
        <v>1181</v>
      </c>
      <c r="CB20">
        <v>1842</v>
      </c>
      <c r="CC20" s="21">
        <f>CF20/CE20-1</f>
        <v>0.63519313304721026</v>
      </c>
      <c r="CD20" s="110"/>
      <c r="CE20" s="33">
        <f>CF20-740</f>
        <v>1165</v>
      </c>
      <c r="CF20" s="27">
        <v>1905</v>
      </c>
      <c r="CG20" s="21">
        <f>CL20/(CI20+CK20)-1</f>
        <v>3.3121298530379484E-2</v>
      </c>
      <c r="CH20" s="27">
        <f>CL20-CK20-CI20</f>
        <v>151</v>
      </c>
      <c r="CI20" s="27"/>
      <c r="CJ20" s="27">
        <v>264</v>
      </c>
      <c r="CK20" s="27">
        <f t="shared" si="13"/>
        <v>4559</v>
      </c>
      <c r="CL20" s="27">
        <v>4710</v>
      </c>
      <c r="CM20" s="27"/>
      <c r="CN20" s="27">
        <f t="shared" si="10"/>
        <v>0</v>
      </c>
      <c r="CO20" s="27"/>
      <c r="CP20" s="109">
        <v>1.6861598440545809</v>
      </c>
      <c r="CS20" s="13">
        <f>K20*CS$3</f>
        <v>0.33794153999999998</v>
      </c>
      <c r="CT20" s="13">
        <f>S20*CT$3</f>
        <v>0</v>
      </c>
      <c r="CU20" s="13">
        <f>AC20*CU$3</f>
        <v>8.7374999999999987E-3</v>
      </c>
      <c r="CV20" s="13">
        <f>AM20*CV$3</f>
        <v>0</v>
      </c>
      <c r="CW20" s="13">
        <f>AW20*CW$3</f>
        <v>0.30840000000000001</v>
      </c>
      <c r="CX20" s="13">
        <f>BH20*CX$3</f>
        <v>1.2507142857142859E-2</v>
      </c>
      <c r="CY20" s="13">
        <f>BQ20</f>
        <v>1.4043280182232347E-2</v>
      </c>
      <c r="CZ20" s="13">
        <f>SUM(CT20:CX20)*(1+BW20)</f>
        <v>0.51414515846135245</v>
      </c>
      <c r="DB20" s="13">
        <f>L20*DB$3</f>
        <v>0.42130011199999995</v>
      </c>
      <c r="DC20" s="13">
        <f>U20*DC$3</f>
        <v>0</v>
      </c>
      <c r="DD20" s="13">
        <f>AE20*DD$3</f>
        <v>1.4654328412611625E-2</v>
      </c>
      <c r="DE20" s="13">
        <f>AO20*DE$3</f>
        <v>0</v>
      </c>
      <c r="DF20" s="13">
        <f>AY20*DF$3</f>
        <v>0.14599079136690646</v>
      </c>
      <c r="DG20" s="13">
        <f>BJ20*DG$3</f>
        <v>5.9206474820143887E-3</v>
      </c>
      <c r="DH20" s="13">
        <f>BS20</f>
        <v>1.9067501739735558E-2</v>
      </c>
      <c r="DI20" s="13">
        <f>SUM(DC20:DH20)*(1+CC20)</f>
        <v>0.30354624673597908</v>
      </c>
      <c r="DL20" s="13">
        <f t="shared" si="14"/>
        <v>0.55231067599999994</v>
      </c>
      <c r="DM20" s="13">
        <f t="shared" si="15"/>
        <v>0</v>
      </c>
      <c r="DN20" s="13">
        <f t="shared" si="16"/>
        <v>9.4930529408367714E-2</v>
      </c>
      <c r="DO20" s="13">
        <f t="shared" si="17"/>
        <v>0</v>
      </c>
      <c r="DP20" s="13">
        <f t="shared" si="18"/>
        <v>0.11257135416666668</v>
      </c>
      <c r="DQ20" s="13">
        <f t="shared" si="19"/>
        <v>8.7664344797562035E-2</v>
      </c>
      <c r="DR20" s="13">
        <f t="shared" si="20"/>
        <v>7.3047316384180789E-3</v>
      </c>
      <c r="DS20" s="13">
        <f t="shared" si="21"/>
        <v>0.31248919097430983</v>
      </c>
      <c r="DT20" t="s">
        <v>332</v>
      </c>
      <c r="EH20">
        <f>Prices!E17</f>
        <v>22.5</v>
      </c>
      <c r="EI20" s="16">
        <f>Prices!F17</f>
        <v>0</v>
      </c>
      <c r="EJ20">
        <f>Prices!G17</f>
        <v>5.23</v>
      </c>
      <c r="EK20" s="16">
        <f>Prices!H17</f>
        <v>0</v>
      </c>
      <c r="EL20">
        <f>Prices!I17</f>
        <v>5.8250000000000002</v>
      </c>
      <c r="EM20" s="16">
        <f>Prices!J17</f>
        <v>0</v>
      </c>
      <c r="EN20">
        <f>Prices!K17</f>
        <v>6.2869999999999999</v>
      </c>
      <c r="EO20" s="16">
        <f>Prices!L17</f>
        <v>0</v>
      </c>
      <c r="EP20" s="60">
        <f>Prices!M17</f>
        <v>1.028</v>
      </c>
      <c r="EQ20" s="16">
        <f>Prices!N17</f>
        <v>0</v>
      </c>
      <c r="ER20">
        <f>Prices!O17</f>
        <v>3.8359999999999999</v>
      </c>
      <c r="EX20">
        <f>[1]_2012!A16</f>
        <v>212291</v>
      </c>
      <c r="EY20">
        <f>[1]_2012!B16</f>
        <v>0</v>
      </c>
      <c r="EZ20">
        <f>[1]_2012!C16</f>
        <v>0</v>
      </c>
      <c r="FA20">
        <f>[1]_2012!D16</f>
        <v>1913</v>
      </c>
      <c r="FB20">
        <f>[1]_2012!E16</f>
        <v>0</v>
      </c>
      <c r="FC20">
        <f>[1]_2012!F16</f>
        <v>0</v>
      </c>
      <c r="FD20">
        <f>[1]_2012!G16</f>
        <v>0</v>
      </c>
      <c r="FE20">
        <f>[1]_2012!H16</f>
        <v>1285</v>
      </c>
      <c r="FF20">
        <f>[1]_2012!I16</f>
        <v>0</v>
      </c>
      <c r="FG20">
        <f>[1]_2012!J16</f>
        <v>264</v>
      </c>
      <c r="FH20">
        <f>[1]_2012!K16</f>
        <v>0</v>
      </c>
      <c r="FI20">
        <f>[1]_2012!L16</f>
        <v>0</v>
      </c>
      <c r="FJ20">
        <f>[1]_2012!M16</f>
        <v>0</v>
      </c>
      <c r="FK20">
        <f>[1]_2012!N16</f>
        <v>0</v>
      </c>
      <c r="FL20">
        <f>[1]_2012!O16</f>
        <v>0</v>
      </c>
      <c r="FM20">
        <f>[1]_2012!P16</f>
        <v>0</v>
      </c>
      <c r="FN20">
        <f>[1]_2012!Q16</f>
        <v>0</v>
      </c>
      <c r="FO20">
        <f>[1]_2012!R16</f>
        <v>3462</v>
      </c>
      <c r="FP20">
        <f>[1]_2012!S16</f>
        <v>0</v>
      </c>
    </row>
    <row r="21" spans="2:172" x14ac:dyDescent="0.2">
      <c r="B21">
        <v>212299</v>
      </c>
      <c r="C21" t="s">
        <v>31</v>
      </c>
      <c r="F21">
        <v>35</v>
      </c>
      <c r="G21" s="3">
        <v>2688</v>
      </c>
      <c r="H21">
        <v>37</v>
      </c>
      <c r="I21" s="3">
        <v>2932</v>
      </c>
      <c r="J21" s="3"/>
      <c r="K21" s="3">
        <v>819210</v>
      </c>
      <c r="L21" s="3">
        <v>805199</v>
      </c>
      <c r="M21" s="78">
        <v>212299</v>
      </c>
      <c r="N21" s="91">
        <v>1690519</v>
      </c>
      <c r="O21" s="91"/>
      <c r="P21" s="23">
        <f t="shared" si="12"/>
        <v>812204.5</v>
      </c>
      <c r="Q21" s="3"/>
      <c r="R21" s="3"/>
      <c r="S21" s="6"/>
      <c r="T21" s="6"/>
      <c r="U21" s="6"/>
      <c r="V21" s="6"/>
      <c r="W21" s="6"/>
      <c r="X21" s="8">
        <f t="shared" si="0"/>
        <v>0</v>
      </c>
      <c r="Y21" s="8">
        <f t="shared" si="1"/>
        <v>0</v>
      </c>
      <c r="Z21" s="16">
        <f t="shared" si="11"/>
        <v>0</v>
      </c>
      <c r="AA21" s="6"/>
      <c r="AB21" s="6">
        <v>4081</v>
      </c>
      <c r="AC21" s="6">
        <v>123</v>
      </c>
      <c r="AD21" s="6">
        <v>2366</v>
      </c>
      <c r="AE21" s="6">
        <f>$I21/$G21*AC21</f>
        <v>134.16517857142858</v>
      </c>
      <c r="AF21" s="58">
        <v>27939</v>
      </c>
      <c r="AG21" s="84">
        <f>AF21/(AD21*AG$4)*AE21</f>
        <v>564.75917589576045</v>
      </c>
      <c r="AH21" s="84">
        <f t="shared" si="2"/>
        <v>19274</v>
      </c>
      <c r="AI21" s="84">
        <f t="shared" si="3"/>
        <v>0</v>
      </c>
      <c r="AJ21" s="16">
        <f>(AC21+AE21)/2</f>
        <v>128.58258928571428</v>
      </c>
      <c r="AK21" s="6"/>
      <c r="AL21" s="6">
        <v>3899</v>
      </c>
      <c r="AM21" s="6">
        <v>171.2</v>
      </c>
      <c r="AN21" s="6">
        <v>2156</v>
      </c>
      <c r="AO21" s="6">
        <v>83.3</v>
      </c>
      <c r="AP21" s="6">
        <v>7542</v>
      </c>
      <c r="AQ21" s="84">
        <f>AP21/(AN21*AQ$4)*AO21</f>
        <v>118.80294331395352</v>
      </c>
      <c r="AR21" s="84">
        <f t="shared" si="4"/>
        <v>9805</v>
      </c>
      <c r="AS21" s="84">
        <f t="shared" si="5"/>
        <v>0</v>
      </c>
      <c r="AT21" s="16">
        <f>(AM21+AO21)/2</f>
        <v>127.25</v>
      </c>
      <c r="AU21" s="6"/>
      <c r="AV21" s="6">
        <v>1129</v>
      </c>
      <c r="AW21" s="6">
        <v>0.5</v>
      </c>
      <c r="AX21" s="6">
        <v>1322</v>
      </c>
      <c r="AY21" s="6">
        <v>0.5</v>
      </c>
      <c r="AZ21" s="8">
        <f>AX21/AY21*0.001</f>
        <v>2.6440000000000001</v>
      </c>
      <c r="BA21" s="8">
        <v>6938</v>
      </c>
      <c r="BB21" s="169">
        <f>BA21/(AX21*BB$4)*AY21</f>
        <v>1.3735285079425112</v>
      </c>
      <c r="BC21" s="84">
        <f t="shared" si="6"/>
        <v>8760</v>
      </c>
      <c r="BD21" s="84">
        <f t="shared" si="7"/>
        <v>0</v>
      </c>
      <c r="BE21" s="16">
        <f>(AW21+AY21)/2</f>
        <v>0.5</v>
      </c>
      <c r="BF21" s="6"/>
      <c r="BG21" s="6">
        <v>423</v>
      </c>
      <c r="BH21" s="6">
        <v>0.4</v>
      </c>
      <c r="BI21" s="6"/>
      <c r="BJ21" s="6">
        <f>$I21/$G21*BH21</f>
        <v>0.43630952380952381</v>
      </c>
      <c r="BK21" s="8">
        <v>18450</v>
      </c>
      <c r="BL21" s="84">
        <f>(BK21/(BG21*EK$14*EK$15))*BH21</f>
        <v>5.9624487073796537</v>
      </c>
      <c r="BM21" s="84">
        <f t="shared" si="8"/>
        <v>25386</v>
      </c>
      <c r="BN21" s="84">
        <f t="shared" si="9"/>
        <v>0</v>
      </c>
      <c r="BO21" s="16">
        <f t="shared" si="22"/>
        <v>0.41815476190476192</v>
      </c>
      <c r="BP21" s="8">
        <v>666</v>
      </c>
      <c r="BQ21" s="93">
        <f>ER$37*0.001*BP21</f>
        <v>6.9280182232346249E-2</v>
      </c>
      <c r="BR21" s="6"/>
      <c r="BS21" s="6"/>
      <c r="BT21" s="92">
        <f>CI21</f>
        <v>542</v>
      </c>
      <c r="BU21" s="93">
        <f>ER$39*0.001*BT21</f>
        <v>2.6219632768361582E-2</v>
      </c>
      <c r="BV21" s="170"/>
      <c r="BW21" s="21">
        <f>CB21/(CB21-BX21)-1</f>
        <v>5.7383470426948691E-2</v>
      </c>
      <c r="BX21">
        <v>586</v>
      </c>
      <c r="CA21" s="33">
        <f>R21+AB21+AL21+AV21+BG21+BP21</f>
        <v>10198</v>
      </c>
      <c r="CB21">
        <v>10798</v>
      </c>
      <c r="CC21" s="21">
        <v>0.1</v>
      </c>
      <c r="CD21" s="110"/>
      <c r="CE21" s="33"/>
      <c r="CF21" s="27"/>
      <c r="CG21" s="27"/>
      <c r="CH21" s="27"/>
      <c r="CI21" s="100">
        <f>CL21-CK21-CH21</f>
        <v>542</v>
      </c>
      <c r="CJ21" s="100"/>
      <c r="CK21" s="27">
        <f t="shared" si="13"/>
        <v>60869</v>
      </c>
      <c r="CL21" s="27">
        <v>61411</v>
      </c>
      <c r="CM21" s="27"/>
      <c r="CN21" s="27">
        <f t="shared" si="10"/>
        <v>0</v>
      </c>
      <c r="CO21" s="27"/>
      <c r="CP21" s="27"/>
      <c r="CS21" s="13">
        <f>K21*CS$3</f>
        <v>2.7951445199999996</v>
      </c>
      <c r="CT21" s="13">
        <f>S21*CT$3</f>
        <v>0</v>
      </c>
      <c r="CU21" s="13">
        <f>AC21*CU$3</f>
        <v>0.71647499999999997</v>
      </c>
      <c r="CV21" s="13">
        <f>AM21*CV$3</f>
        <v>1.0763343999999999</v>
      </c>
      <c r="CW21" s="13">
        <f>AW21*CW$3</f>
        <v>0.51400000000000001</v>
      </c>
      <c r="CX21" s="13">
        <f>BH21*CX$3</f>
        <v>5.0028571428571436E-2</v>
      </c>
      <c r="CY21" s="13">
        <f>BQ21</f>
        <v>6.9280182232346249E-2</v>
      </c>
      <c r="CZ21" s="13">
        <f>SUM(CT21:CX21)*(1+BW21)</f>
        <v>2.4920815134631522</v>
      </c>
      <c r="DB21" s="13">
        <f>L21*DB$3</f>
        <v>2.7473389879999996</v>
      </c>
      <c r="DC21" s="13">
        <f>U21*DC$3</f>
        <v>0</v>
      </c>
      <c r="DD21" s="13">
        <f>AE21*DD$3</f>
        <v>0.78151216517857147</v>
      </c>
      <c r="DE21" s="13">
        <f>AO21*DE$3</f>
        <v>0.52370709999999998</v>
      </c>
      <c r="DF21" s="13">
        <f>AY21*DF$3</f>
        <v>0.51400000000000001</v>
      </c>
      <c r="DG21" s="13">
        <f>BJ21*DG$3</f>
        <v>5.4569855442176879E-2</v>
      </c>
      <c r="DH21" s="13">
        <f>BS21</f>
        <v>0</v>
      </c>
      <c r="DI21" s="13">
        <f>SUM(DC21:DH21)*(1+CC21)</f>
        <v>2.0611680326828234</v>
      </c>
      <c r="DL21" s="13">
        <f t="shared" si="14"/>
        <v>5.7680508279999998</v>
      </c>
      <c r="DM21" s="13">
        <f t="shared" si="15"/>
        <v>0</v>
      </c>
      <c r="DN21" s="13">
        <f t="shared" si="16"/>
        <v>3.2897221995928043</v>
      </c>
      <c r="DO21" s="13">
        <f t="shared" si="17"/>
        <v>0.74691410461482577</v>
      </c>
      <c r="DP21" s="13">
        <f t="shared" si="18"/>
        <v>1.4119873061649015</v>
      </c>
      <c r="DQ21" s="13">
        <f t="shared" si="19"/>
        <v>0.74573197761584109</v>
      </c>
      <c r="DR21" s="13">
        <f t="shared" si="20"/>
        <v>2.6219632768361582E-2</v>
      </c>
      <c r="DS21" s="13">
        <f t="shared" si="21"/>
        <v>6.220575220756734</v>
      </c>
      <c r="EI21" s="16"/>
      <c r="EK21" s="16"/>
      <c r="EM21" s="16"/>
      <c r="EO21" s="16"/>
      <c r="EQ21" s="16">
        <f>Prices!N18</f>
        <v>0</v>
      </c>
      <c r="ER21">
        <f>Prices!O18</f>
        <v>0</v>
      </c>
      <c r="EX21">
        <f>[1]_2012!A17</f>
        <v>212299</v>
      </c>
      <c r="EY21">
        <f>[1]_2012!B17</f>
        <v>0</v>
      </c>
      <c r="EZ21">
        <f>[1]_2012!C17</f>
        <v>0</v>
      </c>
      <c r="FA21">
        <f>[1]_2012!D17</f>
        <v>19274</v>
      </c>
      <c r="FB21">
        <f>[1]_2012!E17</f>
        <v>0</v>
      </c>
      <c r="FC21">
        <f>[1]_2012!F17</f>
        <v>8760</v>
      </c>
      <c r="FD21">
        <f>[1]_2012!G17</f>
        <v>0</v>
      </c>
      <c r="FE21">
        <f>[1]_2012!H17</f>
        <v>25386</v>
      </c>
      <c r="FF21">
        <f>[1]_2012!I17</f>
        <v>0</v>
      </c>
      <c r="FG21">
        <f>[1]_2012!J17</f>
        <v>0</v>
      </c>
      <c r="FH21">
        <f>[1]_2012!K17</f>
        <v>0</v>
      </c>
      <c r="FI21">
        <f>[1]_2012!L17</f>
        <v>9805</v>
      </c>
      <c r="FJ21">
        <f>[1]_2012!M17</f>
        <v>0</v>
      </c>
      <c r="FK21">
        <f>[1]_2012!N17</f>
        <v>0</v>
      </c>
      <c r="FL21">
        <f>[1]_2012!O17</f>
        <v>0</v>
      </c>
      <c r="FM21">
        <f>[1]_2012!P17</f>
        <v>214</v>
      </c>
      <c r="FN21">
        <f>[1]_2012!Q17</f>
        <v>0</v>
      </c>
      <c r="FO21">
        <f>[1]_2012!R17</f>
        <v>63439</v>
      </c>
      <c r="FP21">
        <f>[1]_2012!S17</f>
        <v>0</v>
      </c>
    </row>
    <row r="22" spans="2:172" x14ac:dyDescent="0.2">
      <c r="G22" s="3"/>
      <c r="I22" s="3"/>
      <c r="J22" s="3"/>
      <c r="K22" s="3"/>
      <c r="L22" s="3"/>
      <c r="N22" s="3"/>
      <c r="O22" s="3"/>
      <c r="P22" s="23"/>
      <c r="Q22" s="3"/>
      <c r="R22" s="3"/>
      <c r="S22" s="6"/>
      <c r="T22" s="6"/>
      <c r="U22" s="6"/>
      <c r="V22" s="6"/>
      <c r="W22" s="6"/>
      <c r="X22" s="8">
        <f t="shared" si="0"/>
        <v>0</v>
      </c>
      <c r="Y22" s="8">
        <f t="shared" si="1"/>
        <v>0</v>
      </c>
      <c r="Z22" s="16">
        <f t="shared" si="11"/>
        <v>0</v>
      </c>
      <c r="AA22" s="6"/>
      <c r="AB22" s="6"/>
      <c r="AC22" s="6"/>
      <c r="AD22" s="6"/>
      <c r="AE22" s="6"/>
      <c r="AF22" s="6"/>
      <c r="AG22" s="6"/>
      <c r="AH22" s="6">
        <f t="shared" si="2"/>
        <v>0</v>
      </c>
      <c r="AI22" s="6">
        <f t="shared" si="3"/>
        <v>0</v>
      </c>
      <c r="AJ22" s="16"/>
      <c r="AK22" s="6"/>
      <c r="AL22" s="6"/>
      <c r="AM22" s="6"/>
      <c r="AN22" s="6"/>
      <c r="AO22" s="6"/>
      <c r="AP22" s="6"/>
      <c r="AQ22" s="6"/>
      <c r="AR22" s="6">
        <f t="shared" si="4"/>
        <v>0</v>
      </c>
      <c r="AS22" s="6">
        <f t="shared" si="5"/>
        <v>0</v>
      </c>
      <c r="AT22" s="16"/>
      <c r="AU22" s="6"/>
      <c r="AV22" s="6"/>
      <c r="AW22" s="6"/>
      <c r="AX22" s="6"/>
      <c r="AY22" s="6"/>
      <c r="AZ22" s="6"/>
      <c r="BA22" s="6"/>
      <c r="BB22" s="94"/>
      <c r="BC22" s="6">
        <f t="shared" si="6"/>
        <v>0</v>
      </c>
      <c r="BD22" s="6">
        <f t="shared" si="7"/>
        <v>0</v>
      </c>
      <c r="BE22" s="16"/>
      <c r="BF22" s="6"/>
      <c r="BG22" s="6"/>
      <c r="BH22" s="6"/>
      <c r="BI22" s="6"/>
      <c r="BJ22" s="6"/>
      <c r="BK22" s="6"/>
      <c r="BL22" s="6"/>
      <c r="BM22" s="6">
        <f t="shared" si="8"/>
        <v>0</v>
      </c>
      <c r="BN22" s="6">
        <f t="shared" si="9"/>
        <v>0</v>
      </c>
      <c r="BO22" s="16"/>
      <c r="BP22" s="6"/>
      <c r="BQ22" s="6"/>
      <c r="BR22" s="6"/>
      <c r="BS22" s="6"/>
      <c r="BT22" s="6"/>
      <c r="BV22" s="130"/>
      <c r="CC22" s="21"/>
      <c r="CD22" s="110"/>
      <c r="CE22" s="33"/>
      <c r="CF22" s="27"/>
      <c r="CG22" s="27"/>
      <c r="CH22" s="27"/>
      <c r="CI22" s="27"/>
      <c r="CJ22" s="27"/>
      <c r="CK22" s="27"/>
      <c r="CL22" s="27"/>
      <c r="CM22" s="27"/>
      <c r="CN22" s="27">
        <f t="shared" si="10"/>
        <v>0</v>
      </c>
      <c r="CO22" s="27"/>
      <c r="CP22" s="27"/>
      <c r="DB22" s="13"/>
      <c r="DC22" s="13"/>
      <c r="DD22" s="13"/>
      <c r="DE22" s="13"/>
      <c r="DF22" s="13"/>
      <c r="DG22" s="13"/>
      <c r="DH22" s="13"/>
      <c r="DI22" s="13"/>
      <c r="EG22" s="60" t="s">
        <v>317</v>
      </c>
      <c r="EH22">
        <f>Prices!E19</f>
        <v>0</v>
      </c>
      <c r="EI22" s="16">
        <f>Prices!F19</f>
        <v>0</v>
      </c>
      <c r="EJ22">
        <f>Prices!G19</f>
        <v>0</v>
      </c>
      <c r="EK22" s="16">
        <f>Prices!H19</f>
        <v>0</v>
      </c>
      <c r="EL22">
        <f>Prices!I19</f>
        <v>0</v>
      </c>
      <c r="EM22" s="16">
        <f>Prices!J19</f>
        <v>0</v>
      </c>
      <c r="EN22">
        <f>Prices!K19</f>
        <v>0</v>
      </c>
      <c r="EO22" s="16">
        <f>Prices!L19</f>
        <v>0</v>
      </c>
      <c r="EP22">
        <f>Prices!M19</f>
        <v>0</v>
      </c>
      <c r="EQ22" s="16">
        <f>Prices!N19</f>
        <v>0</v>
      </c>
      <c r="ER22">
        <f>Prices!O19</f>
        <v>0</v>
      </c>
    </row>
    <row r="23" spans="2:172" x14ac:dyDescent="0.2">
      <c r="B23">
        <v>212311</v>
      </c>
      <c r="C23" t="s">
        <v>25</v>
      </c>
      <c r="D23">
        <v>166</v>
      </c>
      <c r="E23">
        <v>400</v>
      </c>
      <c r="F23">
        <v>178</v>
      </c>
      <c r="G23" s="3">
        <v>1658</v>
      </c>
      <c r="H23">
        <v>177</v>
      </c>
      <c r="I23" s="3">
        <v>2675</v>
      </c>
      <c r="J23" s="3">
        <v>43000</v>
      </c>
      <c r="K23" s="3">
        <v>76335</v>
      </c>
      <c r="L23" s="30">
        <v>150868</v>
      </c>
      <c r="M23" s="78">
        <v>212311</v>
      </c>
      <c r="N23" s="91">
        <v>90605</v>
      </c>
      <c r="O23" s="91"/>
      <c r="P23" s="23">
        <f t="shared" ref="P23:P33" si="23">(K23+L23)/2</f>
        <v>113601.5</v>
      </c>
      <c r="Q23" s="3"/>
      <c r="R23" s="3"/>
      <c r="S23" s="6"/>
      <c r="T23" s="6"/>
      <c r="U23" s="6"/>
      <c r="V23" s="6"/>
      <c r="W23" s="6"/>
      <c r="X23" s="8">
        <f t="shared" si="0"/>
        <v>0</v>
      </c>
      <c r="Y23" s="8">
        <f t="shared" si="1"/>
        <v>0</v>
      </c>
      <c r="Z23" s="16"/>
      <c r="AA23" s="6"/>
      <c r="AB23" s="8">
        <v>972</v>
      </c>
      <c r="AC23" s="6">
        <v>27.5</v>
      </c>
      <c r="AD23" s="6">
        <v>1572</v>
      </c>
      <c r="AE23" s="6">
        <f>$I23/$G23*AC23</f>
        <v>44.368214716525934</v>
      </c>
      <c r="AF23" s="58">
        <v>7686</v>
      </c>
      <c r="AG23" s="84">
        <f t="shared" ref="AG23:AG28" si="24">AF23/(AD23*AG$4)*AE23</f>
        <v>77.329848229474095</v>
      </c>
      <c r="AH23" s="84">
        <f t="shared" si="2"/>
        <v>8287</v>
      </c>
      <c r="AI23" s="84">
        <f t="shared" si="3"/>
        <v>0</v>
      </c>
      <c r="AJ23" s="16">
        <f t="shared" ref="AJ23:AJ29" si="25">(AC23+AE23)/2</f>
        <v>35.934107358262963</v>
      </c>
      <c r="AK23" s="6"/>
      <c r="AL23" s="6">
        <v>176</v>
      </c>
      <c r="AM23" s="6">
        <v>6</v>
      </c>
      <c r="AN23" s="6">
        <v>429</v>
      </c>
      <c r="AO23" s="6">
        <f>$I23/$G23*AM23</f>
        <v>9.680337756332932</v>
      </c>
      <c r="AP23" s="6">
        <v>2013</v>
      </c>
      <c r="AQ23" s="84">
        <f t="shared" ref="AQ23:AQ30" si="26">AP23/(AN23*AQ$4)*AO23</f>
        <v>18.519165829576774</v>
      </c>
      <c r="AR23" s="84">
        <f t="shared" si="4"/>
        <v>3428</v>
      </c>
      <c r="AS23" s="84">
        <f t="shared" si="5"/>
        <v>59</v>
      </c>
      <c r="AT23" s="16">
        <f t="shared" ref="AT23:AT28" si="27">(AM23+AO23)/2</f>
        <v>7.840168878166466</v>
      </c>
      <c r="AU23" s="6"/>
      <c r="AV23" s="8">
        <v>16</v>
      </c>
      <c r="AW23" s="6"/>
      <c r="AX23" s="6"/>
      <c r="AY23" s="6"/>
      <c r="AZ23" s="6"/>
      <c r="BA23" s="6">
        <v>134</v>
      </c>
      <c r="BB23" s="122">
        <f>BA23/EP$15*0.001</f>
        <v>1.7447916666666667E-2</v>
      </c>
      <c r="BC23" s="95">
        <f t="shared" si="6"/>
        <v>100</v>
      </c>
      <c r="BD23" s="95">
        <f t="shared" si="7"/>
        <v>0</v>
      </c>
      <c r="BE23" s="16"/>
      <c r="BF23" s="6"/>
      <c r="BG23" s="6">
        <v>352</v>
      </c>
      <c r="BH23" s="6">
        <v>0.3</v>
      </c>
      <c r="BI23" s="6">
        <v>1213</v>
      </c>
      <c r="BJ23" s="66">
        <v>1</v>
      </c>
      <c r="BK23" s="8">
        <v>3287</v>
      </c>
      <c r="BL23" s="84">
        <f>BK23/(BI23*BK$4)*BJ23</f>
        <v>1.0629251889898326</v>
      </c>
      <c r="BM23" s="84">
        <f t="shared" si="8"/>
        <v>2320</v>
      </c>
      <c r="BN23" s="84">
        <f t="shared" si="9"/>
        <v>0</v>
      </c>
      <c r="BO23" s="16">
        <f t="shared" si="22"/>
        <v>0.65</v>
      </c>
      <c r="BP23" s="8">
        <v>32</v>
      </c>
      <c r="BQ23" s="93">
        <f t="shared" ref="BQ23:BQ30" si="28">ER$37*0.001*BP23</f>
        <v>3.328777524677297E-3</v>
      </c>
      <c r="BR23" s="59">
        <v>300</v>
      </c>
      <c r="BS23" s="93">
        <f>ER$38*0.001*BR23</f>
        <v>2.8601252609603341E-2</v>
      </c>
      <c r="BT23" s="92"/>
      <c r="BV23" s="130"/>
      <c r="BW23" s="21">
        <f t="shared" ref="BW23:BW31" si="29">CB23/(CB23-BX23)-1</f>
        <v>1.4147435897435896</v>
      </c>
      <c r="BX23">
        <v>2207</v>
      </c>
      <c r="BY23" s="120">
        <v>300</v>
      </c>
      <c r="CA23" s="33">
        <f t="shared" ref="CA23:CA32" si="30">R23+AB23+AL23+AV23+BG23+BP23</f>
        <v>1548</v>
      </c>
      <c r="CB23">
        <v>3767</v>
      </c>
      <c r="CC23" s="21">
        <f>CF23/CE23-1</f>
        <v>0.8062037564029596</v>
      </c>
      <c r="CD23">
        <v>2853</v>
      </c>
      <c r="CE23" s="33">
        <f>T23+AD23+AN23+BI23+AX23+BR23</f>
        <v>3514</v>
      </c>
      <c r="CF23" s="27">
        <v>6347</v>
      </c>
      <c r="CG23" s="21">
        <f t="shared" ref="CG23:CG30" si="31">CL23/(CI23+CK23)-1</f>
        <v>3.3079268292682817E-2</v>
      </c>
      <c r="CH23" s="27">
        <v>332</v>
      </c>
      <c r="CI23" s="27"/>
      <c r="CJ23" s="27"/>
      <c r="CK23" s="27">
        <f t="shared" ref="CK23:CK31" si="32">V23+AF23+AP23+BA23+BK23</f>
        <v>13120</v>
      </c>
      <c r="CL23" s="27">
        <v>13554</v>
      </c>
      <c r="CM23" s="27">
        <v>15043</v>
      </c>
      <c r="CN23" s="27">
        <f t="shared" si="10"/>
        <v>15043</v>
      </c>
      <c r="CO23" s="27"/>
      <c r="CP23" s="27"/>
      <c r="CS23" s="13">
        <f t="shared" ref="CS23:CS32" si="33">K23*CS$3</f>
        <v>0.26045501999999998</v>
      </c>
      <c r="CT23" s="13">
        <f t="shared" ref="CT23:CT32" si="34">S23*CT$3</f>
        <v>0</v>
      </c>
      <c r="CU23" s="13">
        <f t="shared" ref="CU23:CU32" si="35">AC23*CU$3</f>
        <v>0.16018749999999998</v>
      </c>
      <c r="CV23" s="13">
        <f t="shared" ref="CV23:CV32" si="36">AM23*CV$3</f>
        <v>3.7721999999999999E-2</v>
      </c>
      <c r="CW23" s="13">
        <f t="shared" ref="CW23:CW32" si="37">AW23*CW$3</f>
        <v>0</v>
      </c>
      <c r="CX23" s="13">
        <f t="shared" ref="CX23:CX32" si="38">BH23*CX$3</f>
        <v>3.7521428571428574E-2</v>
      </c>
      <c r="CY23" s="13">
        <f t="shared" ref="CY23:CY32" si="39">BQ23</f>
        <v>3.328777524677297E-3</v>
      </c>
      <c r="CZ23" s="13">
        <f t="shared" ref="CZ23:CZ32" si="40">SUM(CT23:CX23)*(1+BW23)</f>
        <v>0.56850532559523803</v>
      </c>
      <c r="DB23" s="13">
        <f t="shared" ref="DB23:DB34" si="41">L23*DB$3</f>
        <v>0.51476161599999992</v>
      </c>
      <c r="DC23" s="13">
        <f t="shared" ref="DC23:DC34" si="42">U23*DC$3</f>
        <v>0</v>
      </c>
      <c r="DD23" s="13">
        <f t="shared" ref="DD23:DD34" si="43">AE23*DD$3</f>
        <v>0.25844485072376355</v>
      </c>
      <c r="DE23" s="13">
        <f t="shared" ref="DE23:DE34" si="44">AO23*DE$3</f>
        <v>6.0860283474065142E-2</v>
      </c>
      <c r="DF23" s="13">
        <f t="shared" ref="DF23:DF34" si="45">AY23*DF$3</f>
        <v>0</v>
      </c>
      <c r="DG23" s="13">
        <f t="shared" ref="DG23:DG34" si="46">BJ23*DG$3</f>
        <v>0.12507142857142858</v>
      </c>
      <c r="DH23" s="13">
        <f t="shared" ref="DH23:DH34" si="47">BS23</f>
        <v>2.8601252609603341E-2</v>
      </c>
      <c r="DI23" s="13">
        <f>SUM(DC23:DH23)*(1+CC23)</f>
        <v>0.85429430683256358</v>
      </c>
      <c r="DL23" s="13">
        <f t="shared" ref="DL23:DL31" si="48">N23*DL$3</f>
        <v>0.30914425999999995</v>
      </c>
      <c r="DM23" s="13">
        <f t="shared" ref="DM23:DM31" si="49">W23*DM$3</f>
        <v>0</v>
      </c>
      <c r="DN23" s="13">
        <f t="shared" ref="DN23:DN31" si="50">AG23*DN$3</f>
        <v>0.45044636593668658</v>
      </c>
      <c r="DO23" s="13">
        <f t="shared" ref="DO23:DO31" si="51">AQ23*DO$3</f>
        <v>0.11642999557054919</v>
      </c>
      <c r="DP23" s="13">
        <f t="shared" ref="DP23:DP31" si="52">BB23*DP$3</f>
        <v>1.7936458333333336E-2</v>
      </c>
      <c r="DQ23" s="13">
        <f t="shared" ref="DQ23:DQ31" si="53">BL23*DQ$3</f>
        <v>0.13294157185151406</v>
      </c>
      <c r="DR23" s="13">
        <f t="shared" ref="DR23:DR29" si="54">BU23</f>
        <v>0</v>
      </c>
      <c r="DS23" s="13">
        <f t="shared" ref="DS23:DS29" si="55">SUM(DM23:DR23)*(1+CG23)</f>
        <v>0.74149718178311697</v>
      </c>
      <c r="DU23">
        <f>[2]ALLFOS!AD14</f>
        <v>85.91</v>
      </c>
      <c r="EG23">
        <f>Prices!D20</f>
        <v>1977</v>
      </c>
      <c r="EH23">
        <f>Prices!E20</f>
        <v>0.9151111111111111</v>
      </c>
      <c r="EI23" s="16">
        <f>Prices!F20</f>
        <v>0</v>
      </c>
      <c r="EJ23" s="79">
        <f>Prices!G20</f>
        <v>3.2451683013054184</v>
      </c>
      <c r="EK23" s="16">
        <f>Prices!H20</f>
        <v>0</v>
      </c>
      <c r="EL23" s="79">
        <f>Prices!I20</f>
        <v>2.0146342721361599</v>
      </c>
      <c r="EM23" s="16">
        <f>Prices!J20</f>
        <v>0</v>
      </c>
      <c r="EN23" s="79">
        <f>Prices!K20</f>
        <v>2.2060464121367027</v>
      </c>
      <c r="EO23" s="16">
        <f>Prices!L20</f>
        <v>0</v>
      </c>
      <c r="EP23" s="79">
        <f>Prices!M20</f>
        <v>1.4591439688715953</v>
      </c>
      <c r="EQ23" s="16">
        <f>Prices!N20</f>
        <v>0</v>
      </c>
      <c r="ER23" s="79">
        <f>Prices!O20</f>
        <v>4.0166317630075437</v>
      </c>
      <c r="EX23">
        <f>[1]_2012!A18</f>
        <v>212311</v>
      </c>
      <c r="EY23">
        <f>[1]_2012!B18</f>
        <v>0</v>
      </c>
      <c r="EZ23">
        <f>[1]_2012!C18</f>
        <v>0</v>
      </c>
      <c r="FA23">
        <f>[1]_2012!D18</f>
        <v>8287</v>
      </c>
      <c r="FB23">
        <f>[1]_2012!E18</f>
        <v>0</v>
      </c>
      <c r="FC23">
        <f>[1]_2012!F18</f>
        <v>100</v>
      </c>
      <c r="FD23">
        <f>[1]_2012!G18</f>
        <v>0</v>
      </c>
      <c r="FE23">
        <f>[1]_2012!H18</f>
        <v>2320</v>
      </c>
      <c r="FF23">
        <f>[1]_2012!I18</f>
        <v>0</v>
      </c>
      <c r="FG23">
        <f>[1]_2012!J18</f>
        <v>297</v>
      </c>
      <c r="FH23">
        <f>[1]_2012!K18</f>
        <v>0</v>
      </c>
      <c r="FI23">
        <f>[1]_2012!L18</f>
        <v>3428</v>
      </c>
      <c r="FJ23">
        <f>[1]_2012!M18</f>
        <v>59</v>
      </c>
      <c r="FK23">
        <f>[1]_2012!N18</f>
        <v>15043</v>
      </c>
      <c r="FL23">
        <f>[1]_2012!O18</f>
        <v>0</v>
      </c>
      <c r="FM23">
        <f>[1]_2012!P18</f>
        <v>611</v>
      </c>
      <c r="FN23">
        <f>[1]_2012!Q18</f>
        <v>0</v>
      </c>
      <c r="FO23">
        <f>[1]_2012!R18</f>
        <v>30086</v>
      </c>
      <c r="FP23">
        <f>[1]_2012!S18</f>
        <v>59</v>
      </c>
    </row>
    <row r="24" spans="2:172" x14ac:dyDescent="0.2">
      <c r="B24">
        <v>212312</v>
      </c>
      <c r="C24" t="s">
        <v>26</v>
      </c>
      <c r="D24">
        <v>1432</v>
      </c>
      <c r="E24">
        <v>27700</v>
      </c>
      <c r="F24">
        <v>1435</v>
      </c>
      <c r="G24" s="3">
        <v>27563</v>
      </c>
      <c r="H24">
        <v>1518</v>
      </c>
      <c r="I24" s="3">
        <v>28945</v>
      </c>
      <c r="J24" s="3">
        <v>2332800</v>
      </c>
      <c r="K24" s="3">
        <v>3156910</v>
      </c>
      <c r="L24" s="30">
        <v>3554863</v>
      </c>
      <c r="M24" s="78">
        <v>212312</v>
      </c>
      <c r="N24" s="91">
        <v>4675962</v>
      </c>
      <c r="O24" s="91"/>
      <c r="P24" s="23">
        <f t="shared" si="23"/>
        <v>3355886.5</v>
      </c>
      <c r="Q24" s="3"/>
      <c r="R24" s="3">
        <v>1569</v>
      </c>
      <c r="S24" s="6">
        <v>43</v>
      </c>
      <c r="T24" s="6"/>
      <c r="U24" s="6">
        <f>$I24/$G24*S24</f>
        <v>45.15600624024961</v>
      </c>
      <c r="V24" s="6">
        <v>5416</v>
      </c>
      <c r="W24" s="95">
        <f>V24/EH$15</f>
        <v>132.74509803921569</v>
      </c>
      <c r="X24" s="8">
        <f t="shared" si="0"/>
        <v>0</v>
      </c>
      <c r="Y24" s="8">
        <f t="shared" si="1"/>
        <v>0</v>
      </c>
      <c r="Z24" s="16">
        <f>(S24+U24)/2</f>
        <v>44.078003120124805</v>
      </c>
      <c r="AA24" s="6"/>
      <c r="AB24" s="8">
        <v>75817</v>
      </c>
      <c r="AC24" s="6">
        <v>2312.4</v>
      </c>
      <c r="AD24" s="8">
        <v>82924</v>
      </c>
      <c r="AE24" s="6">
        <f>$I24/$G24*AC24</f>
        <v>2428.3429960454232</v>
      </c>
      <c r="AF24" s="58">
        <v>320689</v>
      </c>
      <c r="AG24" s="84">
        <f t="shared" si="24"/>
        <v>3347.659015230467</v>
      </c>
      <c r="AH24" s="84">
        <f t="shared" si="2"/>
        <v>266054</v>
      </c>
      <c r="AI24" s="84">
        <f t="shared" si="3"/>
        <v>0</v>
      </c>
      <c r="AJ24" s="16">
        <f t="shared" si="25"/>
        <v>2370.3714980227114</v>
      </c>
      <c r="AL24" s="6">
        <v>8807</v>
      </c>
      <c r="AM24" s="6">
        <v>240.4</v>
      </c>
      <c r="AN24" s="6">
        <v>8896</v>
      </c>
      <c r="AO24" s="6">
        <v>308.39999999999998</v>
      </c>
      <c r="AP24" s="6">
        <v>37093</v>
      </c>
      <c r="AQ24" s="84">
        <f t="shared" si="26"/>
        <v>524.27117697920153</v>
      </c>
      <c r="AR24" s="84">
        <f t="shared" si="4"/>
        <v>71761</v>
      </c>
      <c r="AS24" s="84">
        <f t="shared" si="5"/>
        <v>0</v>
      </c>
      <c r="AT24" s="16">
        <f t="shared" si="27"/>
        <v>274.39999999999998</v>
      </c>
      <c r="AU24" s="6"/>
      <c r="AV24" s="8">
        <v>6595</v>
      </c>
      <c r="AW24" s="6">
        <v>2.2999999999999998</v>
      </c>
      <c r="AX24" s="6">
        <v>7887</v>
      </c>
      <c r="AY24" s="6">
        <f>$I24/$G24*AW24</f>
        <v>2.4153212640133512</v>
      </c>
      <c r="AZ24" s="6"/>
      <c r="BA24" s="8">
        <v>26707</v>
      </c>
      <c r="BB24" s="169">
        <f>BA24/(AX24*BB$4)*AY24</f>
        <v>4.2810766479514406</v>
      </c>
      <c r="BC24" s="84">
        <f t="shared" si="6"/>
        <v>15136</v>
      </c>
      <c r="BD24" s="84">
        <f t="shared" si="7"/>
        <v>0</v>
      </c>
      <c r="BE24" s="16">
        <f>(AW24+AY24)/2</f>
        <v>2.3576606320066755</v>
      </c>
      <c r="BF24" s="6"/>
      <c r="BG24" s="8">
        <v>12149</v>
      </c>
      <c r="BH24" s="6">
        <v>11.3</v>
      </c>
      <c r="BI24" s="6">
        <v>12384</v>
      </c>
      <c r="BJ24" s="6">
        <f>$I24/$G24*BH24</f>
        <v>11.866578384065596</v>
      </c>
      <c r="BK24" s="6">
        <v>67373</v>
      </c>
      <c r="BL24" s="84">
        <f>BK24/(BI24*BK$4)*BJ24</f>
        <v>25.322947282805536</v>
      </c>
      <c r="BM24" s="84">
        <f t="shared" si="8"/>
        <v>52669</v>
      </c>
      <c r="BN24" s="84">
        <f t="shared" si="9"/>
        <v>0</v>
      </c>
      <c r="BO24" s="16">
        <f t="shared" si="22"/>
        <v>11.583289192032797</v>
      </c>
      <c r="BP24" s="8">
        <v>2458</v>
      </c>
      <c r="BQ24" s="93">
        <f t="shared" si="28"/>
        <v>0.25569172361427489</v>
      </c>
      <c r="BR24" s="6"/>
      <c r="BS24" s="6"/>
      <c r="BT24" s="92">
        <f>CI24</f>
        <v>3651</v>
      </c>
      <c r="BU24" s="93">
        <f>ER$39*0.001*BT24</f>
        <v>0.17661970338983049</v>
      </c>
      <c r="BV24" s="170"/>
      <c r="BW24" s="121">
        <f t="shared" si="29"/>
        <v>0.52735974276046438</v>
      </c>
      <c r="BX24">
        <v>56418</v>
      </c>
      <c r="CA24" s="33">
        <f t="shared" si="30"/>
        <v>107395</v>
      </c>
      <c r="CB24">
        <v>163400</v>
      </c>
      <c r="CC24" s="21">
        <f>CF24/CE24-1</f>
        <v>0.55868097554280216</v>
      </c>
      <c r="CD24" s="110"/>
      <c r="CE24" s="33">
        <f>1569+82924+8807+7887+12384+3000</f>
        <v>116571</v>
      </c>
      <c r="CF24" s="27">
        <v>181697</v>
      </c>
      <c r="CG24" s="21">
        <f t="shared" si="31"/>
        <v>2.4094817206120611E-2</v>
      </c>
      <c r="CH24" s="27">
        <v>11106</v>
      </c>
      <c r="CI24" s="27">
        <v>3651</v>
      </c>
      <c r="CJ24" s="27"/>
      <c r="CK24" s="27">
        <f t="shared" si="32"/>
        <v>457278</v>
      </c>
      <c r="CL24" s="27">
        <v>472035</v>
      </c>
      <c r="CM24" s="27">
        <v>486914</v>
      </c>
      <c r="CN24" s="27">
        <f t="shared" si="10"/>
        <v>486914</v>
      </c>
      <c r="CO24" s="27"/>
      <c r="CP24" s="27"/>
      <c r="CS24" s="13">
        <f t="shared" si="33"/>
        <v>10.77137692</v>
      </c>
      <c r="CT24" s="13">
        <f t="shared" si="34"/>
        <v>0.89190599999999998</v>
      </c>
      <c r="CU24" s="13">
        <f t="shared" si="35"/>
        <v>13.469729999999998</v>
      </c>
      <c r="CV24" s="13">
        <f t="shared" si="36"/>
        <v>1.5113948000000001</v>
      </c>
      <c r="CW24" s="13">
        <f t="shared" si="37"/>
        <v>2.3643999999999998</v>
      </c>
      <c r="CX24" s="13">
        <f t="shared" si="38"/>
        <v>1.4133071428571431</v>
      </c>
      <c r="CY24" s="13">
        <f t="shared" si="39"/>
        <v>0.25569172361427489</v>
      </c>
      <c r="CZ24" s="13">
        <f t="shared" si="40"/>
        <v>30.01374604945558</v>
      </c>
      <c r="DB24" s="13">
        <f t="shared" si="41"/>
        <v>12.129192556</v>
      </c>
      <c r="DC24" s="13">
        <f t="shared" si="42"/>
        <v>0.93662588143525738</v>
      </c>
      <c r="DD24" s="13">
        <f t="shared" si="43"/>
        <v>14.145097951964589</v>
      </c>
      <c r="DE24" s="13">
        <f t="shared" si="44"/>
        <v>1.9389107999999999</v>
      </c>
      <c r="DF24" s="13">
        <f t="shared" si="45"/>
        <v>2.4829502594057251</v>
      </c>
      <c r="DG24" s="13">
        <f t="shared" si="46"/>
        <v>1.4841699107499187</v>
      </c>
      <c r="DH24" s="13">
        <f t="shared" si="47"/>
        <v>0</v>
      </c>
      <c r="DI24" s="13">
        <f>SUM(DC24:DH24)*(1+CC24)</f>
        <v>32.713214131659001</v>
      </c>
      <c r="DL24" s="13">
        <f t="shared" si="48"/>
        <v>15.954382343999999</v>
      </c>
      <c r="DM24" s="13">
        <f t="shared" si="49"/>
        <v>2.753398823529412</v>
      </c>
      <c r="DN24" s="13">
        <f t="shared" si="50"/>
        <v>19.500113763717469</v>
      </c>
      <c r="DO24" s="13">
        <f t="shared" si="51"/>
        <v>3.2960928896682402</v>
      </c>
      <c r="DP24" s="13">
        <f t="shared" si="52"/>
        <v>4.4009467940940814</v>
      </c>
      <c r="DQ24" s="13">
        <f t="shared" si="53"/>
        <v>3.167177192299464</v>
      </c>
      <c r="DR24" s="13">
        <f t="shared" si="54"/>
        <v>0.17661970338983049</v>
      </c>
      <c r="DS24" s="13">
        <f t="shared" si="55"/>
        <v>34.096570423866858</v>
      </c>
      <c r="DU24">
        <f>[2]ALLFOS!AD15</f>
        <v>131.37700000000001</v>
      </c>
      <c r="EG24">
        <f>Prices!D21</f>
        <v>1982</v>
      </c>
      <c r="EH24" s="79">
        <f>Prices!E21</f>
        <v>1.4288888888888889</v>
      </c>
      <c r="EI24" s="16">
        <f>Prices!F21</f>
        <v>0</v>
      </c>
      <c r="EJ24" s="79">
        <f>Prices!G21</f>
        <v>6.411186156237533</v>
      </c>
      <c r="EK24" s="16">
        <f>Prices!H21</f>
        <v>0</v>
      </c>
      <c r="EL24" s="79">
        <f>Prices!I21</f>
        <v>5.0398246421927091</v>
      </c>
      <c r="EM24" s="16">
        <f>Prices!J21</f>
        <v>0</v>
      </c>
      <c r="EN24" s="79">
        <f>Prices!K21</f>
        <v>4.7935120637549851</v>
      </c>
      <c r="EO24" s="16">
        <f>Prices!L21</f>
        <v>0</v>
      </c>
      <c r="EP24" s="79">
        <f>Prices!M21</f>
        <v>3.7645914396887159</v>
      </c>
      <c r="EQ24" s="16">
        <f>Prices!N21</f>
        <v>0</v>
      </c>
      <c r="ER24" s="79">
        <f>Prices!O21</f>
        <v>10.362909948559462</v>
      </c>
      <c r="EX24">
        <f>[1]_2012!A19</f>
        <v>212312</v>
      </c>
      <c r="EY24">
        <f>[1]_2012!B19</f>
        <v>0</v>
      </c>
      <c r="EZ24">
        <f>[1]_2012!C19</f>
        <v>0</v>
      </c>
      <c r="FA24">
        <f>[1]_2012!D19</f>
        <v>266054</v>
      </c>
      <c r="FB24">
        <f>[1]_2012!E19</f>
        <v>0</v>
      </c>
      <c r="FC24">
        <f>[1]_2012!F19</f>
        <v>15136</v>
      </c>
      <c r="FD24">
        <f>[1]_2012!G19</f>
        <v>0</v>
      </c>
      <c r="FE24">
        <f>[1]_2012!H19</f>
        <v>52669</v>
      </c>
      <c r="FF24">
        <f>[1]_2012!I19</f>
        <v>0</v>
      </c>
      <c r="FG24">
        <f>[1]_2012!J19</f>
        <v>37196</v>
      </c>
      <c r="FH24">
        <f>[1]_2012!K19</f>
        <v>0</v>
      </c>
      <c r="FI24">
        <f>[1]_2012!L19</f>
        <v>71761</v>
      </c>
      <c r="FJ24">
        <f>[1]_2012!M19</f>
        <v>0</v>
      </c>
      <c r="FK24">
        <f>[1]_2012!N19</f>
        <v>486914</v>
      </c>
      <c r="FL24">
        <f>[1]_2012!O19</f>
        <v>0</v>
      </c>
      <c r="FM24">
        <f>[1]_2012!P19</f>
        <v>0</v>
      </c>
      <c r="FN24">
        <f>[1]_2012!Q19</f>
        <v>0</v>
      </c>
      <c r="FO24">
        <f>[1]_2012!R19</f>
        <v>929730</v>
      </c>
      <c r="FP24">
        <f>[1]_2012!S19</f>
        <v>0</v>
      </c>
    </row>
    <row r="25" spans="2:172" x14ac:dyDescent="0.2">
      <c r="B25">
        <v>212313</v>
      </c>
      <c r="C25" t="s">
        <v>29</v>
      </c>
      <c r="D25">
        <v>264</v>
      </c>
      <c r="E25">
        <v>6100</v>
      </c>
      <c r="F25">
        <v>290</v>
      </c>
      <c r="G25" s="3">
        <v>6812</v>
      </c>
      <c r="H25">
        <v>321</v>
      </c>
      <c r="I25" s="3">
        <v>7400</v>
      </c>
      <c r="J25" s="3">
        <v>580000</v>
      </c>
      <c r="K25" s="3">
        <v>748736</v>
      </c>
      <c r="L25" s="30">
        <v>787309</v>
      </c>
      <c r="M25" s="78">
        <v>212313</v>
      </c>
      <c r="N25" s="91">
        <v>973107</v>
      </c>
      <c r="O25" s="91"/>
      <c r="P25" s="23">
        <f t="shared" si="23"/>
        <v>768022.5</v>
      </c>
      <c r="Q25" s="3"/>
      <c r="R25" s="3"/>
      <c r="S25" s="6"/>
      <c r="T25" s="6"/>
      <c r="U25" s="6"/>
      <c r="V25" s="6"/>
      <c r="W25" s="6"/>
      <c r="X25" s="8">
        <f t="shared" si="0"/>
        <v>0</v>
      </c>
      <c r="Y25" s="8">
        <f t="shared" si="1"/>
        <v>0</v>
      </c>
      <c r="Z25" s="16">
        <f>(S25+U25)/2</f>
        <v>0</v>
      </c>
      <c r="AA25" s="6"/>
      <c r="AB25" s="8">
        <v>20387</v>
      </c>
      <c r="AC25" s="6">
        <v>692.7</v>
      </c>
      <c r="AD25" s="8">
        <v>21146</v>
      </c>
      <c r="AE25" s="6">
        <f>$I25/$G25*AC25</f>
        <v>752.49266001174396</v>
      </c>
      <c r="AF25" s="58">
        <v>79093</v>
      </c>
      <c r="AG25" s="84">
        <f t="shared" si="24"/>
        <v>1003.3199648856573</v>
      </c>
      <c r="AH25" s="84">
        <f t="shared" si="2"/>
        <v>36124</v>
      </c>
      <c r="AI25" s="84">
        <f t="shared" si="3"/>
        <v>0</v>
      </c>
      <c r="AJ25" s="16">
        <f t="shared" si="25"/>
        <v>722.59633000587201</v>
      </c>
      <c r="AK25" s="6"/>
      <c r="AL25" s="8">
        <v>4706</v>
      </c>
      <c r="AM25" s="6">
        <v>170.9</v>
      </c>
      <c r="AN25" s="8">
        <v>1920</v>
      </c>
      <c r="AO25" s="6">
        <v>50.4</v>
      </c>
      <c r="AP25" s="8">
        <v>13296</v>
      </c>
      <c r="AQ25" s="84">
        <f t="shared" si="26"/>
        <v>142.29667151162795</v>
      </c>
      <c r="AR25" s="84">
        <f t="shared" si="4"/>
        <v>0</v>
      </c>
      <c r="AS25" s="84">
        <f t="shared" si="5"/>
        <v>0</v>
      </c>
      <c r="AT25" s="16">
        <f t="shared" si="27"/>
        <v>110.65</v>
      </c>
      <c r="AU25" s="6"/>
      <c r="AV25" s="59">
        <v>2000</v>
      </c>
      <c r="AW25" s="59">
        <v>0.3</v>
      </c>
      <c r="AX25" s="6"/>
      <c r="AY25" s="6"/>
      <c r="AZ25" s="6"/>
      <c r="BA25" s="8">
        <v>988</v>
      </c>
      <c r="BB25" s="122">
        <f>BA25/EP$15*0.001</f>
        <v>0.12864583333333335</v>
      </c>
      <c r="BC25" s="95">
        <f t="shared" si="6"/>
        <v>0</v>
      </c>
      <c r="BD25" s="95">
        <f t="shared" si="7"/>
        <v>0</v>
      </c>
      <c r="BE25" s="16"/>
      <c r="BF25" s="6"/>
      <c r="BG25" s="8">
        <v>1971</v>
      </c>
      <c r="BH25" s="6">
        <v>1.9</v>
      </c>
      <c r="BI25" s="6">
        <v>1647</v>
      </c>
      <c r="BJ25" s="6">
        <f>$I25/$G25*BH25</f>
        <v>2.0640046975924835</v>
      </c>
      <c r="BK25" s="6">
        <v>22345</v>
      </c>
      <c r="BL25" s="84">
        <f>BK25/(BI25*BK$4)*BJ25</f>
        <v>10.984018027236324</v>
      </c>
      <c r="BM25" s="84">
        <f t="shared" si="8"/>
        <v>6584</v>
      </c>
      <c r="BN25" s="84">
        <f t="shared" si="9"/>
        <v>0</v>
      </c>
      <c r="BO25" s="16">
        <f t="shared" si="22"/>
        <v>1.9820023487962417</v>
      </c>
      <c r="BP25" s="59">
        <v>6000</v>
      </c>
      <c r="BQ25" s="122">
        <f t="shared" si="28"/>
        <v>0.62414578587699321</v>
      </c>
      <c r="BR25" s="59">
        <v>14000</v>
      </c>
      <c r="BS25" s="93">
        <f>ER$38*0.001*BR25</f>
        <v>1.3347251217814893</v>
      </c>
      <c r="BT25" s="92">
        <f>CI25</f>
        <v>5367</v>
      </c>
      <c r="BU25" s="93">
        <f>ER$39*0.001*BT25</f>
        <v>0.2596324152542373</v>
      </c>
      <c r="BV25" s="170"/>
      <c r="BW25" s="121">
        <f t="shared" si="29"/>
        <v>0.17576786812285894</v>
      </c>
      <c r="BX25">
        <v>6003</v>
      </c>
      <c r="BY25" s="120">
        <f>BR25</f>
        <v>14000</v>
      </c>
      <c r="CA25" s="33">
        <f t="shared" si="30"/>
        <v>35064</v>
      </c>
      <c r="CB25">
        <v>40156</v>
      </c>
      <c r="CC25" s="21">
        <f>CF25/CE25-1</f>
        <v>0.28282489086353424</v>
      </c>
      <c r="CD25">
        <v>11127</v>
      </c>
      <c r="CE25" s="33">
        <f>T25+AD25+AN25+BI25+AX25+BR25</f>
        <v>38713</v>
      </c>
      <c r="CF25" s="27">
        <v>49662</v>
      </c>
      <c r="CG25" s="21">
        <f t="shared" si="31"/>
        <v>6.8486815482826646E-2</v>
      </c>
      <c r="CH25" s="27">
        <v>8293</v>
      </c>
      <c r="CI25" s="27">
        <v>5367</v>
      </c>
      <c r="CJ25" s="27"/>
      <c r="CK25" s="27">
        <f t="shared" si="32"/>
        <v>115722</v>
      </c>
      <c r="CL25" s="27">
        <v>129382</v>
      </c>
      <c r="CM25" s="27">
        <v>75953</v>
      </c>
      <c r="CN25" s="27">
        <f t="shared" si="10"/>
        <v>75953</v>
      </c>
      <c r="CO25" s="27"/>
      <c r="CP25" s="27"/>
      <c r="CS25" s="13">
        <f t="shared" si="33"/>
        <v>2.5546872319999996</v>
      </c>
      <c r="CT25" s="13">
        <f t="shared" si="34"/>
        <v>0</v>
      </c>
      <c r="CU25" s="13">
        <f t="shared" si="35"/>
        <v>4.0349775000000001</v>
      </c>
      <c r="CV25" s="13">
        <f t="shared" si="36"/>
        <v>1.0744483</v>
      </c>
      <c r="CW25" s="13">
        <f t="shared" si="37"/>
        <v>0.30840000000000001</v>
      </c>
      <c r="CX25" s="13">
        <f t="shared" si="38"/>
        <v>0.23763571428571428</v>
      </c>
      <c r="CY25" s="13">
        <f t="shared" si="39"/>
        <v>0.62414578587699321</v>
      </c>
      <c r="CZ25" s="13">
        <f t="shared" si="40"/>
        <v>6.6495099279025895</v>
      </c>
      <c r="DB25" s="13">
        <f t="shared" si="41"/>
        <v>2.6862983079999996</v>
      </c>
      <c r="DC25" s="13">
        <f t="shared" si="42"/>
        <v>0</v>
      </c>
      <c r="DD25" s="13">
        <f t="shared" si="43"/>
        <v>4.3832697445684081</v>
      </c>
      <c r="DE25" s="13">
        <f t="shared" si="44"/>
        <v>0.3168648</v>
      </c>
      <c r="DF25" s="13">
        <f t="shared" si="45"/>
        <v>0</v>
      </c>
      <c r="DG25" s="13">
        <f t="shared" si="46"/>
        <v>0.25814801610603133</v>
      </c>
      <c r="DH25" s="13">
        <f t="shared" si="47"/>
        <v>1.3347251217814893</v>
      </c>
      <c r="DI25" s="13">
        <f t="shared" ref="DI25:DI34" si="56">SUM(DC25:DH25)*(1+CC25)</f>
        <v>8.0728268934499106</v>
      </c>
      <c r="DL25" s="13">
        <f t="shared" si="48"/>
        <v>3.3202410839999996</v>
      </c>
      <c r="DM25" s="13">
        <f t="shared" si="49"/>
        <v>0</v>
      </c>
      <c r="DN25" s="13">
        <f t="shared" si="50"/>
        <v>5.8443387954589534</v>
      </c>
      <c r="DO25" s="13">
        <f t="shared" si="51"/>
        <v>0.89461917379360489</v>
      </c>
      <c r="DP25" s="13">
        <f t="shared" si="52"/>
        <v>0.13224791666666669</v>
      </c>
      <c r="DQ25" s="13">
        <f t="shared" si="53"/>
        <v>1.3737868261207717</v>
      </c>
      <c r="DR25" s="13">
        <f t="shared" si="54"/>
        <v>0.2596324152542373</v>
      </c>
      <c r="DS25" s="13">
        <f t="shared" si="55"/>
        <v>9.0870798191378466</v>
      </c>
      <c r="EG25">
        <f>Prices!D22</f>
        <v>1987</v>
      </c>
      <c r="EH25" s="79">
        <f>Prices!E22</f>
        <v>1.2528888888888889</v>
      </c>
      <c r="EI25" s="16">
        <f>Prices!F22</f>
        <v>0</v>
      </c>
      <c r="EJ25" s="79">
        <f>Prices!G22</f>
        <v>4.6896639476181958</v>
      </c>
      <c r="EK25" s="16">
        <f>Prices!H22</f>
        <v>0</v>
      </c>
      <c r="EL25" s="79">
        <f>Prices!I22</f>
        <v>3.8673204516568735</v>
      </c>
      <c r="EM25" s="16">
        <f>Prices!J22</f>
        <v>0</v>
      </c>
      <c r="EN25" s="79">
        <f>Prices!K22</f>
        <v>2.9482676349116681</v>
      </c>
      <c r="EO25" s="16">
        <f>Prices!L22</f>
        <v>0</v>
      </c>
      <c r="EP25" s="79">
        <f>Prices!M22</f>
        <v>2.8599221789883269</v>
      </c>
      <c r="EQ25" s="16">
        <f>Prices!N22</f>
        <v>0</v>
      </c>
      <c r="ER25" s="79">
        <f>Prices!O22</f>
        <v>7.8725982554947853</v>
      </c>
      <c r="EX25">
        <f>[1]_2012!A20</f>
        <v>212313</v>
      </c>
      <c r="EY25">
        <f>[1]_2012!B20</f>
        <v>0</v>
      </c>
      <c r="EZ25">
        <f>[1]_2012!C20</f>
        <v>0</v>
      </c>
      <c r="FA25">
        <f>[1]_2012!D20</f>
        <v>36124</v>
      </c>
      <c r="FB25">
        <f>[1]_2012!E20</f>
        <v>0</v>
      </c>
      <c r="FC25">
        <f>[1]_2012!F20</f>
        <v>0</v>
      </c>
      <c r="FD25">
        <f>[1]_2012!G20</f>
        <v>0</v>
      </c>
      <c r="FE25">
        <f>[1]_2012!H20</f>
        <v>6584</v>
      </c>
      <c r="FF25">
        <f>[1]_2012!I20</f>
        <v>0</v>
      </c>
      <c r="FG25">
        <f>[1]_2012!J20</f>
        <v>3054</v>
      </c>
      <c r="FH25">
        <f>[1]_2012!K20</f>
        <v>0</v>
      </c>
      <c r="FI25">
        <f>[1]_2012!L20</f>
        <v>0</v>
      </c>
      <c r="FJ25">
        <f>[1]_2012!M20</f>
        <v>0</v>
      </c>
      <c r="FK25">
        <f>[1]_2012!N20</f>
        <v>75953</v>
      </c>
      <c r="FL25">
        <f>[1]_2012!O20</f>
        <v>0</v>
      </c>
      <c r="FM25">
        <f>[1]_2012!P20</f>
        <v>0</v>
      </c>
      <c r="FN25">
        <f>[1]_2012!Q20</f>
        <v>0</v>
      </c>
      <c r="FO25">
        <f>[1]_2012!R20</f>
        <v>121715</v>
      </c>
      <c r="FP25">
        <f>[1]_2012!S20</f>
        <v>0</v>
      </c>
    </row>
    <row r="26" spans="2:172" x14ac:dyDescent="0.2">
      <c r="B26">
        <v>212319</v>
      </c>
      <c r="C26" t="s">
        <v>66</v>
      </c>
      <c r="G26" s="3"/>
      <c r="I26" s="3"/>
      <c r="J26" s="3"/>
      <c r="K26" s="3">
        <v>722241</v>
      </c>
      <c r="L26" s="30">
        <v>635039</v>
      </c>
      <c r="M26" s="78">
        <v>212319</v>
      </c>
      <c r="N26" s="91">
        <v>885488</v>
      </c>
      <c r="O26" s="91"/>
      <c r="P26" s="23">
        <f t="shared" si="23"/>
        <v>678640</v>
      </c>
      <c r="Q26" s="3"/>
      <c r="R26" s="3"/>
      <c r="S26" s="6"/>
      <c r="T26" s="6"/>
      <c r="U26" s="6"/>
      <c r="V26" s="6"/>
      <c r="W26" s="6"/>
      <c r="X26" s="8">
        <f t="shared" si="0"/>
        <v>0</v>
      </c>
      <c r="Y26" s="8">
        <f t="shared" si="1"/>
        <v>0</v>
      </c>
      <c r="Z26" s="16"/>
      <c r="AA26" s="6"/>
      <c r="AB26" s="8">
        <v>15887</v>
      </c>
      <c r="AC26" s="8">
        <v>468.4</v>
      </c>
      <c r="AD26" s="8">
        <v>18121</v>
      </c>
      <c r="AE26" s="8">
        <v>491.3</v>
      </c>
      <c r="AF26" s="58">
        <v>48117</v>
      </c>
      <c r="AG26" s="84">
        <f t="shared" si="24"/>
        <v>465.040215600186</v>
      </c>
      <c r="AH26" s="84">
        <f t="shared" si="2"/>
        <v>44209</v>
      </c>
      <c r="AI26" s="84">
        <f t="shared" si="3"/>
        <v>0</v>
      </c>
      <c r="AJ26" s="16">
        <f t="shared" si="25"/>
        <v>479.85</v>
      </c>
      <c r="AK26" s="6"/>
      <c r="AL26" s="8">
        <v>1685</v>
      </c>
      <c r="AM26" s="8">
        <v>60.3</v>
      </c>
      <c r="AN26" s="8">
        <v>2175</v>
      </c>
      <c r="AO26" s="84">
        <f>AN26/(AL26*EO$14)*AM26</f>
        <v>59.521120614417853</v>
      </c>
      <c r="AP26" s="8">
        <v>16335</v>
      </c>
      <c r="AQ26" s="84">
        <f t="shared" si="26"/>
        <v>182.2533014025947</v>
      </c>
      <c r="AR26" s="84">
        <f t="shared" si="4"/>
        <v>16936</v>
      </c>
      <c r="AS26" s="84">
        <f t="shared" si="5"/>
        <v>0</v>
      </c>
      <c r="AT26" s="115">
        <f t="shared" si="27"/>
        <v>59.910560307208925</v>
      </c>
      <c r="AU26" s="6"/>
      <c r="AV26" s="8">
        <v>5851</v>
      </c>
      <c r="AW26" s="6">
        <v>1.8</v>
      </c>
      <c r="AX26" s="6">
        <v>7464</v>
      </c>
      <c r="AY26" s="84">
        <f>AX26/(AV26*EQ$14)*AW26</f>
        <v>2.0506069889826208</v>
      </c>
      <c r="AZ26" s="8"/>
      <c r="BA26" s="8">
        <v>23947</v>
      </c>
      <c r="BB26" s="169">
        <f>BA26/(AX26*BB$4)*AY26</f>
        <v>3.4437114115108525</v>
      </c>
      <c r="BC26" s="84">
        <f t="shared" si="6"/>
        <v>13223</v>
      </c>
      <c r="BD26" s="84">
        <f t="shared" si="7"/>
        <v>0</v>
      </c>
      <c r="BE26" s="16">
        <f t="shared" ref="BE26:BE33" si="57">(AW26+AY26)/2</f>
        <v>1.9253034944913106</v>
      </c>
      <c r="BF26" s="6"/>
      <c r="BG26" s="8">
        <v>1583</v>
      </c>
      <c r="BH26" s="8">
        <v>1.5</v>
      </c>
      <c r="BI26" s="8">
        <v>1821</v>
      </c>
      <c r="BJ26" s="14">
        <v>1.8</v>
      </c>
      <c r="BK26" s="14">
        <v>10769</v>
      </c>
      <c r="BL26" s="84">
        <f>BK26/(BI26*BK$4)*BJ26</f>
        <v>4.1754350456400759</v>
      </c>
      <c r="BM26" s="84">
        <f t="shared" si="8"/>
        <v>11831</v>
      </c>
      <c r="BN26" s="84">
        <f t="shared" si="9"/>
        <v>0</v>
      </c>
      <c r="BO26" s="16">
        <f t="shared" si="22"/>
        <v>1.65</v>
      </c>
      <c r="BP26" s="8">
        <v>174</v>
      </c>
      <c r="BQ26" s="122">
        <f t="shared" si="28"/>
        <v>1.8100227790432803E-2</v>
      </c>
      <c r="BR26" s="6"/>
      <c r="BS26" s="6"/>
      <c r="BT26" s="92">
        <f>CI26</f>
        <v>4670</v>
      </c>
      <c r="BU26" s="93">
        <f>ER$39*0.001*BT26</f>
        <v>0.22591454802259886</v>
      </c>
      <c r="BV26" s="170"/>
      <c r="BW26" s="121">
        <f t="shared" si="29"/>
        <v>0.82430500397140594</v>
      </c>
      <c r="BX26">
        <v>20756</v>
      </c>
      <c r="CA26" s="34">
        <f t="shared" si="30"/>
        <v>25180</v>
      </c>
      <c r="CB26">
        <v>45936</v>
      </c>
      <c r="CC26" s="21">
        <f>CF26/CE26-1</f>
        <v>0.62222372468814435</v>
      </c>
      <c r="CD26" s="110"/>
      <c r="CE26" s="33">
        <f>T26+AD26+AN26+BI26+AX26</f>
        <v>29581</v>
      </c>
      <c r="CF26" s="27">
        <v>47987</v>
      </c>
      <c r="CG26" s="21">
        <f t="shared" si="31"/>
        <v>0.28902713842716543</v>
      </c>
      <c r="CH26" s="27">
        <v>30012</v>
      </c>
      <c r="CI26" s="27">
        <f>CL26-CH26-CK26</f>
        <v>4670</v>
      </c>
      <c r="CJ26" s="27"/>
      <c r="CK26" s="27">
        <f t="shared" si="32"/>
        <v>99168</v>
      </c>
      <c r="CL26" s="27">
        <v>133850</v>
      </c>
      <c r="CM26" s="27"/>
      <c r="CN26" s="27">
        <f t="shared" si="10"/>
        <v>100559</v>
      </c>
      <c r="CO26" s="27"/>
      <c r="CP26" s="27"/>
      <c r="CS26" s="13">
        <f t="shared" si="33"/>
        <v>2.4642862919999997</v>
      </c>
      <c r="CT26" s="13">
        <f t="shared" si="34"/>
        <v>0</v>
      </c>
      <c r="CU26" s="13">
        <f t="shared" si="35"/>
        <v>2.7284299999999995</v>
      </c>
      <c r="CV26" s="13">
        <f t="shared" si="36"/>
        <v>0.3791061</v>
      </c>
      <c r="CW26" s="13">
        <f t="shared" si="37"/>
        <v>1.8504</v>
      </c>
      <c r="CX26" s="13">
        <f t="shared" si="38"/>
        <v>0.18760714285714286</v>
      </c>
      <c r="CY26" s="13">
        <f t="shared" si="39"/>
        <v>1.8100227790432803E-2</v>
      </c>
      <c r="CZ26" s="13">
        <f t="shared" si="40"/>
        <v>9.3870402860955409</v>
      </c>
      <c r="DB26" s="13">
        <f t="shared" si="41"/>
        <v>2.1667530679999998</v>
      </c>
      <c r="DC26" s="13">
        <f t="shared" si="42"/>
        <v>0</v>
      </c>
      <c r="DD26" s="13">
        <f t="shared" si="43"/>
        <v>2.8618224999999997</v>
      </c>
      <c r="DE26" s="13">
        <f t="shared" si="44"/>
        <v>0.37420928530284503</v>
      </c>
      <c r="DF26" s="13">
        <f t="shared" si="45"/>
        <v>2.1080239846741344</v>
      </c>
      <c r="DG26" s="13">
        <f t="shared" si="46"/>
        <v>0.22512857142857146</v>
      </c>
      <c r="DH26" s="13">
        <f t="shared" si="47"/>
        <v>0</v>
      </c>
      <c r="DI26" s="13">
        <f t="shared" si="56"/>
        <v>9.0344629657898032</v>
      </c>
      <c r="DL26" s="13">
        <f t="shared" si="48"/>
        <v>3.0212850559999995</v>
      </c>
      <c r="DM26" s="13">
        <f t="shared" si="49"/>
        <v>0</v>
      </c>
      <c r="DN26" s="13">
        <f t="shared" si="50"/>
        <v>2.7088592558710833</v>
      </c>
      <c r="DO26" s="13">
        <f t="shared" si="51"/>
        <v>1.145826505918113</v>
      </c>
      <c r="DP26" s="13">
        <f t="shared" si="52"/>
        <v>3.5401353310331563</v>
      </c>
      <c r="DQ26" s="13">
        <f t="shared" si="53"/>
        <v>0.5222276260654124</v>
      </c>
      <c r="DR26" s="13">
        <f t="shared" si="54"/>
        <v>0.22591454802259886</v>
      </c>
      <c r="DS26" s="13">
        <f t="shared" si="55"/>
        <v>10.496500638262988</v>
      </c>
      <c r="EG26">
        <f>Prices!D23</f>
        <v>1992</v>
      </c>
      <c r="EH26" s="79">
        <f>Prices!E23</f>
        <v>1.1902222222222223</v>
      </c>
      <c r="EI26" s="16">
        <f>Prices!F23</f>
        <v>0</v>
      </c>
      <c r="EJ26" s="79">
        <f>Prices!G23</f>
        <v>5.5751595664195213</v>
      </c>
      <c r="EK26" s="16">
        <f>Prices!H23</f>
        <v>0</v>
      </c>
      <c r="EL26" s="79">
        <f>Prices!I23</f>
        <v>4.5928479065740753</v>
      </c>
      <c r="EM26" s="16">
        <f>Prices!J23</f>
        <v>0</v>
      </c>
      <c r="EN26" s="79">
        <f>Prices!K23</f>
        <v>2.3503672054540568</v>
      </c>
      <c r="EO26" s="16">
        <f>Prices!L23</f>
        <v>0</v>
      </c>
      <c r="EP26" s="79">
        <f>Prices!M23</f>
        <v>2.7626459143968871</v>
      </c>
      <c r="EQ26" s="16">
        <f>Prices!N23</f>
        <v>0</v>
      </c>
      <c r="ER26" s="79">
        <f>Prices!O23</f>
        <v>7.6048228046276156</v>
      </c>
      <c r="EX26">
        <f>[1]_2012!A21</f>
        <v>212319</v>
      </c>
      <c r="EY26">
        <f>[1]_2012!B21</f>
        <v>0</v>
      </c>
      <c r="EZ26">
        <f>[1]_2012!C21</f>
        <v>0</v>
      </c>
      <c r="FA26">
        <f>[1]_2012!D21</f>
        <v>44209</v>
      </c>
      <c r="FB26">
        <f>[1]_2012!E21</f>
        <v>0</v>
      </c>
      <c r="FC26">
        <f>[1]_2012!F21</f>
        <v>13223</v>
      </c>
      <c r="FD26">
        <f>[1]_2012!G21</f>
        <v>0</v>
      </c>
      <c r="FE26">
        <f>[1]_2012!H21</f>
        <v>11831</v>
      </c>
      <c r="FF26">
        <f>[1]_2012!I21</f>
        <v>0</v>
      </c>
      <c r="FG26">
        <f>[1]_2012!J21</f>
        <v>2836</v>
      </c>
      <c r="FH26">
        <f>[1]_2012!K21</f>
        <v>0</v>
      </c>
      <c r="FI26">
        <f>[1]_2012!L21</f>
        <v>16936</v>
      </c>
      <c r="FJ26">
        <f>[1]_2012!M21</f>
        <v>0</v>
      </c>
      <c r="FK26">
        <f>[1]_2012!N21</f>
        <v>100559</v>
      </c>
      <c r="FL26">
        <f>[1]_2012!O21</f>
        <v>0</v>
      </c>
      <c r="FM26">
        <f>[1]_2012!P21</f>
        <v>0</v>
      </c>
      <c r="FN26">
        <f>[1]_2012!Q21</f>
        <v>0</v>
      </c>
      <c r="FO26">
        <f>[1]_2012!R21</f>
        <v>189594</v>
      </c>
      <c r="FP26">
        <f>[1]_2012!S21</f>
        <v>0</v>
      </c>
    </row>
    <row r="27" spans="2:172" x14ac:dyDescent="0.2">
      <c r="B27">
        <v>212321</v>
      </c>
      <c r="C27" t="s">
        <v>68</v>
      </c>
      <c r="G27" s="3"/>
      <c r="I27" s="3"/>
      <c r="J27" s="3"/>
      <c r="K27" s="3">
        <v>2525053</v>
      </c>
      <c r="L27" s="30">
        <v>2682961</v>
      </c>
      <c r="M27" s="78">
        <v>212321</v>
      </c>
      <c r="N27" s="91">
        <v>2246214</v>
      </c>
      <c r="O27" s="91"/>
      <c r="P27" s="23">
        <f t="shared" si="23"/>
        <v>2604007</v>
      </c>
      <c r="Q27" s="3"/>
      <c r="R27" s="3"/>
      <c r="S27" s="6"/>
      <c r="T27" s="6"/>
      <c r="U27" s="6"/>
      <c r="V27" s="6">
        <v>4247</v>
      </c>
      <c r="W27" s="95">
        <f>V27/EH$15</f>
        <v>104.09313725490196</v>
      </c>
      <c r="X27" s="8">
        <f t="shared" si="0"/>
        <v>3530</v>
      </c>
      <c r="Y27" s="8">
        <f t="shared" si="1"/>
        <v>0</v>
      </c>
      <c r="Z27" s="16"/>
      <c r="AA27" s="6"/>
      <c r="AB27" s="8">
        <v>48795</v>
      </c>
      <c r="AC27" s="8">
        <v>1403.8</v>
      </c>
      <c r="AD27" s="8">
        <v>45223</v>
      </c>
      <c r="AE27" s="8">
        <v>1068.7</v>
      </c>
      <c r="AF27" s="58">
        <v>181760</v>
      </c>
      <c r="AG27" s="84">
        <f t="shared" si="24"/>
        <v>1531.1654456934803</v>
      </c>
      <c r="AH27" s="84">
        <f t="shared" si="2"/>
        <v>165916</v>
      </c>
      <c r="AI27" s="84">
        <f t="shared" si="3"/>
        <v>0</v>
      </c>
      <c r="AJ27" s="16">
        <f t="shared" si="25"/>
        <v>1236.25</v>
      </c>
      <c r="AK27" s="6"/>
      <c r="AL27" s="6">
        <v>9652</v>
      </c>
      <c r="AM27" s="8">
        <v>315.10000000000002</v>
      </c>
      <c r="AN27" s="8">
        <v>7960</v>
      </c>
      <c r="AO27" s="84">
        <f>AN27/(AL27*EO$14)*AM27</f>
        <v>198.71863192023596</v>
      </c>
      <c r="AP27" s="8">
        <v>38511</v>
      </c>
      <c r="AQ27" s="84">
        <f t="shared" si="26"/>
        <v>391.971728574449</v>
      </c>
      <c r="AR27" s="84">
        <f t="shared" si="4"/>
        <v>25905</v>
      </c>
      <c r="AS27" s="84">
        <f t="shared" si="5"/>
        <v>0</v>
      </c>
      <c r="AT27" s="115">
        <f t="shared" si="27"/>
        <v>256.90931596011797</v>
      </c>
      <c r="AU27" s="6"/>
      <c r="AV27" s="6">
        <v>3759</v>
      </c>
      <c r="AW27" s="6">
        <v>1.4</v>
      </c>
      <c r="AX27" s="6">
        <v>2191</v>
      </c>
      <c r="AY27" s="84">
        <f>AX27/(AV27*EQ$14)*AW27</f>
        <v>0.7287297219674439</v>
      </c>
      <c r="AZ27" s="14"/>
      <c r="BA27" s="14">
        <v>17297</v>
      </c>
      <c r="BB27" s="169">
        <f>BA27/(AX27*BB$4)*AY27</f>
        <v>3.0113395212600862</v>
      </c>
      <c r="BC27" s="84">
        <f t="shared" si="6"/>
        <v>6946</v>
      </c>
      <c r="BD27" s="84">
        <f t="shared" si="7"/>
        <v>0</v>
      </c>
      <c r="BE27" s="16">
        <f t="shared" si="57"/>
        <v>1.064364860983722</v>
      </c>
      <c r="BF27" s="6"/>
      <c r="BG27" s="8">
        <v>6044</v>
      </c>
      <c r="BH27" s="8">
        <v>5.7</v>
      </c>
      <c r="BI27" s="8">
        <v>7307</v>
      </c>
      <c r="BJ27" s="8">
        <v>6.1</v>
      </c>
      <c r="BK27" s="8">
        <v>47101</v>
      </c>
      <c r="BL27" s="84">
        <f>BK27/(BI27*BK$4)*BJ27</f>
        <v>15.423560848582467</v>
      </c>
      <c r="BM27" s="84">
        <f t="shared" si="8"/>
        <v>52022</v>
      </c>
      <c r="BN27" s="84">
        <f t="shared" si="9"/>
        <v>0</v>
      </c>
      <c r="BO27" s="16">
        <f t="shared" si="22"/>
        <v>5.9</v>
      </c>
      <c r="BP27" s="8">
        <v>242</v>
      </c>
      <c r="BQ27" s="122">
        <f t="shared" si="28"/>
        <v>2.5173880030372058E-2</v>
      </c>
      <c r="BR27" s="6"/>
      <c r="BS27" s="6"/>
      <c r="BT27" s="92">
        <f>CI27</f>
        <v>1920</v>
      </c>
      <c r="BU27" s="93">
        <f>ER$39*0.001*BT27</f>
        <v>9.2881355932203383E-2</v>
      </c>
      <c r="BV27" s="170"/>
      <c r="BW27" s="121">
        <f t="shared" si="29"/>
        <v>1.4384161653915788</v>
      </c>
      <c r="BX27">
        <v>98520</v>
      </c>
      <c r="BY27" s="116">
        <f>CB27-BX27-CA27</f>
        <v>0</v>
      </c>
      <c r="CA27" s="34">
        <f t="shared" si="30"/>
        <v>68492</v>
      </c>
      <c r="CB27">
        <v>167012</v>
      </c>
      <c r="CC27" s="21">
        <f>CF27/CE27-1</f>
        <v>1.3004025106796417</v>
      </c>
      <c r="CD27" s="110"/>
      <c r="CE27" s="33">
        <f>CF27-84322</f>
        <v>64843</v>
      </c>
      <c r="CF27" s="27">
        <v>149165</v>
      </c>
      <c r="CG27" s="21">
        <f t="shared" si="31"/>
        <v>0.14928000660165863</v>
      </c>
      <c r="CH27" s="27">
        <v>43416</v>
      </c>
      <c r="CI27" s="27">
        <v>1920</v>
      </c>
      <c r="CJ27" s="27"/>
      <c r="CK27" s="27">
        <f t="shared" si="32"/>
        <v>288916</v>
      </c>
      <c r="CL27" s="27">
        <v>334252</v>
      </c>
      <c r="CM27" s="27"/>
      <c r="CN27" s="27">
        <f t="shared" si="10"/>
        <v>300296</v>
      </c>
      <c r="CO27" s="27"/>
      <c r="CP27" s="27"/>
      <c r="CS27" s="13">
        <f t="shared" si="33"/>
        <v>8.6154808359999997</v>
      </c>
      <c r="CT27" s="13">
        <f t="shared" si="34"/>
        <v>0</v>
      </c>
      <c r="CU27" s="13">
        <f t="shared" si="35"/>
        <v>8.1771349999999998</v>
      </c>
      <c r="CV27" s="13">
        <f t="shared" si="36"/>
        <v>1.9810337000000002</v>
      </c>
      <c r="CW27" s="13">
        <f t="shared" si="37"/>
        <v>1.4392</v>
      </c>
      <c r="CX27" s="13">
        <f t="shared" si="38"/>
        <v>0.71290714285714296</v>
      </c>
      <c r="CY27" s="13">
        <f t="shared" si="39"/>
        <v>2.5173880030372058E-2</v>
      </c>
      <c r="CZ27" s="13">
        <f t="shared" si="40"/>
        <v>30.017575615652301</v>
      </c>
      <c r="DB27" s="13">
        <f t="shared" si="41"/>
        <v>9.154262932</v>
      </c>
      <c r="DC27" s="13">
        <f t="shared" si="42"/>
        <v>0</v>
      </c>
      <c r="DD27" s="13">
        <f t="shared" si="43"/>
        <v>6.2251775</v>
      </c>
      <c r="DE27" s="13">
        <f t="shared" si="44"/>
        <v>1.2493440388825234</v>
      </c>
      <c r="DF27" s="13">
        <f t="shared" si="45"/>
        <v>0.74913415418253237</v>
      </c>
      <c r="DG27" s="13">
        <f t="shared" si="46"/>
        <v>0.76293571428571427</v>
      </c>
      <c r="DH27" s="13">
        <f t="shared" si="47"/>
        <v>0</v>
      </c>
      <c r="DI27" s="13">
        <f t="shared" si="56"/>
        <v>20.672777435921809</v>
      </c>
      <c r="DL27" s="13">
        <f t="shared" si="48"/>
        <v>7.6640821679999993</v>
      </c>
      <c r="DM27" s="13">
        <f t="shared" si="49"/>
        <v>2.1590998529411767</v>
      </c>
      <c r="DN27" s="13">
        <f t="shared" si="50"/>
        <v>8.9190387211645223</v>
      </c>
      <c r="DO27" s="13">
        <f t="shared" si="51"/>
        <v>2.4643262575475609</v>
      </c>
      <c r="DP27" s="13">
        <f t="shared" si="52"/>
        <v>3.0956570278553688</v>
      </c>
      <c r="DQ27" s="13">
        <f t="shared" si="53"/>
        <v>1.9290467889905645</v>
      </c>
      <c r="DR27" s="13">
        <f t="shared" si="54"/>
        <v>9.2881355932203383E-2</v>
      </c>
      <c r="DS27" s="13">
        <f t="shared" si="55"/>
        <v>21.445622392280196</v>
      </c>
      <c r="DU27">
        <f>SUM(DU7:DU26)</f>
        <v>683.00199999999995</v>
      </c>
      <c r="EG27">
        <f>Prices!D24</f>
        <v>1997</v>
      </c>
      <c r="EH27" s="79">
        <f>Prices!E24</f>
        <v>1.0951111111111111</v>
      </c>
      <c r="EI27" s="16">
        <f>Prices!F24</f>
        <v>0</v>
      </c>
      <c r="EJ27" s="79">
        <f>Prices!G24</f>
        <v>6.3040152963671128</v>
      </c>
      <c r="EK27" s="16">
        <f>Prices!H24</f>
        <v>0</v>
      </c>
      <c r="EL27" s="79">
        <f>Prices!I24</f>
        <v>5.1481545064377681</v>
      </c>
      <c r="EM27" s="16">
        <f>Prices!J24</f>
        <v>0</v>
      </c>
      <c r="EN27" s="79">
        <f>Prices!K24</f>
        <v>2.8659137903610628</v>
      </c>
      <c r="EO27" s="16">
        <f>Prices!L24</f>
        <v>0</v>
      </c>
      <c r="EP27" s="79">
        <f>Prices!M24</f>
        <v>3.4922178988326844</v>
      </c>
      <c r="EQ27" s="16">
        <f>Prices!N24</f>
        <v>0</v>
      </c>
      <c r="ER27" s="79">
        <f>Prices!O24</f>
        <v>9.6131386861313874</v>
      </c>
      <c r="EX27">
        <f>[1]_2012!A22</f>
        <v>212321</v>
      </c>
      <c r="EY27">
        <f>[1]_2012!B22</f>
        <v>3530</v>
      </c>
      <c r="EZ27">
        <f>[1]_2012!C22</f>
        <v>0</v>
      </c>
      <c r="FA27">
        <f>[1]_2012!D22</f>
        <v>165916</v>
      </c>
      <c r="FB27">
        <f>[1]_2012!E22</f>
        <v>0</v>
      </c>
      <c r="FC27">
        <f>[1]_2012!F22</f>
        <v>6946</v>
      </c>
      <c r="FD27">
        <f>[1]_2012!G22</f>
        <v>0</v>
      </c>
      <c r="FE27">
        <f>[1]_2012!H22</f>
        <v>52022</v>
      </c>
      <c r="FF27">
        <f>[1]_2012!I22</f>
        <v>0</v>
      </c>
      <c r="FG27">
        <f>[1]_2012!J22</f>
        <v>16209</v>
      </c>
      <c r="FH27">
        <f>[1]_2012!K22</f>
        <v>0</v>
      </c>
      <c r="FI27">
        <f>[1]_2012!L22</f>
        <v>25905</v>
      </c>
      <c r="FJ27">
        <f>[1]_2012!M22</f>
        <v>0</v>
      </c>
      <c r="FK27">
        <f>[1]_2012!N22</f>
        <v>300296</v>
      </c>
      <c r="FL27">
        <f>[1]_2012!O22</f>
        <v>0</v>
      </c>
      <c r="FM27">
        <f>[1]_2012!P22</f>
        <v>29768</v>
      </c>
      <c r="FN27">
        <f>[1]_2012!Q22</f>
        <v>0</v>
      </c>
      <c r="FO27">
        <f>[1]_2012!R22</f>
        <v>600592</v>
      </c>
      <c r="FP27">
        <f>[1]_2012!S22</f>
        <v>0</v>
      </c>
    </row>
    <row r="28" spans="2:172" x14ac:dyDescent="0.2">
      <c r="B28">
        <v>212322</v>
      </c>
      <c r="C28" t="s">
        <v>69</v>
      </c>
      <c r="G28" s="3"/>
      <c r="I28" s="3"/>
      <c r="J28" s="3"/>
      <c r="K28" s="3">
        <v>560091</v>
      </c>
      <c r="L28" s="30">
        <v>628958</v>
      </c>
      <c r="M28" s="78">
        <v>212322</v>
      </c>
      <c r="N28" s="91">
        <v>826597</v>
      </c>
      <c r="O28" s="91"/>
      <c r="P28" s="23">
        <f t="shared" si="23"/>
        <v>594524.5</v>
      </c>
      <c r="Q28" s="3"/>
      <c r="R28" s="3"/>
      <c r="S28" s="6"/>
      <c r="T28" s="6"/>
      <c r="U28" s="6"/>
      <c r="V28" s="6"/>
      <c r="W28" s="6"/>
      <c r="X28" s="6">
        <f t="shared" si="0"/>
        <v>0</v>
      </c>
      <c r="Y28" s="6">
        <f t="shared" si="1"/>
        <v>0</v>
      </c>
      <c r="Z28" s="16"/>
      <c r="AA28" s="6"/>
      <c r="AB28" s="8">
        <v>2797</v>
      </c>
      <c r="AC28" s="8">
        <v>87.6</v>
      </c>
      <c r="AD28" s="8">
        <v>5492</v>
      </c>
      <c r="AE28" s="8">
        <v>134.4</v>
      </c>
      <c r="AF28" s="58">
        <v>23966</v>
      </c>
      <c r="AG28" s="84">
        <f t="shared" si="24"/>
        <v>209.06997174766207</v>
      </c>
      <c r="AH28" s="84">
        <f t="shared" si="2"/>
        <v>23781</v>
      </c>
      <c r="AI28" s="84">
        <f t="shared" si="3"/>
        <v>0</v>
      </c>
      <c r="AJ28" s="16">
        <f t="shared" si="25"/>
        <v>111</v>
      </c>
      <c r="AK28" s="6"/>
      <c r="AL28" s="8">
        <v>824</v>
      </c>
      <c r="AM28" s="8">
        <v>33.299999999999997</v>
      </c>
      <c r="AN28" s="8">
        <v>1457</v>
      </c>
      <c r="AO28" s="84">
        <f>AN28/(AL28*EO$14)*AM28</f>
        <v>45.026791833238136</v>
      </c>
      <c r="AP28" s="14">
        <v>7418</v>
      </c>
      <c r="AQ28" s="84">
        <f t="shared" si="26"/>
        <v>93.463643916516133</v>
      </c>
      <c r="AR28" s="84">
        <f t="shared" si="4"/>
        <v>6759</v>
      </c>
      <c r="AS28" s="84">
        <f t="shared" si="5"/>
        <v>0</v>
      </c>
      <c r="AT28" s="115">
        <f t="shared" si="27"/>
        <v>39.163395916619066</v>
      </c>
      <c r="AU28" s="6"/>
      <c r="AV28" s="8">
        <v>17103</v>
      </c>
      <c r="AW28" s="8">
        <v>6.4</v>
      </c>
      <c r="AX28" s="8">
        <v>17901</v>
      </c>
      <c r="AY28" s="8">
        <v>5.2</v>
      </c>
      <c r="AZ28" s="8"/>
      <c r="BA28" s="8">
        <v>36943</v>
      </c>
      <c r="BB28" s="169">
        <f>BA28/(AX28*BB$4)*AY28</f>
        <v>5.6172408315177913</v>
      </c>
      <c r="BC28" s="84">
        <f t="shared" si="6"/>
        <v>15396</v>
      </c>
      <c r="BD28" s="84">
        <f t="shared" si="7"/>
        <v>0</v>
      </c>
      <c r="BE28" s="16">
        <f t="shared" si="57"/>
        <v>5.8000000000000007</v>
      </c>
      <c r="BF28" s="6"/>
      <c r="BG28" s="59">
        <v>500</v>
      </c>
      <c r="BH28" s="59">
        <v>0.5</v>
      </c>
      <c r="BI28" s="8"/>
      <c r="BJ28" s="8"/>
      <c r="BK28" s="8">
        <v>2313</v>
      </c>
      <c r="BL28" s="101">
        <f>BK28/EJ$15*0.001</f>
        <v>1.0069656073138877</v>
      </c>
      <c r="BM28" s="101">
        <f t="shared" si="8"/>
        <v>5437</v>
      </c>
      <c r="BN28" s="101">
        <f t="shared" si="9"/>
        <v>0</v>
      </c>
      <c r="BO28" s="16">
        <f t="shared" si="22"/>
        <v>0.25</v>
      </c>
      <c r="BP28" s="8">
        <v>1235</v>
      </c>
      <c r="BQ28" s="122">
        <f t="shared" si="28"/>
        <v>0.12847000759301444</v>
      </c>
      <c r="BR28" s="6"/>
      <c r="BS28" s="6"/>
      <c r="BT28" s="6"/>
      <c r="BV28" s="130"/>
      <c r="BW28" s="121">
        <f t="shared" si="29"/>
        <v>0.12833173118937347</v>
      </c>
      <c r="BX28">
        <v>2937</v>
      </c>
      <c r="CA28" s="34">
        <f t="shared" si="30"/>
        <v>22459</v>
      </c>
      <c r="CB28">
        <v>25823</v>
      </c>
      <c r="CC28" s="21">
        <v>0.15</v>
      </c>
      <c r="CD28" s="110"/>
      <c r="CE28" s="33"/>
      <c r="CF28" s="27">
        <v>32975</v>
      </c>
      <c r="CG28" s="21">
        <f t="shared" si="31"/>
        <v>3.3946772366930889E-2</v>
      </c>
      <c r="CH28" s="27"/>
      <c r="CI28" s="27"/>
      <c r="CJ28" s="27"/>
      <c r="CK28" s="27">
        <f t="shared" si="32"/>
        <v>70640</v>
      </c>
      <c r="CL28" s="27">
        <v>73038</v>
      </c>
      <c r="CM28" s="27"/>
      <c r="CN28" s="27">
        <f t="shared" si="10"/>
        <v>85023</v>
      </c>
      <c r="CO28" s="27"/>
      <c r="CP28" s="27"/>
      <c r="CS28" s="13">
        <f t="shared" si="33"/>
        <v>1.9110304919999999</v>
      </c>
      <c r="CT28" s="13">
        <f t="shared" si="34"/>
        <v>0</v>
      </c>
      <c r="CU28" s="13">
        <f t="shared" si="35"/>
        <v>0.51026999999999989</v>
      </c>
      <c r="CV28" s="13">
        <f t="shared" si="36"/>
        <v>0.20935709999999999</v>
      </c>
      <c r="CW28" s="13">
        <f t="shared" si="37"/>
        <v>6.5792000000000002</v>
      </c>
      <c r="CX28" s="13">
        <f t="shared" si="38"/>
        <v>6.2535714285714292E-2</v>
      </c>
      <c r="CY28" s="13">
        <f t="shared" si="39"/>
        <v>0.12847000759301444</v>
      </c>
      <c r="CZ28" s="13">
        <f t="shared" si="40"/>
        <v>8.30605924815608</v>
      </c>
      <c r="DB28" s="13">
        <f t="shared" si="41"/>
        <v>2.1460046959999999</v>
      </c>
      <c r="DC28" s="13">
        <f t="shared" si="42"/>
        <v>0</v>
      </c>
      <c r="DD28" s="13">
        <f t="shared" si="43"/>
        <v>0.78287999999999991</v>
      </c>
      <c r="DE28" s="13">
        <f t="shared" si="44"/>
        <v>0.28308344025556814</v>
      </c>
      <c r="DF28" s="13">
        <f t="shared" si="45"/>
        <v>5.3456000000000001</v>
      </c>
      <c r="DG28" s="13">
        <f t="shared" si="46"/>
        <v>0</v>
      </c>
      <c r="DH28" s="13">
        <f t="shared" si="47"/>
        <v>0</v>
      </c>
      <c r="DI28" s="13">
        <f t="shared" si="56"/>
        <v>7.3732979562939027</v>
      </c>
      <c r="DL28" s="13">
        <f t="shared" si="48"/>
        <v>2.8203489639999999</v>
      </c>
      <c r="DM28" s="13">
        <f t="shared" si="49"/>
        <v>0</v>
      </c>
      <c r="DN28" s="13">
        <f t="shared" si="50"/>
        <v>1.2178325854301315</v>
      </c>
      <c r="DO28" s="13">
        <f t="shared" si="51"/>
        <v>0.58760592930313693</v>
      </c>
      <c r="DP28" s="13">
        <f t="shared" si="52"/>
        <v>5.7745235748002894</v>
      </c>
      <c r="DQ28" s="13">
        <f t="shared" si="53"/>
        <v>0.1259426270290441</v>
      </c>
      <c r="DR28" s="13">
        <f t="shared" si="54"/>
        <v>0</v>
      </c>
      <c r="DS28" s="13">
        <f t="shared" si="55"/>
        <v>7.9674953098570116</v>
      </c>
      <c r="EG28">
        <f>Prices!D25</f>
        <v>2002</v>
      </c>
      <c r="EH28" s="79">
        <f>Prices!E25</f>
        <v>1.1808888888888889</v>
      </c>
      <c r="EI28" s="16">
        <f>Prices!F25</f>
        <v>0</v>
      </c>
      <c r="EJ28" s="79">
        <f>Prices!G25</f>
        <v>7.235564053537284</v>
      </c>
      <c r="EK28" s="16">
        <f>Prices!H25</f>
        <v>0</v>
      </c>
      <c r="EL28" s="79">
        <f>Prices!I25</f>
        <v>6.035021459227468</v>
      </c>
      <c r="EM28" s="16">
        <f>Prices!J25</f>
        <v>0</v>
      </c>
      <c r="EN28" s="79">
        <f>Prices!K25</f>
        <v>3.7477334181644668</v>
      </c>
      <c r="EO28" s="16">
        <f>Prices!L25</f>
        <v>0</v>
      </c>
      <c r="EP28" s="79">
        <f>Prices!M25</f>
        <v>3.9105058365758749</v>
      </c>
      <c r="EQ28" s="16">
        <f>Prices!N25</f>
        <v>0</v>
      </c>
      <c r="ER28" s="79">
        <f>Prices!O25</f>
        <v>10.489051094890511</v>
      </c>
      <c r="EX28">
        <f>[1]_2012!A23</f>
        <v>212322</v>
      </c>
      <c r="EY28">
        <f>[1]_2012!B23</f>
        <v>0</v>
      </c>
      <c r="EZ28">
        <f>[1]_2012!C23</f>
        <v>0</v>
      </c>
      <c r="FA28">
        <f>[1]_2012!D23</f>
        <v>23781</v>
      </c>
      <c r="FB28">
        <f>[1]_2012!E23</f>
        <v>0</v>
      </c>
      <c r="FC28">
        <f>[1]_2012!F23</f>
        <v>15396</v>
      </c>
      <c r="FD28">
        <f>[1]_2012!G23</f>
        <v>0</v>
      </c>
      <c r="FE28">
        <f>[1]_2012!H23</f>
        <v>5437</v>
      </c>
      <c r="FF28">
        <f>[1]_2012!I23</f>
        <v>0</v>
      </c>
      <c r="FG28">
        <f>[1]_2012!J23</f>
        <v>32782</v>
      </c>
      <c r="FH28">
        <f>[1]_2012!K23</f>
        <v>0</v>
      </c>
      <c r="FI28">
        <f>[1]_2012!L23</f>
        <v>6759</v>
      </c>
      <c r="FJ28">
        <f>[1]_2012!M23</f>
        <v>0</v>
      </c>
      <c r="FK28">
        <f>[1]_2012!N23</f>
        <v>85023</v>
      </c>
      <c r="FL28">
        <f>[1]_2012!O23</f>
        <v>0</v>
      </c>
      <c r="FM28">
        <f>[1]_2012!P23</f>
        <v>0</v>
      </c>
      <c r="FN28">
        <f>[1]_2012!Q23</f>
        <v>0</v>
      </c>
      <c r="FO28">
        <f>[1]_2012!R23</f>
        <v>169178</v>
      </c>
      <c r="FP28">
        <f>[1]_2012!S23</f>
        <v>0</v>
      </c>
    </row>
    <row r="29" spans="2:172" x14ac:dyDescent="0.2">
      <c r="B29">
        <v>212324</v>
      </c>
      <c r="C29" t="s">
        <v>30</v>
      </c>
      <c r="F29">
        <v>35</v>
      </c>
      <c r="G29" s="3">
        <v>3630</v>
      </c>
      <c r="H29">
        <v>33</v>
      </c>
      <c r="I29" s="3">
        <v>3166</v>
      </c>
      <c r="J29" s="3"/>
      <c r="K29" s="3">
        <v>1112667</v>
      </c>
      <c r="L29" s="3">
        <v>1002681</v>
      </c>
      <c r="M29" s="78">
        <v>212324</v>
      </c>
      <c r="N29" s="91">
        <v>846241</v>
      </c>
      <c r="O29" s="91"/>
      <c r="P29" s="23">
        <f t="shared" si="23"/>
        <v>1057674</v>
      </c>
      <c r="Q29" s="3"/>
      <c r="R29" s="3"/>
      <c r="S29" s="6"/>
      <c r="T29" s="6"/>
      <c r="U29" s="6"/>
      <c r="V29" s="6"/>
      <c r="W29" s="6"/>
      <c r="X29" s="6">
        <f t="shared" si="0"/>
        <v>0</v>
      </c>
      <c r="Y29" s="6">
        <f t="shared" si="1"/>
        <v>0</v>
      </c>
      <c r="Z29" s="16">
        <f>(S29+U29)/2</f>
        <v>0</v>
      </c>
      <c r="AA29" s="6"/>
      <c r="AB29" s="118">
        <f>(EL$13*42)*AC29</f>
        <v>2998.8</v>
      </c>
      <c r="AC29" s="59">
        <v>100</v>
      </c>
      <c r="AD29" s="8">
        <v>2053</v>
      </c>
      <c r="AE29" s="6">
        <v>47.8</v>
      </c>
      <c r="AF29" s="58">
        <v>10913</v>
      </c>
      <c r="AG29" s="84">
        <f>AF29/(AB29*AG$4)*AE29</f>
        <v>62.008598413811853</v>
      </c>
      <c r="AH29" s="84">
        <f t="shared" si="2"/>
        <v>0</v>
      </c>
      <c r="AI29" s="84">
        <f t="shared" si="3"/>
        <v>0</v>
      </c>
      <c r="AJ29" s="16">
        <f t="shared" si="25"/>
        <v>73.900000000000006</v>
      </c>
      <c r="AK29" s="6"/>
      <c r="AL29" s="59">
        <f>7000-2400</f>
        <v>4600</v>
      </c>
      <c r="AM29" s="118">
        <f>AL29/(EN$13*42)</f>
        <v>255.30025530025529</v>
      </c>
      <c r="AN29" s="59">
        <v>3000</v>
      </c>
      <c r="AO29" s="118">
        <f>AN29/(EN$14*42)</f>
        <v>127.32365673542144</v>
      </c>
      <c r="AP29" s="6"/>
      <c r="AQ29" s="6"/>
      <c r="AR29" s="6">
        <f t="shared" si="4"/>
        <v>0</v>
      </c>
      <c r="AS29" s="6">
        <f t="shared" si="5"/>
        <v>0</v>
      </c>
      <c r="AT29" s="16"/>
      <c r="AU29" s="6"/>
      <c r="AV29" s="6">
        <v>43932</v>
      </c>
      <c r="AW29" s="6">
        <v>14</v>
      </c>
      <c r="AX29" s="6">
        <f>AY29*EP$14*1000</f>
        <v>49086.082644628092</v>
      </c>
      <c r="AY29" s="6">
        <f>$I29/$G29*AW29</f>
        <v>12.210468319559228</v>
      </c>
      <c r="BA29" s="8">
        <v>86135</v>
      </c>
      <c r="BB29" s="122">
        <f>BA29/EP$15*0.001</f>
        <v>11.215494791666668</v>
      </c>
      <c r="BC29" s="95">
        <f t="shared" si="6"/>
        <v>58011</v>
      </c>
      <c r="BD29" s="95">
        <f t="shared" si="7"/>
        <v>0</v>
      </c>
      <c r="BE29" s="16">
        <f t="shared" si="57"/>
        <v>13.105234159779613</v>
      </c>
      <c r="BF29" s="6"/>
      <c r="BG29" s="6">
        <v>805</v>
      </c>
      <c r="BH29" s="6">
        <v>0.7</v>
      </c>
      <c r="BI29" s="6">
        <v>344</v>
      </c>
      <c r="BJ29" s="6">
        <v>0.3</v>
      </c>
      <c r="BK29" s="59">
        <v>1000</v>
      </c>
      <c r="BL29" s="84">
        <f>BK29/EJ$15*0.001</f>
        <v>0.43535045711797993</v>
      </c>
      <c r="BM29" s="84">
        <f t="shared" si="8"/>
        <v>6177</v>
      </c>
      <c r="BN29" s="84">
        <f t="shared" si="9"/>
        <v>0</v>
      </c>
      <c r="BO29" s="16">
        <f t="shared" si="22"/>
        <v>0.5</v>
      </c>
      <c r="BP29" s="8">
        <v>582</v>
      </c>
      <c r="BQ29" s="122">
        <f t="shared" si="28"/>
        <v>6.054214123006834E-2</v>
      </c>
      <c r="BR29" s="6">
        <v>548</v>
      </c>
      <c r="BS29" s="93">
        <f>ER$38*0.001*BR29</f>
        <v>5.2244954766875434E-2</v>
      </c>
      <c r="BT29" s="92">
        <f>CI29</f>
        <v>0</v>
      </c>
      <c r="BU29" s="93">
        <f>ER$39*0.001*BT29</f>
        <v>0</v>
      </c>
      <c r="BV29" s="170"/>
      <c r="BW29" s="123">
        <f t="shared" si="29"/>
        <v>4.5290913545809275E-2</v>
      </c>
      <c r="BX29">
        <v>2403</v>
      </c>
      <c r="CA29" s="34">
        <f t="shared" si="30"/>
        <v>52917.8</v>
      </c>
      <c r="CB29">
        <v>55460</v>
      </c>
      <c r="CC29" s="21">
        <f>CF29/CE29-1</f>
        <v>9.4345179230790999E-2</v>
      </c>
      <c r="CD29">
        <v>4843</v>
      </c>
      <c r="CE29" s="33">
        <f>T29+AD29+AN29+BI29+AX29+BR29</f>
        <v>55031.082644628092</v>
      </c>
      <c r="CF29" s="27">
        <v>60223</v>
      </c>
      <c r="CG29" s="21">
        <f t="shared" si="31"/>
        <v>0.13375081592689297</v>
      </c>
      <c r="CH29" s="27">
        <v>2610</v>
      </c>
      <c r="CI29" s="27"/>
      <c r="CJ29" s="27"/>
      <c r="CK29" s="27">
        <f t="shared" si="32"/>
        <v>98048</v>
      </c>
      <c r="CL29" s="27">
        <v>111162</v>
      </c>
      <c r="CM29" s="27"/>
      <c r="CN29" s="27">
        <f t="shared" si="10"/>
        <v>78130</v>
      </c>
      <c r="CO29" s="27"/>
      <c r="CP29" s="27"/>
      <c r="CS29" s="13">
        <f t="shared" si="33"/>
        <v>3.7964198039999997</v>
      </c>
      <c r="CT29" s="13">
        <f t="shared" si="34"/>
        <v>0</v>
      </c>
      <c r="CU29" s="13">
        <f t="shared" si="35"/>
        <v>0.58249999999999991</v>
      </c>
      <c r="CV29" s="13">
        <f t="shared" si="36"/>
        <v>1.6050727050727049</v>
      </c>
      <c r="CW29" s="13">
        <f t="shared" si="37"/>
        <v>14.391999999999999</v>
      </c>
      <c r="CX29" s="13">
        <f t="shared" si="38"/>
        <v>8.7550000000000003E-2</v>
      </c>
      <c r="CY29" s="13">
        <f t="shared" si="39"/>
        <v>6.054214123006834E-2</v>
      </c>
      <c r="CZ29" s="13">
        <f t="shared" si="40"/>
        <v>17.421991918565546</v>
      </c>
      <c r="DB29" s="13">
        <f t="shared" si="41"/>
        <v>3.4211475719999997</v>
      </c>
      <c r="DC29" s="13">
        <f t="shared" si="42"/>
        <v>0</v>
      </c>
      <c r="DD29" s="13">
        <f t="shared" si="43"/>
        <v>0.27843499999999993</v>
      </c>
      <c r="DE29" s="13">
        <f t="shared" si="44"/>
        <v>0.80048382989559463</v>
      </c>
      <c r="DF29" s="13">
        <f t="shared" si="45"/>
        <v>12.552361432506887</v>
      </c>
      <c r="DG29" s="13">
        <f t="shared" si="46"/>
        <v>3.7521428571428574E-2</v>
      </c>
      <c r="DH29" s="13">
        <f t="shared" si="47"/>
        <v>5.2244954766875434E-2</v>
      </c>
      <c r="DI29" s="13">
        <f t="shared" si="56"/>
        <v>15.015561250767243</v>
      </c>
      <c r="DL29" s="13">
        <f t="shared" si="48"/>
        <v>2.8873742919999996</v>
      </c>
      <c r="DM29" s="13">
        <f t="shared" si="49"/>
        <v>0</v>
      </c>
      <c r="DN29" s="13">
        <f t="shared" si="50"/>
        <v>0.36120008576045404</v>
      </c>
      <c r="DO29" s="13">
        <f t="shared" si="51"/>
        <v>0</v>
      </c>
      <c r="DP29" s="13">
        <f t="shared" si="52"/>
        <v>11.529528645833334</v>
      </c>
      <c r="DQ29" s="13">
        <f t="shared" si="53"/>
        <v>5.4449903600970212E-2</v>
      </c>
      <c r="DR29" s="13">
        <f t="shared" si="54"/>
        <v>0</v>
      </c>
      <c r="DS29" s="13">
        <f t="shared" si="55"/>
        <v>13.542856024044548</v>
      </c>
      <c r="EG29">
        <f>Prices!D26</f>
        <v>2007</v>
      </c>
      <c r="EH29" s="79">
        <f>Prices!E26</f>
        <v>1.8133333333333332</v>
      </c>
      <c r="EI29" s="16">
        <f>Prices!F26</f>
        <v>0</v>
      </c>
      <c r="EJ29" s="79">
        <f>Prices!G26</f>
        <v>18.446271510516254</v>
      </c>
      <c r="EK29" s="16">
        <f>Prices!H26</f>
        <v>0</v>
      </c>
      <c r="EL29" s="79">
        <f>Prices!I26</f>
        <v>16.929785407725319</v>
      </c>
      <c r="EM29" s="16">
        <f>Prices!J26</f>
        <v>0</v>
      </c>
      <c r="EN29" s="79">
        <f>Prices!K26</f>
        <v>9.1923015746779058</v>
      </c>
      <c r="EO29" s="16">
        <f>Prices!L26</f>
        <v>0</v>
      </c>
      <c r="EP29" s="79">
        <f>Prices!M26</f>
        <v>7.4708171206225673</v>
      </c>
      <c r="EQ29" s="16">
        <f>Prices!N26</f>
        <v>0</v>
      </c>
      <c r="ER29" s="79">
        <f>Prices!O26</f>
        <v>20.67153284671533</v>
      </c>
      <c r="EX29">
        <f>[1]_2012!A24</f>
        <v>212324</v>
      </c>
      <c r="EY29">
        <f>[1]_2012!B24</f>
        <v>0</v>
      </c>
      <c r="EZ29">
        <f>[1]_2012!C24</f>
        <v>0</v>
      </c>
      <c r="FA29">
        <f>[1]_2012!D24</f>
        <v>0</v>
      </c>
      <c r="FB29">
        <f>[1]_2012!E24</f>
        <v>0</v>
      </c>
      <c r="FC29">
        <f>[1]_2012!F24</f>
        <v>58011</v>
      </c>
      <c r="FD29">
        <f>[1]_2012!G24</f>
        <v>0</v>
      </c>
      <c r="FE29">
        <f>[1]_2012!H24</f>
        <v>6177</v>
      </c>
      <c r="FF29">
        <f>[1]_2012!I24</f>
        <v>0</v>
      </c>
      <c r="FG29">
        <f>[1]_2012!J24</f>
        <v>0</v>
      </c>
      <c r="FH29">
        <f>[1]_2012!K24</f>
        <v>0</v>
      </c>
      <c r="FI29">
        <f>[1]_2012!L24</f>
        <v>0</v>
      </c>
      <c r="FJ29">
        <f>[1]_2012!M24</f>
        <v>0</v>
      </c>
      <c r="FK29">
        <f>[1]_2012!N24</f>
        <v>78130</v>
      </c>
      <c r="FL29">
        <f>[1]_2012!O24</f>
        <v>0</v>
      </c>
      <c r="FM29">
        <f>[1]_2012!P24</f>
        <v>0</v>
      </c>
      <c r="FN29">
        <f>[1]_2012!Q24</f>
        <v>0</v>
      </c>
      <c r="FO29">
        <f>[1]_2012!R24</f>
        <v>142318</v>
      </c>
      <c r="FP29">
        <f>[1]_2012!S24</f>
        <v>0</v>
      </c>
    </row>
    <row r="30" spans="2:172" x14ac:dyDescent="0.2">
      <c r="B30">
        <v>212325</v>
      </c>
      <c r="C30" s="60" t="s">
        <v>169</v>
      </c>
      <c r="K30" s="3">
        <v>434277</v>
      </c>
      <c r="L30" s="3">
        <v>433470</v>
      </c>
      <c r="M30" s="78">
        <v>212325</v>
      </c>
      <c r="N30" s="91">
        <v>465663</v>
      </c>
      <c r="O30" s="91"/>
      <c r="P30" s="124">
        <f t="shared" si="23"/>
        <v>433873.5</v>
      </c>
      <c r="R30">
        <v>6897</v>
      </c>
      <c r="S30">
        <v>241.3</v>
      </c>
      <c r="T30">
        <v>7079</v>
      </c>
      <c r="U30">
        <v>182.8</v>
      </c>
      <c r="V30" s="6">
        <v>7251</v>
      </c>
      <c r="W30" s="84">
        <f>V30/(T30*EI15)*U30</f>
        <v>121.93645799921892</v>
      </c>
      <c r="X30" s="84">
        <f t="shared" si="0"/>
        <v>5692</v>
      </c>
      <c r="Y30" s="84">
        <f t="shared" si="1"/>
        <v>0</v>
      </c>
      <c r="AA30" s="6"/>
      <c r="AB30" s="8">
        <v>4696</v>
      </c>
      <c r="AC30" s="8">
        <v>207.4</v>
      </c>
      <c r="AD30" s="8">
        <v>5439</v>
      </c>
      <c r="AE30" s="84">
        <f>AD30/(AB30*AE$4)*AC30</f>
        <v>204.91439889359052</v>
      </c>
      <c r="AF30" s="58">
        <v>7440</v>
      </c>
      <c r="AG30" s="84">
        <f>AF30/(AB30*AG$4)*AE30</f>
        <v>115.72966317541609</v>
      </c>
      <c r="AH30" s="84">
        <f t="shared" si="2"/>
        <v>9111</v>
      </c>
      <c r="AI30" s="84">
        <f t="shared" si="3"/>
        <v>0</v>
      </c>
      <c r="AJ30" s="16"/>
      <c r="AK30" s="6"/>
      <c r="AL30" s="8">
        <v>1333</v>
      </c>
      <c r="AM30" s="8">
        <v>68.5</v>
      </c>
      <c r="AN30" s="59">
        <v>1000</v>
      </c>
      <c r="AO30" s="118">
        <f>AN30/(EN$14*42)</f>
        <v>42.441218911807148</v>
      </c>
      <c r="AP30" s="59">
        <v>8000</v>
      </c>
      <c r="AQ30" s="84">
        <f t="shared" si="26"/>
        <v>138.4274640088594</v>
      </c>
      <c r="AR30" s="84">
        <f t="shared" si="4"/>
        <v>13576</v>
      </c>
      <c r="AS30" s="84">
        <f t="shared" si="5"/>
        <v>0</v>
      </c>
      <c r="AT30" s="16"/>
      <c r="AU30" s="6"/>
      <c r="AV30" s="8">
        <v>20077</v>
      </c>
      <c r="AW30" s="8">
        <v>7</v>
      </c>
      <c r="AX30" s="8">
        <v>15923</v>
      </c>
      <c r="AY30" s="84">
        <f>AX30/(AV30*EQ$14)*AW30</f>
        <v>4.9578400521177546</v>
      </c>
      <c r="BA30" s="14">
        <v>20741</v>
      </c>
      <c r="BB30" s="169">
        <f>BA30/(AX30*BB$4)*AY30</f>
        <v>3.3803536722161338</v>
      </c>
      <c r="BC30" s="84">
        <f t="shared" si="6"/>
        <v>21770</v>
      </c>
      <c r="BD30" s="84">
        <f t="shared" si="7"/>
        <v>0</v>
      </c>
      <c r="BE30" s="16">
        <f>(AW31+AY31)/2</f>
        <v>29.365946389897871</v>
      </c>
      <c r="BF30" s="6"/>
      <c r="BG30" s="8">
        <v>427</v>
      </c>
      <c r="BH30" s="8">
        <v>0.4</v>
      </c>
      <c r="BI30" s="8">
        <v>1785</v>
      </c>
      <c r="BJ30" s="84">
        <f>BI30/(BG30*EK14)*BH30</f>
        <v>1.456851221775441</v>
      </c>
      <c r="BK30" s="59">
        <v>2000</v>
      </c>
      <c r="BL30" s="84">
        <f>BK30/(BI30*BK$4)*BJ30</f>
        <v>0.640281234356186</v>
      </c>
      <c r="BM30" s="84">
        <f t="shared" si="8"/>
        <v>1811</v>
      </c>
      <c r="BN30" s="84">
        <f t="shared" si="9"/>
        <v>0</v>
      </c>
      <c r="BO30" s="16">
        <f>(BH31+BJ31)/2</f>
        <v>0.25751300728407905</v>
      </c>
      <c r="BP30" s="8">
        <v>1064</v>
      </c>
      <c r="BQ30" s="122">
        <f t="shared" si="28"/>
        <v>0.11068185269552012</v>
      </c>
      <c r="BR30" s="6">
        <v>1000</v>
      </c>
      <c r="BS30" s="93">
        <f>ER$38*0.001*BR30</f>
        <v>9.5337508698677798E-2</v>
      </c>
      <c r="BT30" s="6">
        <v>681</v>
      </c>
      <c r="BU30" s="93">
        <f>ER$39*0.001*BT30</f>
        <v>3.2943855932203392E-2</v>
      </c>
      <c r="BV30" s="170"/>
      <c r="BW30" s="121">
        <f t="shared" si="29"/>
        <v>0.12016582594074321</v>
      </c>
      <c r="BX30">
        <v>4145</v>
      </c>
      <c r="CA30" s="34">
        <f t="shared" si="30"/>
        <v>34494</v>
      </c>
      <c r="CB30">
        <v>38639</v>
      </c>
      <c r="CC30" s="21">
        <f>CF30/CE30-1</f>
        <v>0.31735244833364362</v>
      </c>
      <c r="CD30">
        <v>10211</v>
      </c>
      <c r="CE30" s="33">
        <f>T30+AD30+AN30+BI30+AX30+BR30</f>
        <v>32226</v>
      </c>
      <c r="CF30" s="27">
        <v>42453</v>
      </c>
      <c r="CG30" s="21">
        <f t="shared" si="31"/>
        <v>0.15876597314125784</v>
      </c>
      <c r="CH30" s="27">
        <v>7635</v>
      </c>
      <c r="CI30" s="27">
        <v>661</v>
      </c>
      <c r="CJ30" s="27"/>
      <c r="CK30" s="27">
        <f t="shared" si="32"/>
        <v>45432</v>
      </c>
      <c r="CL30" s="27">
        <v>53411</v>
      </c>
      <c r="CM30" s="27"/>
      <c r="CN30" s="27">
        <f t="shared" si="10"/>
        <v>55778</v>
      </c>
      <c r="CO30" s="27"/>
      <c r="CP30" s="27"/>
      <c r="CS30" s="13">
        <f t="shared" si="33"/>
        <v>1.4817531239999999</v>
      </c>
      <c r="CT30" s="13">
        <f t="shared" si="34"/>
        <v>5.0050446000000006</v>
      </c>
      <c r="CU30" s="13">
        <f t="shared" si="35"/>
        <v>1.208105</v>
      </c>
      <c r="CV30" s="13">
        <f t="shared" si="36"/>
        <v>0.43065950000000003</v>
      </c>
      <c r="CW30" s="13">
        <f t="shared" si="37"/>
        <v>7.1959999999999997</v>
      </c>
      <c r="CX30" s="13">
        <f t="shared" si="38"/>
        <v>5.0028571428571436E-2</v>
      </c>
      <c r="CY30" s="13">
        <f t="shared" si="39"/>
        <v>0.11068185269552012</v>
      </c>
      <c r="CZ30" s="13">
        <f t="shared" si="40"/>
        <v>15.558921487398635</v>
      </c>
      <c r="DB30" s="13">
        <f t="shared" si="41"/>
        <v>1.4789996399999998</v>
      </c>
      <c r="DC30" s="13">
        <f t="shared" si="42"/>
        <v>3.7916376000000001</v>
      </c>
      <c r="DD30" s="13">
        <f t="shared" si="43"/>
        <v>1.1936263735551647</v>
      </c>
      <c r="DE30" s="13">
        <f t="shared" si="44"/>
        <v>0.26682794329853154</v>
      </c>
      <c r="DF30" s="13">
        <f t="shared" si="45"/>
        <v>5.0966595735770515</v>
      </c>
      <c r="DG30" s="13">
        <f t="shared" si="46"/>
        <v>0.18221046352348552</v>
      </c>
      <c r="DH30" s="13">
        <f t="shared" si="47"/>
        <v>9.5337508698677798E-2</v>
      </c>
      <c r="DI30" s="13">
        <f>SUM(DC30:DH30)*(1+CC30)</f>
        <v>13.998581613852297</v>
      </c>
      <c r="DL30" s="13">
        <f t="shared" si="48"/>
        <v>1.5888421559999999</v>
      </c>
      <c r="DM30" s="13">
        <f t="shared" si="49"/>
        <v>2.5292060118197988</v>
      </c>
      <c r="DN30" s="13">
        <f t="shared" si="50"/>
        <v>0.67412528799679872</v>
      </c>
      <c r="DO30" s="13">
        <f t="shared" si="51"/>
        <v>0.87029346622369907</v>
      </c>
      <c r="DP30" s="13">
        <f t="shared" si="52"/>
        <v>3.4750035750381856</v>
      </c>
      <c r="DQ30" s="13">
        <f t="shared" si="53"/>
        <v>8.0080888668405847E-2</v>
      </c>
      <c r="DR30" s="13">
        <f>BU30</f>
        <v>3.2943855932203392E-2</v>
      </c>
      <c r="DS30" s="13">
        <f>SUM(DM30:DR30)*(1+CG30)</f>
        <v>8.8780628936976544</v>
      </c>
      <c r="EH30" s="79"/>
      <c r="EI30" s="16"/>
      <c r="EK30" s="16"/>
      <c r="EM30" s="16"/>
      <c r="EO30" s="16"/>
      <c r="EQ30" s="16">
        <f>Prices!N27</f>
        <v>0</v>
      </c>
      <c r="ER30">
        <f>Prices!O27</f>
        <v>15.812542587245639</v>
      </c>
      <c r="EX30">
        <f>[1]_2012!A25</f>
        <v>212325</v>
      </c>
      <c r="EY30">
        <f>[1]_2012!B25</f>
        <v>5692</v>
      </c>
      <c r="EZ30">
        <f>[1]_2012!C25</f>
        <v>0</v>
      </c>
      <c r="FA30">
        <f>[1]_2012!D25</f>
        <v>9111</v>
      </c>
      <c r="FB30">
        <f>[1]_2012!E25</f>
        <v>0</v>
      </c>
      <c r="FC30">
        <f>[1]_2012!F25</f>
        <v>21770</v>
      </c>
      <c r="FD30">
        <f>[1]_2012!G25</f>
        <v>0</v>
      </c>
      <c r="FE30">
        <f>[1]_2012!H25</f>
        <v>1811</v>
      </c>
      <c r="FF30">
        <f>[1]_2012!I25</f>
        <v>0</v>
      </c>
      <c r="FG30">
        <f>[1]_2012!J25</f>
        <v>272</v>
      </c>
      <c r="FH30">
        <f>[1]_2012!K25</f>
        <v>0</v>
      </c>
      <c r="FI30">
        <f>[1]_2012!L25</f>
        <v>13576</v>
      </c>
      <c r="FJ30">
        <f>[1]_2012!M25</f>
        <v>0</v>
      </c>
      <c r="FK30">
        <f>[1]_2012!N25</f>
        <v>55778</v>
      </c>
      <c r="FL30">
        <f>[1]_2012!O25</f>
        <v>0</v>
      </c>
      <c r="FM30">
        <f>[1]_2012!P25</f>
        <v>3546</v>
      </c>
      <c r="FN30">
        <f>[1]_2012!Q25</f>
        <v>0</v>
      </c>
      <c r="FO30">
        <f>[1]_2012!R25</f>
        <v>111556</v>
      </c>
      <c r="FP30">
        <f>[1]_2012!S25</f>
        <v>0</v>
      </c>
    </row>
    <row r="31" spans="2:172" x14ac:dyDescent="0.2">
      <c r="B31">
        <v>212391</v>
      </c>
      <c r="C31" t="s">
        <v>21</v>
      </c>
      <c r="F31">
        <v>27</v>
      </c>
      <c r="G31" s="3">
        <v>4805</v>
      </c>
      <c r="H31">
        <v>24</v>
      </c>
      <c r="I31" s="3">
        <v>3444</v>
      </c>
      <c r="J31" s="3"/>
      <c r="K31" s="3">
        <v>1317100</v>
      </c>
      <c r="L31" s="30">
        <f>677693+469698</f>
        <v>1147391</v>
      </c>
      <c r="M31" s="78">
        <v>212391</v>
      </c>
      <c r="N31" s="91">
        <v>1017774</v>
      </c>
      <c r="O31" s="91"/>
      <c r="P31" s="23">
        <f>(K31+L31)/2</f>
        <v>1232245.5</v>
      </c>
      <c r="Q31" s="3">
        <v>1329.1</v>
      </c>
      <c r="R31" s="3">
        <v>43827</v>
      </c>
      <c r="S31" s="6">
        <v>1712.2</v>
      </c>
      <c r="T31" s="102">
        <f>U31/S31*R31*EI14</f>
        <v>24360.810228685412</v>
      </c>
      <c r="U31" s="6">
        <f>5183/8044*S31*0.8</f>
        <v>882.57907508702147</v>
      </c>
      <c r="V31" s="59">
        <v>39000</v>
      </c>
      <c r="W31" s="95">
        <f>V31/EH$15</f>
        <v>955.88235294117658</v>
      </c>
      <c r="X31" s="95">
        <f t="shared" si="0"/>
        <v>0</v>
      </c>
      <c r="Y31" s="95">
        <f t="shared" si="1"/>
        <v>0</v>
      </c>
      <c r="Z31" s="16">
        <f>(S31+U31)/2</f>
        <v>1297.3895375435109</v>
      </c>
      <c r="AA31" s="6"/>
      <c r="AB31" s="6"/>
      <c r="AC31" s="6"/>
      <c r="AD31" s="6"/>
      <c r="AE31" s="6"/>
      <c r="AF31" s="58"/>
      <c r="AG31" s="6"/>
      <c r="AH31" s="6">
        <f t="shared" si="2"/>
        <v>9231</v>
      </c>
      <c r="AI31" s="6">
        <f t="shared" si="3"/>
        <v>0</v>
      </c>
      <c r="AJ31" s="16"/>
      <c r="AK31" s="6"/>
      <c r="AL31" s="6"/>
      <c r="AM31" s="6"/>
      <c r="AN31" s="6"/>
      <c r="AO31" s="6"/>
      <c r="AP31" s="6"/>
      <c r="AQ31" s="6"/>
      <c r="AR31" s="6">
        <f t="shared" si="4"/>
        <v>0</v>
      </c>
      <c r="AS31" s="6">
        <f t="shared" si="5"/>
        <v>0</v>
      </c>
      <c r="AT31" s="16"/>
      <c r="AU31" s="6"/>
      <c r="AV31" s="6">
        <v>51901</v>
      </c>
      <c r="AW31" s="6">
        <v>25.2</v>
      </c>
      <c r="AX31" s="6">
        <v>77333</v>
      </c>
      <c r="AY31" s="84">
        <f>AX31/(AV31*EQ$14)*AW31</f>
        <v>33.531892779795747</v>
      </c>
      <c r="AZ31" s="14"/>
      <c r="BA31" s="8">
        <v>97329</v>
      </c>
      <c r="BB31" s="169">
        <f>BA31/(AX31*BB$4)*AY31</f>
        <v>22.090233419153773</v>
      </c>
      <c r="BC31" s="84">
        <f t="shared" si="6"/>
        <v>150020</v>
      </c>
      <c r="BD31" s="84">
        <f t="shared" si="7"/>
        <v>0</v>
      </c>
      <c r="BE31" s="16"/>
      <c r="BF31" s="6"/>
      <c r="BG31" s="6">
        <v>322</v>
      </c>
      <c r="BH31" s="6">
        <v>0.3</v>
      </c>
      <c r="BI31" s="59">
        <v>400</v>
      </c>
      <c r="BJ31" s="6">
        <f>$I31/$G31*BH31</f>
        <v>0.21502601456815815</v>
      </c>
      <c r="BK31" s="8">
        <v>867</v>
      </c>
      <c r="BL31" s="101">
        <f>BK31/EJ$15*0.001</f>
        <v>0.37744884632128861</v>
      </c>
      <c r="BM31" s="101">
        <f t="shared" si="8"/>
        <v>2955</v>
      </c>
      <c r="BN31" s="101">
        <f t="shared" si="9"/>
        <v>0</v>
      </c>
      <c r="BO31" s="16"/>
      <c r="BP31" s="6"/>
      <c r="BQ31" s="6"/>
      <c r="BR31" s="6"/>
      <c r="BS31" s="6"/>
      <c r="BT31" s="6"/>
      <c r="BV31" s="130"/>
      <c r="BW31" s="121">
        <f t="shared" si="29"/>
        <v>0.20630254267883852</v>
      </c>
      <c r="BX31">
        <v>20000</v>
      </c>
      <c r="CA31" s="34">
        <f t="shared" si="30"/>
        <v>96050</v>
      </c>
      <c r="CB31">
        <v>116945</v>
      </c>
      <c r="CC31" s="21">
        <v>0</v>
      </c>
      <c r="CD31">
        <v>12564</v>
      </c>
      <c r="CE31" s="33">
        <f>T31+AD31+AN31+BI31+AX31+BR31</f>
        <v>102093.81022868541</v>
      </c>
      <c r="CF31" s="27">
        <v>111428</v>
      </c>
      <c r="CG31" s="27"/>
      <c r="CH31" s="27">
        <v>13883</v>
      </c>
      <c r="CI31" s="27"/>
      <c r="CJ31" s="27"/>
      <c r="CK31" s="27">
        <f t="shared" si="32"/>
        <v>137196</v>
      </c>
      <c r="CL31" s="27">
        <v>151053</v>
      </c>
      <c r="CM31" s="27"/>
      <c r="CN31" s="27">
        <f t="shared" si="10"/>
        <v>224861</v>
      </c>
      <c r="CO31" s="27">
        <f>CH31+CK31</f>
        <v>151079</v>
      </c>
      <c r="CP31" s="27"/>
      <c r="CS31" s="13">
        <f t="shared" si="33"/>
        <v>4.4939451999999998</v>
      </c>
      <c r="CT31" s="13">
        <f t="shared" si="34"/>
        <v>35.514452400000003</v>
      </c>
      <c r="CU31" s="13">
        <f t="shared" si="35"/>
        <v>0</v>
      </c>
      <c r="CV31" s="13">
        <f t="shared" si="36"/>
        <v>0</v>
      </c>
      <c r="CW31" s="13">
        <f t="shared" si="37"/>
        <v>25.9056</v>
      </c>
      <c r="CX31" s="13">
        <f t="shared" si="38"/>
        <v>3.7521428571428574E-2</v>
      </c>
      <c r="CY31" s="13">
        <f t="shared" si="39"/>
        <v>0</v>
      </c>
      <c r="CZ31" s="13">
        <f t="shared" si="40"/>
        <v>74.136427576278166</v>
      </c>
      <c r="DB31" s="13">
        <f t="shared" si="41"/>
        <v>3.9148980919999996</v>
      </c>
      <c r="DC31" s="13">
        <f t="shared" si="42"/>
        <v>18.306455175455</v>
      </c>
      <c r="DD31" s="13">
        <f t="shared" si="43"/>
        <v>0</v>
      </c>
      <c r="DE31" s="13">
        <f t="shared" si="44"/>
        <v>0</v>
      </c>
      <c r="DF31" s="13">
        <f t="shared" si="45"/>
        <v>34.470785777630027</v>
      </c>
      <c r="DG31" s="13">
        <f t="shared" si="46"/>
        <v>2.6893610822060352E-2</v>
      </c>
      <c r="DH31" s="13">
        <f t="shared" si="47"/>
        <v>0</v>
      </c>
      <c r="DI31" s="13">
        <f t="shared" si="56"/>
        <v>52.804134563907084</v>
      </c>
      <c r="DL31" s="13">
        <f t="shared" si="48"/>
        <v>3.4726448879999996</v>
      </c>
      <c r="DM31" s="13">
        <f t="shared" si="49"/>
        <v>19.826911764705883</v>
      </c>
      <c r="DN31" s="13">
        <f t="shared" si="50"/>
        <v>0</v>
      </c>
      <c r="DO31" s="13">
        <f t="shared" si="51"/>
        <v>0</v>
      </c>
      <c r="DP31" s="13">
        <f t="shared" si="52"/>
        <v>22.70875995489008</v>
      </c>
      <c r="DQ31" s="13">
        <f t="shared" si="53"/>
        <v>4.7208066422041173E-2</v>
      </c>
      <c r="DR31" s="13">
        <f>BU31</f>
        <v>0</v>
      </c>
      <c r="DS31" s="13">
        <f>SUM(DM31:DR31)*(1+CG31)</f>
        <v>42.582879786018012</v>
      </c>
      <c r="EI31" s="16"/>
      <c r="EK31" s="16"/>
      <c r="EM31" s="16"/>
      <c r="EO31" s="16"/>
      <c r="EQ31" s="16">
        <f>Prices!N28</f>
        <v>0</v>
      </c>
      <c r="ER31">
        <f>Prices!O28</f>
        <v>10.717544229458856</v>
      </c>
      <c r="EX31">
        <f>[1]_2012!A26</f>
        <v>212391</v>
      </c>
      <c r="EY31">
        <f>[1]_2012!B26</f>
        <v>0</v>
      </c>
      <c r="EZ31">
        <f>[1]_2012!C26</f>
        <v>0</v>
      </c>
      <c r="FA31">
        <f>[1]_2012!D26</f>
        <v>9231</v>
      </c>
      <c r="FB31">
        <f>[1]_2012!E26</f>
        <v>0</v>
      </c>
      <c r="FC31">
        <f>[1]_2012!F26</f>
        <v>150020</v>
      </c>
      <c r="FD31">
        <f>[1]_2012!G26</f>
        <v>0</v>
      </c>
      <c r="FE31">
        <f>[1]_2012!H26</f>
        <v>2955</v>
      </c>
      <c r="FF31">
        <f>[1]_2012!I26</f>
        <v>0</v>
      </c>
      <c r="FG31">
        <f>[1]_2012!J26</f>
        <v>0</v>
      </c>
      <c r="FH31">
        <f>[1]_2012!K26</f>
        <v>0</v>
      </c>
      <c r="FI31">
        <f>[1]_2012!L26</f>
        <v>0</v>
      </c>
      <c r="FJ31">
        <f>[1]_2012!M26</f>
        <v>0</v>
      </c>
      <c r="FK31">
        <f>[1]_2012!N26</f>
        <v>224861</v>
      </c>
      <c r="FL31">
        <f>[1]_2012!O26</f>
        <v>0</v>
      </c>
      <c r="FM31">
        <f>[1]_2012!P26</f>
        <v>580</v>
      </c>
      <c r="FN31">
        <f>[1]_2012!Q26</f>
        <v>0</v>
      </c>
      <c r="FO31">
        <f>[1]_2012!R26</f>
        <v>387647</v>
      </c>
      <c r="FP31">
        <f>[1]_2012!S26</f>
        <v>0</v>
      </c>
    </row>
    <row r="32" spans="2:172" x14ac:dyDescent="0.2">
      <c r="B32">
        <v>212392</v>
      </c>
      <c r="C32" t="s">
        <v>24</v>
      </c>
      <c r="F32">
        <v>20</v>
      </c>
      <c r="G32" s="3">
        <v>3858</v>
      </c>
      <c r="H32">
        <v>15</v>
      </c>
      <c r="I32" s="3">
        <v>3175</v>
      </c>
      <c r="J32" s="3"/>
      <c r="K32" s="3">
        <v>2932558</v>
      </c>
      <c r="L32" s="3">
        <v>2685043</v>
      </c>
      <c r="M32" s="78">
        <v>212392</v>
      </c>
      <c r="N32" s="91">
        <v>3349643</v>
      </c>
      <c r="O32" s="91"/>
      <c r="P32" s="23">
        <f t="shared" si="23"/>
        <v>2808800.5</v>
      </c>
      <c r="Q32" s="3"/>
      <c r="R32" s="3"/>
      <c r="S32" s="6"/>
      <c r="T32" s="94"/>
      <c r="U32" s="6"/>
      <c r="V32" s="6"/>
      <c r="W32" s="6"/>
      <c r="X32" s="6">
        <f t="shared" si="0"/>
        <v>0</v>
      </c>
      <c r="Y32" s="6">
        <f t="shared" si="1"/>
        <v>0</v>
      </c>
      <c r="Z32" s="16"/>
      <c r="AA32" s="6"/>
      <c r="AB32" s="6">
        <v>10305</v>
      </c>
      <c r="AC32" s="6">
        <v>315.10000000000002</v>
      </c>
      <c r="AD32" s="6">
        <v>8391</v>
      </c>
      <c r="AE32" s="6">
        <v>231.3</v>
      </c>
      <c r="AF32" s="103">
        <f>AD32/CF32</f>
        <v>0.56334340382678749</v>
      </c>
      <c r="AG32" s="6"/>
      <c r="AH32" s="6">
        <f t="shared" si="2"/>
        <v>35424</v>
      </c>
      <c r="AI32" s="6">
        <f t="shared" si="3"/>
        <v>0</v>
      </c>
      <c r="AJ32" s="16">
        <f>(AC32+AE32)/2</f>
        <v>273.20000000000005</v>
      </c>
      <c r="AK32" s="6"/>
      <c r="AL32" s="6">
        <v>2391</v>
      </c>
      <c r="AM32" s="6">
        <v>108.6</v>
      </c>
      <c r="AN32" s="8">
        <f>AO32/AM32*EO14*AL32</f>
        <v>1864.9512423113852</v>
      </c>
      <c r="AO32" s="125">
        <f>5436/7291*AM32*0.8</f>
        <v>64.775707036071864</v>
      </c>
      <c r="AP32" s="103">
        <f>AO32/AM32*2391*EO14/CF32</f>
        <v>0.12520652852040182</v>
      </c>
      <c r="AQ32" s="6"/>
      <c r="AR32" s="6">
        <f t="shared" si="4"/>
        <v>0</v>
      </c>
      <c r="AS32" s="6">
        <f t="shared" si="5"/>
        <v>0</v>
      </c>
      <c r="AT32" s="16">
        <f>(AM32+AO32)/2</f>
        <v>86.687853518035922</v>
      </c>
      <c r="AU32" s="6"/>
      <c r="AV32" s="6">
        <v>2202</v>
      </c>
      <c r="AW32" s="6">
        <v>0.7</v>
      </c>
      <c r="AX32" s="6">
        <v>1077</v>
      </c>
      <c r="AY32" s="6">
        <f>$I32/$G32*AW32</f>
        <v>0.57607568688439603</v>
      </c>
      <c r="AZ32" s="103">
        <f>AX32/CF32</f>
        <v>7.2306143001007045E-2</v>
      </c>
      <c r="BB32" s="94"/>
      <c r="BC32" s="6">
        <f t="shared" si="6"/>
        <v>0</v>
      </c>
      <c r="BD32" s="6">
        <f t="shared" si="7"/>
        <v>0</v>
      </c>
      <c r="BE32" s="16">
        <f t="shared" si="57"/>
        <v>0.63803784344219805</v>
      </c>
      <c r="BF32" s="6"/>
      <c r="BG32" s="6">
        <v>1520</v>
      </c>
      <c r="BH32" s="6">
        <v>1.4</v>
      </c>
      <c r="BI32" s="59">
        <v>900</v>
      </c>
      <c r="BJ32" s="84">
        <f>BI32/(BG32*EK14)*BH32</f>
        <v>0.72222384485075053</v>
      </c>
      <c r="BK32" s="103">
        <f>BJ32/BH32*EK14*BG32/CF32</f>
        <v>6.0422960725075518E-2</v>
      </c>
      <c r="BL32" s="6"/>
      <c r="BM32" s="6">
        <f t="shared" si="8"/>
        <v>0</v>
      </c>
      <c r="BN32" s="6">
        <f t="shared" si="9"/>
        <v>0</v>
      </c>
      <c r="BO32" s="16">
        <f t="shared" si="22"/>
        <v>1.0611119224253751</v>
      </c>
      <c r="BP32" s="6"/>
      <c r="BQ32" s="6"/>
      <c r="BR32" s="6"/>
      <c r="BS32" s="6"/>
      <c r="BT32" s="6"/>
      <c r="BV32" s="130"/>
      <c r="CA32" s="34">
        <f t="shared" si="30"/>
        <v>16418</v>
      </c>
      <c r="CB32" s="108">
        <v>20055</v>
      </c>
      <c r="CC32" s="21">
        <f>CF32/CE32-1</f>
        <v>0.21761296231453198</v>
      </c>
      <c r="CD32">
        <v>2825</v>
      </c>
      <c r="CE32" s="33">
        <f>T32+AD32+AN32+BI32+AX32+BR32</f>
        <v>12232.951242311385</v>
      </c>
      <c r="CF32" s="27">
        <v>14895</v>
      </c>
      <c r="CG32" s="27"/>
      <c r="CH32" s="27"/>
      <c r="CI32" s="27"/>
      <c r="CJ32" s="27"/>
      <c r="CK32" s="27"/>
      <c r="CL32" s="27">
        <v>19231</v>
      </c>
      <c r="CM32" s="27"/>
      <c r="CN32" s="27">
        <f t="shared" si="10"/>
        <v>43495</v>
      </c>
      <c r="CO32" s="27"/>
      <c r="CP32" s="27"/>
      <c r="CS32" s="13">
        <f t="shared" si="33"/>
        <v>10.005887895999999</v>
      </c>
      <c r="CT32" s="13">
        <f t="shared" si="34"/>
        <v>0</v>
      </c>
      <c r="CU32" s="13">
        <f t="shared" si="35"/>
        <v>1.8354575</v>
      </c>
      <c r="CV32" s="13">
        <f t="shared" si="36"/>
        <v>0.68276819999999994</v>
      </c>
      <c r="CW32" s="13">
        <f t="shared" si="37"/>
        <v>0.71960000000000002</v>
      </c>
      <c r="CX32" s="13">
        <f t="shared" si="38"/>
        <v>0.17510000000000001</v>
      </c>
      <c r="CY32" s="13">
        <f t="shared" si="39"/>
        <v>0</v>
      </c>
      <c r="CZ32" s="13">
        <f t="shared" si="40"/>
        <v>3.4129257000000002</v>
      </c>
      <c r="DB32" s="13">
        <f t="shared" si="41"/>
        <v>9.1613667159999999</v>
      </c>
      <c r="DC32" s="13">
        <f t="shared" si="42"/>
        <v>0</v>
      </c>
      <c r="DD32" s="13">
        <f t="shared" si="43"/>
        <v>1.3473225</v>
      </c>
      <c r="DE32" s="13">
        <f t="shared" si="44"/>
        <v>0.40724487013578381</v>
      </c>
      <c r="DF32" s="13">
        <f t="shared" si="45"/>
        <v>0.59220580611715912</v>
      </c>
      <c r="DG32" s="13">
        <f t="shared" si="46"/>
        <v>9.0329568023833171E-2</v>
      </c>
      <c r="DH32" s="13">
        <f t="shared" si="47"/>
        <v>0</v>
      </c>
      <c r="DI32" s="13">
        <f t="shared" si="56"/>
        <v>2.9674478919237202</v>
      </c>
      <c r="DS32" s="13">
        <f>CL32/CF32/EI42*DI32</f>
        <v>1.6120317274436264</v>
      </c>
      <c r="EG32" s="60" t="str">
        <f>Prices!D30</f>
        <v>MMBtu/dollar</v>
      </c>
      <c r="EI32" s="16"/>
      <c r="EK32" s="16"/>
      <c r="EM32" s="16"/>
      <c r="EO32" s="16"/>
      <c r="EQ32" s="16">
        <f>Prices!N30</f>
        <v>0</v>
      </c>
      <c r="ER32">
        <f>Prices!O30</f>
        <v>0</v>
      </c>
      <c r="EX32">
        <f>[1]_2012!A27</f>
        <v>212392</v>
      </c>
      <c r="EY32">
        <f>[1]_2012!B27</f>
        <v>0</v>
      </c>
      <c r="EZ32">
        <f>[1]_2012!C27</f>
        <v>0</v>
      </c>
      <c r="FA32">
        <f>[1]_2012!D27</f>
        <v>35424</v>
      </c>
      <c r="FB32">
        <f>[1]_2012!E27</f>
        <v>0</v>
      </c>
      <c r="FC32">
        <f>[1]_2012!F27</f>
        <v>0</v>
      </c>
      <c r="FD32">
        <f>[1]_2012!G27</f>
        <v>0</v>
      </c>
      <c r="FE32">
        <f>[1]_2012!H27</f>
        <v>0</v>
      </c>
      <c r="FF32">
        <f>[1]_2012!I27</f>
        <v>0</v>
      </c>
      <c r="FG32">
        <f>[1]_2012!J27</f>
        <v>0</v>
      </c>
      <c r="FH32">
        <f>[1]_2012!K27</f>
        <v>0</v>
      </c>
      <c r="FI32">
        <f>[1]_2012!L27</f>
        <v>0</v>
      </c>
      <c r="FJ32">
        <f>[1]_2012!M27</f>
        <v>0</v>
      </c>
      <c r="FK32">
        <f>[1]_2012!N27</f>
        <v>43495</v>
      </c>
      <c r="FL32">
        <f>[1]_2012!O27</f>
        <v>0</v>
      </c>
      <c r="FM32">
        <f>[1]_2012!P27</f>
        <v>0</v>
      </c>
      <c r="FN32">
        <f>[1]_2012!Q27</f>
        <v>0</v>
      </c>
      <c r="FO32">
        <f>[1]_2012!R27</f>
        <v>78919</v>
      </c>
      <c r="FP32">
        <f>[1]_2012!S27</f>
        <v>0</v>
      </c>
    </row>
    <row r="33" spans="1:172" x14ac:dyDescent="0.2">
      <c r="A33">
        <v>1479</v>
      </c>
      <c r="B33">
        <v>212393</v>
      </c>
      <c r="C33" t="s">
        <v>27</v>
      </c>
      <c r="D33">
        <v>99</v>
      </c>
      <c r="E33">
        <v>4100</v>
      </c>
      <c r="F33">
        <v>45</v>
      </c>
      <c r="G33" s="3">
        <v>2160</v>
      </c>
      <c r="H33">
        <v>47</v>
      </c>
      <c r="I33" s="3">
        <v>1963</v>
      </c>
      <c r="J33" s="3">
        <v>293700</v>
      </c>
      <c r="K33" s="3">
        <v>212685</v>
      </c>
      <c r="L33" s="24">
        <f>I33/G33*K33</f>
        <v>193287.34027777778</v>
      </c>
      <c r="M33" s="78">
        <v>212393</v>
      </c>
      <c r="N33" s="91">
        <v>268290</v>
      </c>
      <c r="O33" s="91"/>
      <c r="P33" s="23">
        <f t="shared" si="23"/>
        <v>202986.17013888888</v>
      </c>
      <c r="Q33" s="3"/>
      <c r="R33" s="3"/>
      <c r="S33" s="6"/>
      <c r="T33" s="6"/>
      <c r="U33" s="6"/>
      <c r="V33" s="6"/>
      <c r="W33" s="6"/>
      <c r="X33" s="6">
        <f t="shared" si="0"/>
        <v>0</v>
      </c>
      <c r="Y33" s="6">
        <f t="shared" si="1"/>
        <v>0</v>
      </c>
      <c r="Z33" s="16"/>
      <c r="AA33" s="6"/>
      <c r="AB33" s="6"/>
      <c r="AC33" s="14">
        <v>50</v>
      </c>
      <c r="AD33" s="8">
        <v>2150</v>
      </c>
      <c r="AE33" s="6">
        <v>56.2</v>
      </c>
      <c r="AF33" s="58">
        <v>9669</v>
      </c>
      <c r="AG33" s="84">
        <f>AF33/(AD33*AG$4)*AE33</f>
        <v>90.096263737569828</v>
      </c>
      <c r="AH33" s="84">
        <f t="shared" si="2"/>
        <v>8813</v>
      </c>
      <c r="AI33" s="84">
        <f t="shared" si="3"/>
        <v>0</v>
      </c>
      <c r="AJ33" s="16">
        <f>(AC33+AE33)/2</f>
        <v>53.1</v>
      </c>
      <c r="AK33" s="6"/>
      <c r="AL33" s="6"/>
      <c r="AM33" s="6"/>
      <c r="AN33" s="6"/>
      <c r="AO33" s="6"/>
      <c r="AP33" s="6"/>
      <c r="AQ33" s="6"/>
      <c r="AR33" s="6">
        <f t="shared" si="4"/>
        <v>0</v>
      </c>
      <c r="AS33" s="6">
        <f t="shared" si="5"/>
        <v>0</v>
      </c>
      <c r="AT33" s="16"/>
      <c r="AU33" s="6"/>
      <c r="AV33" s="6"/>
      <c r="AW33" s="14">
        <v>0.4</v>
      </c>
      <c r="AX33" s="8">
        <v>1350</v>
      </c>
      <c r="AY33" s="6">
        <v>0.4</v>
      </c>
      <c r="AZ33" s="64"/>
      <c r="BA33" s="8">
        <v>3616</v>
      </c>
      <c r="BB33" s="169">
        <f>BA33/(AX33*BB$4)*AY33</f>
        <v>0.56081481481481477</v>
      </c>
      <c r="BC33" s="84">
        <f t="shared" si="6"/>
        <v>1764</v>
      </c>
      <c r="BD33" s="84">
        <f t="shared" si="7"/>
        <v>0</v>
      </c>
      <c r="BE33" s="16">
        <f t="shared" si="57"/>
        <v>0.4</v>
      </c>
      <c r="BF33" s="6"/>
      <c r="BG33" s="6"/>
      <c r="BH33" s="6"/>
      <c r="BI33" s="6"/>
      <c r="BJ33" s="6"/>
      <c r="BK33" s="6"/>
      <c r="BL33" s="6"/>
      <c r="BM33" s="6">
        <f t="shared" si="8"/>
        <v>3074</v>
      </c>
      <c r="BN33" s="6">
        <f t="shared" si="9"/>
        <v>0</v>
      </c>
      <c r="BO33" s="16"/>
      <c r="BP33" s="6"/>
      <c r="BQ33" s="6"/>
      <c r="BR33" s="6"/>
      <c r="BS33" s="6"/>
      <c r="BT33" s="6"/>
      <c r="BV33" s="130"/>
      <c r="CB33" s="108">
        <v>5792</v>
      </c>
      <c r="CC33" s="105">
        <v>0.25</v>
      </c>
      <c r="CD33" s="111"/>
      <c r="CE33" s="33"/>
      <c r="CF33" s="27"/>
      <c r="CG33" s="105">
        <v>0.25</v>
      </c>
      <c r="CH33" s="27"/>
      <c r="CI33" s="27"/>
      <c r="CJ33" s="27"/>
      <c r="CK33" s="27">
        <f>V33+AF33+AP33+BA33+BK33</f>
        <v>13285</v>
      </c>
      <c r="CL33" s="27">
        <v>20233</v>
      </c>
      <c r="CM33" s="27"/>
      <c r="CN33" s="27">
        <f t="shared" si="10"/>
        <v>14433</v>
      </c>
      <c r="CO33" s="27"/>
      <c r="CP33" s="27"/>
      <c r="CZ33" s="19">
        <f>2876/3302*DI33</f>
        <v>0.80410090096910947</v>
      </c>
      <c r="DB33" s="13">
        <f t="shared" si="41"/>
        <v>0.65949640502777773</v>
      </c>
      <c r="DC33" s="13">
        <f t="shared" si="42"/>
        <v>0</v>
      </c>
      <c r="DD33" s="13">
        <f t="shared" si="43"/>
        <v>0.32736499999999996</v>
      </c>
      <c r="DE33" s="13">
        <f t="shared" si="44"/>
        <v>0</v>
      </c>
      <c r="DF33" s="13">
        <f t="shared" si="45"/>
        <v>0.41120000000000001</v>
      </c>
      <c r="DG33" s="13">
        <f t="shared" si="46"/>
        <v>0</v>
      </c>
      <c r="DH33" s="13">
        <f t="shared" si="47"/>
        <v>0</v>
      </c>
      <c r="DI33" s="13">
        <f t="shared" si="56"/>
        <v>0.9232062499999999</v>
      </c>
      <c r="DL33" s="13">
        <f>N33*DL$3</f>
        <v>0.91540547999999988</v>
      </c>
      <c r="DM33" s="13">
        <f>W33*DM$3</f>
        <v>0</v>
      </c>
      <c r="DN33" s="13">
        <f>AG33*DN$3</f>
        <v>0.52481073627134422</v>
      </c>
      <c r="DO33" s="13">
        <f>AQ33*DO$3</f>
        <v>0</v>
      </c>
      <c r="DP33" s="13">
        <f>BB33*DP$3</f>
        <v>0.5765176296296296</v>
      </c>
      <c r="DQ33" s="13">
        <f>BL33*DQ$3</f>
        <v>0</v>
      </c>
      <c r="DR33" s="13">
        <f>BU33</f>
        <v>0</v>
      </c>
      <c r="DS33" s="13">
        <f>SUM(DM33:DR33)*(1+CG33)</f>
        <v>1.3766604573762173</v>
      </c>
      <c r="EI33" s="16"/>
      <c r="EK33" s="16"/>
      <c r="EM33" s="16"/>
      <c r="EO33" s="16"/>
      <c r="EQ33" s="16"/>
      <c r="EX33">
        <f>[1]_2012!A28</f>
        <v>212393</v>
      </c>
      <c r="EY33">
        <f>[1]_2012!B28</f>
        <v>0</v>
      </c>
      <c r="EZ33">
        <f>[1]_2012!C28</f>
        <v>0</v>
      </c>
      <c r="FA33">
        <f>[1]_2012!D28</f>
        <v>8813</v>
      </c>
      <c r="FB33">
        <f>[1]_2012!E28</f>
        <v>0</v>
      </c>
      <c r="FC33">
        <f>[1]_2012!F28</f>
        <v>1764</v>
      </c>
      <c r="FD33">
        <f>[1]_2012!G28</f>
        <v>0</v>
      </c>
      <c r="FE33">
        <f>[1]_2012!H28</f>
        <v>3074</v>
      </c>
      <c r="FF33">
        <f>[1]_2012!I28</f>
        <v>0</v>
      </c>
      <c r="FG33">
        <f>[1]_2012!J28</f>
        <v>0</v>
      </c>
      <c r="FH33">
        <f>[1]_2012!K28</f>
        <v>0</v>
      </c>
      <c r="FI33">
        <f>[1]_2012!L28</f>
        <v>0</v>
      </c>
      <c r="FJ33">
        <f>[1]_2012!M28</f>
        <v>0</v>
      </c>
      <c r="FK33">
        <f>[1]_2012!N28</f>
        <v>14433</v>
      </c>
      <c r="FL33">
        <f>[1]_2012!O28</f>
        <v>0</v>
      </c>
      <c r="FM33">
        <f>[1]_2012!P28</f>
        <v>172</v>
      </c>
      <c r="FN33">
        <f>[1]_2012!Q28</f>
        <v>0</v>
      </c>
      <c r="FO33">
        <f>[1]_2012!R28</f>
        <v>28256</v>
      </c>
      <c r="FP33">
        <f>[1]_2012!S28</f>
        <v>0</v>
      </c>
    </row>
    <row r="34" spans="1:172" x14ac:dyDescent="0.2">
      <c r="A34">
        <v>1499</v>
      </c>
      <c r="B34">
        <v>212399</v>
      </c>
      <c r="C34" t="s">
        <v>28</v>
      </c>
      <c r="D34">
        <v>281</v>
      </c>
      <c r="E34">
        <v>5500</v>
      </c>
      <c r="F34">
        <v>211</v>
      </c>
      <c r="G34" s="3">
        <v>3960</v>
      </c>
      <c r="H34">
        <v>242</v>
      </c>
      <c r="I34" s="3">
        <v>4005</v>
      </c>
      <c r="J34" s="3">
        <v>463700</v>
      </c>
      <c r="K34" s="3">
        <v>417239</v>
      </c>
      <c r="L34" s="24">
        <f>I34/G34*K34</f>
        <v>421980.35227272729</v>
      </c>
      <c r="M34" s="78">
        <v>212399</v>
      </c>
      <c r="N34" s="91">
        <v>536552</v>
      </c>
      <c r="O34" s="91"/>
      <c r="P34" s="23">
        <f>(K34+L34)/2</f>
        <v>419609.67613636365</v>
      </c>
      <c r="Q34" s="3"/>
      <c r="R34" s="3"/>
      <c r="S34" s="6"/>
      <c r="T34" s="6"/>
      <c r="U34" s="6"/>
      <c r="V34" s="6"/>
      <c r="W34" s="6"/>
      <c r="X34" s="6">
        <f t="shared" si="0"/>
        <v>606</v>
      </c>
      <c r="Y34" s="6">
        <f t="shared" si="1"/>
        <v>0</v>
      </c>
      <c r="Z34" s="16"/>
      <c r="AA34" s="6"/>
      <c r="AB34" s="6">
        <v>6116</v>
      </c>
      <c r="AC34" s="6">
        <v>174.1</v>
      </c>
      <c r="AD34" s="6">
        <v>5072</v>
      </c>
      <c r="AE34" s="6">
        <f>$I34/$G34*AC34</f>
        <v>176.0784090909091</v>
      </c>
      <c r="AF34" s="6">
        <v>15872</v>
      </c>
      <c r="AG34" s="84">
        <f>AF34/(AD34*AG$4)*AE34</f>
        <v>196.42007881305548</v>
      </c>
      <c r="AH34" s="84">
        <f t="shared" si="2"/>
        <v>15712</v>
      </c>
      <c r="AI34" s="84">
        <f t="shared" si="3"/>
        <v>0</v>
      </c>
      <c r="AJ34" s="16">
        <f>(AC34+AE34)/2</f>
        <v>175.08920454545455</v>
      </c>
      <c r="AK34" s="6"/>
      <c r="AL34" s="6">
        <v>1199</v>
      </c>
      <c r="AM34" s="6">
        <v>54.6</v>
      </c>
      <c r="AN34" s="6">
        <v>1023</v>
      </c>
      <c r="AO34">
        <f>$I34/$G34*AM34</f>
        <v>55.220454545454551</v>
      </c>
      <c r="AP34">
        <v>1929</v>
      </c>
      <c r="AQ34" s="84">
        <f>AP34/(AN34*AQ$4)*AO34</f>
        <v>42.4522778954682</v>
      </c>
      <c r="AR34" s="84">
        <f t="shared" si="4"/>
        <v>3776</v>
      </c>
      <c r="AS34" s="84">
        <f t="shared" si="5"/>
        <v>0</v>
      </c>
      <c r="AT34" s="16">
        <f>(AM34+AO34)/2</f>
        <v>54.910227272727276</v>
      </c>
      <c r="AU34" s="6"/>
      <c r="AV34" s="6">
        <v>10795</v>
      </c>
      <c r="AW34" s="6">
        <v>3.6</v>
      </c>
      <c r="AX34" s="8">
        <v>18317</v>
      </c>
      <c r="AY34" s="6">
        <v>6.2</v>
      </c>
      <c r="AZ34" s="6"/>
      <c r="BA34" s="8">
        <v>17417</v>
      </c>
      <c r="BB34" s="169">
        <f>BA34/(AX34*BB$4)*AY34</f>
        <v>3.0858550970409997</v>
      </c>
      <c r="BC34" s="84">
        <f t="shared" si="6"/>
        <v>12032</v>
      </c>
      <c r="BD34" s="84">
        <f t="shared" si="7"/>
        <v>0</v>
      </c>
      <c r="BE34" s="16">
        <f>(AW34+AY34)/2</f>
        <v>4.9000000000000004</v>
      </c>
      <c r="BF34" s="6"/>
      <c r="BG34" s="6">
        <v>1299</v>
      </c>
      <c r="BH34" s="6">
        <v>1.1000000000000001</v>
      </c>
      <c r="BI34" s="6">
        <v>888</v>
      </c>
      <c r="BJ34" s="6">
        <f>$I34/$G34*BH34</f>
        <v>1.1125000000000003</v>
      </c>
      <c r="BK34" s="6">
        <v>5189</v>
      </c>
      <c r="BL34" s="84">
        <f>BK34/EJ$15*0.001</f>
        <v>2.2590335219851982</v>
      </c>
      <c r="BM34" s="84">
        <f t="shared" si="8"/>
        <v>4211</v>
      </c>
      <c r="BN34" s="84">
        <f t="shared" si="9"/>
        <v>0</v>
      </c>
      <c r="BO34" s="16">
        <f>(BH34+BJ34)/2</f>
        <v>1.1062500000000002</v>
      </c>
      <c r="BP34" s="6"/>
      <c r="BQ34" s="6"/>
      <c r="BR34" s="6"/>
      <c r="BS34" s="6"/>
      <c r="BT34" s="6"/>
      <c r="BV34" s="130"/>
      <c r="BW34" s="121">
        <f>CB34/(CB34-BX34)-1</f>
        <v>0.34810187875266307</v>
      </c>
      <c r="BX34">
        <v>7189</v>
      </c>
      <c r="BY34" s="116">
        <v>1243</v>
      </c>
      <c r="CA34" s="34">
        <f>R34+AB34+AL34+AV34+BG34+BP34</f>
        <v>19409</v>
      </c>
      <c r="CB34">
        <v>27841</v>
      </c>
      <c r="CC34" s="21">
        <v>0.2</v>
      </c>
      <c r="CD34" s="110"/>
      <c r="CE34" s="33">
        <f>T34+AD34+AN34+BI34+AX34</f>
        <v>25300</v>
      </c>
      <c r="CF34" s="27"/>
      <c r="CG34" s="21">
        <f>CL34/(CI34+CK34)-1</f>
        <v>5.8586990958496843E-2</v>
      </c>
      <c r="CH34" s="27">
        <v>2404</v>
      </c>
      <c r="CI34" s="27">
        <v>626</v>
      </c>
      <c r="CJ34" s="27"/>
      <c r="CK34" s="27">
        <f>V34+AF34+AP34+BA34+BK34</f>
        <v>40407</v>
      </c>
      <c r="CL34" s="27">
        <v>43437</v>
      </c>
      <c r="CM34" s="27"/>
      <c r="CN34" s="27">
        <f t="shared" si="10"/>
        <v>38649</v>
      </c>
      <c r="CO34" s="27"/>
      <c r="CP34" s="27"/>
      <c r="CS34" s="13">
        <f>K34*CS$3</f>
        <v>1.4236194679999998</v>
      </c>
      <c r="CT34" s="13">
        <f>S34*CT$3</f>
        <v>0</v>
      </c>
      <c r="CU34" s="13">
        <f>AC34*CU$3</f>
        <v>1.0141324999999999</v>
      </c>
      <c r="CV34" s="13">
        <f>AM34*CV$3</f>
        <v>0.34327020000000003</v>
      </c>
      <c r="CW34" s="13">
        <f>AW34*CW$3</f>
        <v>3.7008000000000001</v>
      </c>
      <c r="CX34" s="13">
        <f>BH34*CX$3</f>
        <v>0.13757857142857144</v>
      </c>
      <c r="CY34" s="13">
        <f>BQ34</f>
        <v>0</v>
      </c>
      <c r="CZ34" s="13">
        <f>SUM(CT34:CX34)*(1+BW34)</f>
        <v>7.0044424936007577</v>
      </c>
      <c r="DB34" s="13">
        <f t="shared" si="41"/>
        <v>1.4397969619545454</v>
      </c>
      <c r="DC34" s="13">
        <f t="shared" si="42"/>
        <v>0</v>
      </c>
      <c r="DD34" s="13">
        <f t="shared" si="43"/>
        <v>1.0256567329545454</v>
      </c>
      <c r="DE34" s="13">
        <f t="shared" si="44"/>
        <v>0.34717099772727278</v>
      </c>
      <c r="DF34" s="13">
        <f t="shared" si="45"/>
        <v>6.3736000000000006</v>
      </c>
      <c r="DG34" s="13">
        <f t="shared" si="46"/>
        <v>0.13914196428571432</v>
      </c>
      <c r="DH34" s="13">
        <f t="shared" si="47"/>
        <v>0</v>
      </c>
      <c r="DI34" s="13">
        <f t="shared" si="56"/>
        <v>9.4626836339610385</v>
      </c>
      <c r="DL34" s="13">
        <f>N34*DL$3</f>
        <v>1.8307154239999999</v>
      </c>
      <c r="DM34" s="13">
        <f>W34*DM$3</f>
        <v>0</v>
      </c>
      <c r="DN34" s="13">
        <f>AG34*DN$3</f>
        <v>1.144146959086048</v>
      </c>
      <c r="DO34" s="13">
        <f>AQ34*DO$3</f>
        <v>0.26689747112880857</v>
      </c>
      <c r="DP34" s="13">
        <f>BB34*DP$3</f>
        <v>3.1722590397581478</v>
      </c>
      <c r="DQ34" s="13">
        <f>BL34*DQ$3</f>
        <v>0.28254054978543447</v>
      </c>
      <c r="DR34" s="13">
        <f>BU34</f>
        <v>0</v>
      </c>
      <c r="DS34" s="13">
        <f>SUM(DM34:DR34)*(1+CG34)</f>
        <v>5.150919179349482</v>
      </c>
      <c r="EG34">
        <f>Prices!D33</f>
        <v>1982</v>
      </c>
      <c r="EH34" s="13">
        <f>Prices!E33</f>
        <v>0.69984447900466562</v>
      </c>
      <c r="EI34" s="16">
        <f>Prices!F33</f>
        <v>0</v>
      </c>
      <c r="EJ34" s="13">
        <f>Prices!G33</f>
        <v>0.15597737698305422</v>
      </c>
      <c r="EK34" s="16">
        <f>Prices!H33</f>
        <v>0</v>
      </c>
      <c r="EL34" s="13">
        <f>Prices!I33</f>
        <v>0.1984196020687187</v>
      </c>
      <c r="EM34" s="16">
        <f>Prices!J33</f>
        <v>0</v>
      </c>
      <c r="EN34" s="13">
        <f>Prices!K33</f>
        <v>0.20861530892167041</v>
      </c>
      <c r="EO34" s="16">
        <f>Prices!L33</f>
        <v>0</v>
      </c>
      <c r="EP34" s="13">
        <f>Prices!M33</f>
        <v>0.2656330749354005</v>
      </c>
      <c r="EQ34" s="16">
        <f>Prices!N33</f>
        <v>0</v>
      </c>
      <c r="ER34" s="13">
        <f>Prices!O33</f>
        <v>9.6497991873316341E-2</v>
      </c>
      <c r="EX34">
        <f>[1]_2012!A29</f>
        <v>212399</v>
      </c>
      <c r="EY34">
        <f>[1]_2012!B29</f>
        <v>606</v>
      </c>
      <c r="EZ34">
        <f>[1]_2012!C29</f>
        <v>0</v>
      </c>
      <c r="FA34">
        <f>[1]_2012!D29</f>
        <v>15712</v>
      </c>
      <c r="FB34">
        <f>[1]_2012!E29</f>
        <v>0</v>
      </c>
      <c r="FC34">
        <f>[1]_2012!F29</f>
        <v>12032</v>
      </c>
      <c r="FD34">
        <f>[1]_2012!G29</f>
        <v>0</v>
      </c>
      <c r="FE34">
        <f>[1]_2012!H29</f>
        <v>4211</v>
      </c>
      <c r="FF34">
        <f>[1]_2012!I29</f>
        <v>0</v>
      </c>
      <c r="FG34">
        <f>[1]_2012!J29</f>
        <v>440</v>
      </c>
      <c r="FH34">
        <f>[1]_2012!K29</f>
        <v>0</v>
      </c>
      <c r="FI34">
        <f>[1]_2012!L29</f>
        <v>3776</v>
      </c>
      <c r="FJ34">
        <f>[1]_2012!M29</f>
        <v>0</v>
      </c>
      <c r="FK34">
        <f>[1]_2012!N29</f>
        <v>38649</v>
      </c>
      <c r="FL34">
        <f>[1]_2012!O29</f>
        <v>0</v>
      </c>
      <c r="FM34">
        <f>[1]_2012!P29</f>
        <v>1872</v>
      </c>
      <c r="FN34">
        <f>[1]_2012!Q29</f>
        <v>0</v>
      </c>
      <c r="FO34">
        <f>[1]_2012!R29</f>
        <v>77298</v>
      </c>
      <c r="FP34">
        <f>[1]_2012!S29</f>
        <v>0</v>
      </c>
    </row>
    <row r="35" spans="1:172" x14ac:dyDescent="0.2">
      <c r="G35" s="3"/>
      <c r="I35" s="3"/>
      <c r="J35" s="3"/>
      <c r="K35" s="3"/>
      <c r="L35" s="3"/>
      <c r="M35" s="3"/>
      <c r="N35" s="3"/>
      <c r="O35" s="3"/>
      <c r="P35" s="3"/>
      <c r="Q35" s="3"/>
      <c r="R35" s="3"/>
      <c r="X35">
        <f t="shared" si="0"/>
        <v>0</v>
      </c>
      <c r="Y35">
        <f t="shared" si="1"/>
        <v>0</v>
      </c>
      <c r="AA35" s="6"/>
      <c r="AB35" s="6"/>
      <c r="AC35" s="6"/>
      <c r="AD35" s="6"/>
      <c r="AH35">
        <f t="shared" si="2"/>
        <v>0</v>
      </c>
      <c r="AI35">
        <f t="shared" si="3"/>
        <v>0</v>
      </c>
      <c r="AK35" s="6"/>
      <c r="AL35" s="6"/>
      <c r="AM35" s="6"/>
      <c r="AN35" s="6"/>
      <c r="AO35" s="6"/>
      <c r="AP35" s="6"/>
      <c r="AQ35" s="6"/>
      <c r="AR35" s="6">
        <f t="shared" si="4"/>
        <v>0</v>
      </c>
      <c r="AS35" s="6">
        <f t="shared" si="5"/>
        <v>0</v>
      </c>
      <c r="AT35" s="16"/>
      <c r="AU35" s="6"/>
      <c r="AV35" s="6"/>
      <c r="AW35" s="6"/>
      <c r="AX35" s="6"/>
      <c r="AY35" s="6"/>
      <c r="AZ35" s="6"/>
      <c r="BA35" s="6"/>
      <c r="BB35" s="94"/>
      <c r="BC35" s="6">
        <f t="shared" si="6"/>
        <v>0</v>
      </c>
      <c r="BD35" s="6">
        <f t="shared" si="7"/>
        <v>0</v>
      </c>
      <c r="BE35" s="6"/>
      <c r="BF35" s="6"/>
      <c r="BG35" s="6"/>
      <c r="BH35" s="6"/>
      <c r="BI35" s="6"/>
      <c r="BJ35" s="6"/>
      <c r="BK35" s="6"/>
      <c r="BL35" s="6"/>
      <c r="BM35" s="6">
        <f t="shared" si="8"/>
        <v>0</v>
      </c>
      <c r="BN35" s="6">
        <f t="shared" si="9"/>
        <v>0</v>
      </c>
      <c r="BO35" s="16"/>
      <c r="BP35" s="6"/>
      <c r="BQ35" s="6"/>
      <c r="BR35" s="6"/>
      <c r="BS35" s="6"/>
      <c r="BT35" s="6"/>
      <c r="BV35" s="130"/>
      <c r="BW35" s="4"/>
      <c r="BX35" s="6"/>
      <c r="BY35" s="6"/>
      <c r="BZ35" s="6"/>
      <c r="CA35" s="6"/>
      <c r="CB35" s="6"/>
      <c r="CC35" s="6"/>
      <c r="CD35" s="6"/>
      <c r="CE35" s="6"/>
      <c r="CN35" s="27">
        <f t="shared" si="10"/>
        <v>0</v>
      </c>
      <c r="EG35">
        <f>Prices!D34</f>
        <v>1987</v>
      </c>
      <c r="EH35" s="13">
        <f>Prices!E34</f>
        <v>0.79815537424618654</v>
      </c>
      <c r="EI35" s="16">
        <f>Prices!F34</f>
        <v>0</v>
      </c>
      <c r="EJ35" s="13">
        <f>Prices!G34</f>
        <v>0.2132348951160741</v>
      </c>
      <c r="EK35" s="16">
        <f>Prices!H34</f>
        <v>0</v>
      </c>
      <c r="EL35" s="13">
        <f>Prices!I34</f>
        <v>0.25857696886007225</v>
      </c>
      <c r="EM35" s="16">
        <f>Prices!J34</f>
        <v>0</v>
      </c>
      <c r="EN35" s="13">
        <f>Prices!K34</f>
        <v>0.33918223303698158</v>
      </c>
      <c r="EO35" s="16">
        <f>Prices!L34</f>
        <v>0</v>
      </c>
      <c r="EP35" s="13">
        <f>Prices!M34</f>
        <v>0.34965986394557824</v>
      </c>
      <c r="EQ35" s="16">
        <f>Prices!N34</f>
        <v>0</v>
      </c>
      <c r="ER35" s="13">
        <f>Prices!O34</f>
        <v>0.12702286685365111</v>
      </c>
    </row>
    <row r="36" spans="1:172" x14ac:dyDescent="0.2">
      <c r="B36">
        <v>213111</v>
      </c>
      <c r="C36" s="108" t="s">
        <v>340</v>
      </c>
      <c r="G36" s="3"/>
      <c r="I36" s="3"/>
      <c r="J36" s="3"/>
      <c r="K36" s="3"/>
      <c r="L36" s="3">
        <v>572351</v>
      </c>
      <c r="M36" s="78">
        <v>213111</v>
      </c>
      <c r="N36" s="91">
        <v>741595</v>
      </c>
      <c r="O36" s="91"/>
      <c r="P36" s="3"/>
      <c r="Q36" s="3"/>
      <c r="R36" s="3"/>
      <c r="X36">
        <f t="shared" si="0"/>
        <v>0</v>
      </c>
      <c r="Y36">
        <f t="shared" si="1"/>
        <v>0</v>
      </c>
      <c r="AB36">
        <v>107442</v>
      </c>
      <c r="AC36" s="4">
        <v>3355.3</v>
      </c>
      <c r="AD36" s="6">
        <v>37355</v>
      </c>
      <c r="AE36" s="84">
        <f>AD36/(AB36*AE$4)*AC36</f>
        <v>995.12759028643882</v>
      </c>
      <c r="AF36">
        <v>179060</v>
      </c>
      <c r="AG36" s="84">
        <f>AF36/(AD36*AG$4)*AE36</f>
        <v>1700.4190908659341</v>
      </c>
      <c r="AH36" s="84">
        <f t="shared" si="2"/>
        <v>292092</v>
      </c>
      <c r="AI36" s="84">
        <f t="shared" si="3"/>
        <v>0</v>
      </c>
      <c r="AK36" s="6"/>
      <c r="AL36" s="6">
        <v>51921</v>
      </c>
      <c r="AM36" s="6">
        <v>1954.1</v>
      </c>
      <c r="AN36">
        <v>7278</v>
      </c>
      <c r="AO36" s="84">
        <f>AN36/(AL36*EO$14)*AM36</f>
        <v>209.46439828834977</v>
      </c>
      <c r="AP36" s="8">
        <v>36741</v>
      </c>
      <c r="AQ36" s="84">
        <f>AP36/(AN36*AQ$4)*AO36</f>
        <v>431.11543026934248</v>
      </c>
      <c r="AR36" s="84">
        <f t="shared" si="4"/>
        <v>125574</v>
      </c>
      <c r="AS36" s="84">
        <f t="shared" si="5"/>
        <v>0</v>
      </c>
      <c r="AT36" s="6"/>
      <c r="AV36">
        <v>1184</v>
      </c>
      <c r="AW36">
        <v>0.6</v>
      </c>
      <c r="AX36">
        <v>311</v>
      </c>
      <c r="AY36" s="84">
        <f>AX36/(AV36*EQ$14)*AW36</f>
        <v>0.14074349536103267</v>
      </c>
      <c r="BA36" s="8">
        <v>4600</v>
      </c>
      <c r="BB36" s="169">
        <f>BA36/(AX36*BB$4)*AY36</f>
        <v>1.0896589949324322</v>
      </c>
      <c r="BC36" s="84">
        <f t="shared" si="6"/>
        <v>0</v>
      </c>
      <c r="BD36" s="84">
        <f t="shared" si="7"/>
        <v>0</v>
      </c>
      <c r="BF36" s="6"/>
      <c r="BG36" s="6">
        <v>26348</v>
      </c>
      <c r="BH36" s="6">
        <v>26</v>
      </c>
      <c r="BI36" s="6">
        <v>12681</v>
      </c>
      <c r="BJ36" s="84">
        <f>BI36/(BG36*EK14)*BH36</f>
        <v>10.902448943004305</v>
      </c>
      <c r="BK36" s="8">
        <v>83564</v>
      </c>
      <c r="BL36" s="84">
        <f>BK36/EJ$15*0.001</f>
        <v>36.379625598606879</v>
      </c>
      <c r="BM36" s="84">
        <f t="shared" si="8"/>
        <v>195661</v>
      </c>
      <c r="BN36" s="84">
        <f t="shared" si="9"/>
        <v>0</v>
      </c>
      <c r="BO36" s="16"/>
      <c r="BP36" s="6">
        <v>2410</v>
      </c>
      <c r="BQ36" s="122">
        <f>ER$37*0.001*BP36</f>
        <v>0.25069855732725893</v>
      </c>
      <c r="BR36" s="6">
        <v>9543</v>
      </c>
      <c r="BS36" s="93">
        <f>ER$38*0.001*BR36</f>
        <v>0.90980584551148225</v>
      </c>
      <c r="BT36" s="6">
        <v>9487</v>
      </c>
      <c r="BU36" s="93">
        <f>ER$39*0.001*BT36</f>
        <v>0.45894032485875702</v>
      </c>
      <c r="BV36" s="170"/>
      <c r="BW36" s="121">
        <f>CB36/(CB36-BX36)-1</f>
        <v>0.32002760902667649</v>
      </c>
      <c r="BX36">
        <v>60739</v>
      </c>
      <c r="BZ36" s="6"/>
      <c r="CA36" s="34">
        <f>R36+AB36+AL36+AV36+BG36+BP36</f>
        <v>189305</v>
      </c>
      <c r="CB36" s="117">
        <f>245532+5000</f>
        <v>250532</v>
      </c>
      <c r="CC36" s="21">
        <f>CF36/CE36-1</f>
        <v>1.1421510242972843</v>
      </c>
      <c r="CD36" s="6">
        <v>76716</v>
      </c>
      <c r="CE36" s="33">
        <f>T36+AD36+AN36+BI36+AX36+BR36</f>
        <v>67168</v>
      </c>
      <c r="CF36">
        <v>143884</v>
      </c>
      <c r="CG36" s="21">
        <f>CL36/(CI36+CK36)-1</f>
        <v>0.224353330015441</v>
      </c>
      <c r="CH36" s="60">
        <v>70324</v>
      </c>
      <c r="CI36">
        <v>9487</v>
      </c>
      <c r="CK36" s="27">
        <f>V36+AF36+AP36+BA36+BK36</f>
        <v>303965</v>
      </c>
      <c r="CL36" s="27">
        <v>383776</v>
      </c>
      <c r="CM36" s="27"/>
      <c r="CN36" s="27">
        <f t="shared" si="10"/>
        <v>638484</v>
      </c>
      <c r="CO36" s="27"/>
      <c r="CP36" s="27"/>
      <c r="CS36" s="13">
        <f>K36*CS$3</f>
        <v>0</v>
      </c>
      <c r="CT36" s="13">
        <f>S36*CT$3</f>
        <v>0</v>
      </c>
      <c r="CU36" s="13">
        <f>AC36*CU$3</f>
        <v>19.544622499999999</v>
      </c>
      <c r="CV36" s="13">
        <f>AM36*CV$3</f>
        <v>12.2854267</v>
      </c>
      <c r="CW36" s="13">
        <f>AW36*CW$3</f>
        <v>0.61680000000000001</v>
      </c>
      <c r="CX36" s="13">
        <f>BH36*CX$3</f>
        <v>3.2518571428571432</v>
      </c>
      <c r="CY36" s="13">
        <f>BQ36</f>
        <v>0.25069855732725893</v>
      </c>
      <c r="CZ36" s="13">
        <f>SUM(CT36:CX36)*(1+BW36)</f>
        <v>47.123277979107158</v>
      </c>
      <c r="DB36" s="13">
        <f>L36*DB$3</f>
        <v>1.9528616119999997</v>
      </c>
      <c r="DC36" s="13">
        <f>U36*DC$3</f>
        <v>0</v>
      </c>
      <c r="DD36" s="13">
        <f>AE36*DD$3</f>
        <v>5.7966182134185056</v>
      </c>
      <c r="DE36" s="13">
        <f>AO36*DE$3</f>
        <v>1.316902672038855</v>
      </c>
      <c r="DF36" s="13">
        <f>AY36*DF$3</f>
        <v>0.14468431323114159</v>
      </c>
      <c r="DG36" s="13">
        <f>BJ36*DG$3</f>
        <v>1.3635848642286101</v>
      </c>
      <c r="DH36" s="13">
        <f>BS36</f>
        <v>0.90980584551148225</v>
      </c>
      <c r="DI36" s="13">
        <f>SUM(DC36:DH36)*(1+CC36)</f>
        <v>20.418117938428118</v>
      </c>
      <c r="DL36" s="13">
        <f>N36*DL$3</f>
        <v>2.5303221399999996</v>
      </c>
      <c r="DM36" s="13">
        <f>W36*DM$3</f>
        <v>0</v>
      </c>
      <c r="DN36" s="13">
        <f>AG36*DN$3</f>
        <v>9.9049412042940652</v>
      </c>
      <c r="DO36" s="13">
        <f>AQ36*DO$3</f>
        <v>2.710422710103356</v>
      </c>
      <c r="DP36" s="13">
        <f>BB36*DP$3</f>
        <v>1.1201694467905403</v>
      </c>
      <c r="DQ36" s="13">
        <f>BL36*DQ$3</f>
        <v>4.5500517445114754</v>
      </c>
      <c r="DR36" s="13">
        <f>BU36</f>
        <v>0.45894032485875702</v>
      </c>
      <c r="DS36" s="13">
        <f>SUM(DM36:DR36)*(1+CG36)</f>
        <v>22.949922130463044</v>
      </c>
      <c r="EG36">
        <f>Prices!D35</f>
        <v>1992</v>
      </c>
      <c r="EH36" s="13">
        <f>Prices!E35</f>
        <v>0.84017923823749063</v>
      </c>
      <c r="EI36" s="16">
        <f>Prices!F35</f>
        <v>0</v>
      </c>
      <c r="EJ36" s="13">
        <f>Prices!G35</f>
        <v>0.17936706350491416</v>
      </c>
      <c r="EK36" s="16">
        <f>Prices!H35</f>
        <v>0</v>
      </c>
      <c r="EL36" s="13">
        <f>Prices!I35</f>
        <v>0.21772983132505383</v>
      </c>
      <c r="EM36" s="16">
        <f>Prices!J35</f>
        <v>0</v>
      </c>
      <c r="EN36" s="13">
        <f>Prices!K35</f>
        <v>0.42546543266919629</v>
      </c>
      <c r="EO36" s="16">
        <f>Prices!L35</f>
        <v>0</v>
      </c>
      <c r="EP36" s="13">
        <f>Prices!M35</f>
        <v>0.36197183098591551</v>
      </c>
      <c r="EQ36" s="16">
        <f>Prices!N35</f>
        <v>0</v>
      </c>
      <c r="ER36" s="13">
        <f>Prices!O35</f>
        <v>0.13149550301046981</v>
      </c>
      <c r="EX36">
        <f>[1]_2012!A30</f>
        <v>213111</v>
      </c>
      <c r="EY36">
        <f>[1]_2012!B30</f>
        <v>0</v>
      </c>
      <c r="EZ36">
        <f>[1]_2012!C30</f>
        <v>0</v>
      </c>
      <c r="FA36">
        <f>[1]_2012!D30</f>
        <v>292092</v>
      </c>
      <c r="FB36">
        <f>[1]_2012!E30</f>
        <v>0</v>
      </c>
      <c r="FC36">
        <f>[1]_2012!F30</f>
        <v>0</v>
      </c>
      <c r="FD36">
        <f>[1]_2012!G30</f>
        <v>0</v>
      </c>
      <c r="FE36">
        <f>[1]_2012!H30</f>
        <v>195661</v>
      </c>
      <c r="FF36">
        <f>[1]_2012!I30</f>
        <v>0</v>
      </c>
      <c r="FG36">
        <f>[1]_2012!J30</f>
        <v>8258</v>
      </c>
      <c r="FH36">
        <f>[1]_2012!K30</f>
        <v>0</v>
      </c>
      <c r="FI36">
        <f>[1]_2012!L30</f>
        <v>125574</v>
      </c>
      <c r="FJ36">
        <f>[1]_2012!M30</f>
        <v>0</v>
      </c>
      <c r="FK36">
        <f>[1]_2012!N30</f>
        <v>638484</v>
      </c>
      <c r="FL36">
        <f>[1]_2012!O30</f>
        <v>0</v>
      </c>
      <c r="FM36">
        <f>[1]_2012!P30</f>
        <v>0</v>
      </c>
      <c r="FN36">
        <f>[1]_2012!Q30</f>
        <v>0</v>
      </c>
      <c r="FO36">
        <f>[1]_2012!R30</f>
        <v>1260069</v>
      </c>
      <c r="FP36">
        <f>[1]_2012!S30</f>
        <v>0</v>
      </c>
    </row>
    <row r="37" spans="1:172" x14ac:dyDescent="0.2">
      <c r="B37">
        <v>213112</v>
      </c>
      <c r="C37" s="108" t="s">
        <v>341</v>
      </c>
      <c r="G37" s="3"/>
      <c r="I37" s="3"/>
      <c r="J37" s="3"/>
      <c r="K37" s="3"/>
      <c r="L37" s="3">
        <v>585114</v>
      </c>
      <c r="M37" s="78">
        <v>213112</v>
      </c>
      <c r="N37" s="91">
        <v>1572079</v>
      </c>
      <c r="O37" s="91"/>
      <c r="P37" s="3"/>
      <c r="Q37" s="3"/>
      <c r="R37" s="3"/>
      <c r="V37">
        <v>1393</v>
      </c>
      <c r="W37" s="95">
        <f>V37/EH$15</f>
        <v>34.142156862745104</v>
      </c>
      <c r="X37" s="95">
        <f t="shared" si="0"/>
        <v>1377</v>
      </c>
      <c r="Y37" s="95">
        <f t="shared" si="1"/>
        <v>0</v>
      </c>
      <c r="AB37">
        <v>52058</v>
      </c>
      <c r="AC37" s="4">
        <v>1424.8</v>
      </c>
      <c r="AD37" s="8">
        <v>30946</v>
      </c>
      <c r="AE37" s="84">
        <f>AD37/(AB37*AE$4)*AC37</f>
        <v>722.50973379430252</v>
      </c>
      <c r="AF37">
        <v>369615</v>
      </c>
      <c r="AG37" s="84">
        <f>AF37/(AD37*AG$4)*AE37</f>
        <v>3076.2110961545122</v>
      </c>
      <c r="AH37" s="84">
        <f t="shared" si="2"/>
        <v>700716</v>
      </c>
      <c r="AI37" s="84">
        <f t="shared" si="3"/>
        <v>0</v>
      </c>
      <c r="AK37" s="6"/>
      <c r="AL37" s="8">
        <v>24203</v>
      </c>
      <c r="AM37" s="8">
        <v>1032.0999999999999</v>
      </c>
      <c r="AN37" s="59">
        <v>88000</v>
      </c>
      <c r="AO37" s="84">
        <f>AN37/(AL37*EO$14)*AM37</f>
        <v>2869.6549528376395</v>
      </c>
      <c r="AP37" s="6">
        <v>66362</v>
      </c>
      <c r="AQ37" s="84">
        <f>AP37/(AN37*AQ$4)*AO37</f>
        <v>882.28907530802928</v>
      </c>
      <c r="AR37" s="84">
        <f t="shared" si="4"/>
        <v>425421</v>
      </c>
      <c r="AS37" s="84">
        <f t="shared" si="5"/>
        <v>0</v>
      </c>
      <c r="AT37" s="16"/>
      <c r="AU37" s="6"/>
      <c r="AV37" s="6">
        <v>2662</v>
      </c>
      <c r="AW37" s="6">
        <v>1.4</v>
      </c>
      <c r="AX37" s="59">
        <v>5000</v>
      </c>
      <c r="AY37" s="84">
        <f>AX37/(AV37*EQ$14)*AW37</f>
        <v>2.3483259883901302</v>
      </c>
      <c r="AZ37" s="6"/>
      <c r="BA37" s="6">
        <v>73268</v>
      </c>
      <c r="BB37" s="169">
        <f>BA37/(AX37*BB$4)*AY37</f>
        <v>18.012232735411967</v>
      </c>
      <c r="BC37" s="84">
        <f t="shared" si="6"/>
        <v>84702</v>
      </c>
      <c r="BD37" s="84">
        <f t="shared" si="7"/>
        <v>0</v>
      </c>
      <c r="BE37" s="6"/>
      <c r="BF37" s="6"/>
      <c r="BG37" s="8">
        <v>59115</v>
      </c>
      <c r="BH37" s="8">
        <v>37.6</v>
      </c>
      <c r="BI37" s="8">
        <v>62932</v>
      </c>
      <c r="BJ37" s="84">
        <f>BI37/(BG37*EK14)*BH37</f>
        <v>34.874384443948166</v>
      </c>
      <c r="BK37" s="6">
        <v>288682</v>
      </c>
      <c r="BL37" s="84">
        <f>BK37/EJ$15*0.001</f>
        <v>125.67784066173269</v>
      </c>
      <c r="BM37" s="84">
        <f t="shared" si="8"/>
        <v>635349</v>
      </c>
      <c r="BN37" s="84">
        <f t="shared" si="9"/>
        <v>0</v>
      </c>
      <c r="BO37" s="16"/>
      <c r="BP37" s="6">
        <v>8954</v>
      </c>
      <c r="BQ37" s="122">
        <f>ER$37*0.001*BP37</f>
        <v>0.93143356112376618</v>
      </c>
      <c r="BR37" s="6">
        <v>18997</v>
      </c>
      <c r="BS37" s="93">
        <f>ER$38*0.001*BR37</f>
        <v>1.8111266527487822</v>
      </c>
      <c r="BT37" s="6">
        <v>15366</v>
      </c>
      <c r="BU37" s="93">
        <f>ER$39*0.001*BT37</f>
        <v>0.74334110169491519</v>
      </c>
      <c r="BV37" s="170"/>
      <c r="BW37" s="121">
        <f>CB37/(CB37-BX37)-1</f>
        <v>0.90585387084489422</v>
      </c>
      <c r="BX37" s="6">
        <v>133204</v>
      </c>
      <c r="BY37" s="6"/>
      <c r="BZ37" s="6"/>
      <c r="CA37" s="34">
        <f>R37+AB37+AL37+AV37+BG37+BP37</f>
        <v>146992</v>
      </c>
      <c r="CB37" s="117">
        <f>268252+12000</f>
        <v>280252</v>
      </c>
      <c r="CC37" s="21">
        <f>CF37/CE37-1</f>
        <v>0.24539647844565882</v>
      </c>
      <c r="CD37" s="92">
        <v>50210</v>
      </c>
      <c r="CE37" s="33">
        <f>T37+AD37+AN37+BI37+AX37+BR37</f>
        <v>205875</v>
      </c>
      <c r="CF37">
        <v>256396</v>
      </c>
      <c r="CG37" s="21">
        <f>CL37/(CI37+CK37)-1</f>
        <v>6.9559314877142953E-2</v>
      </c>
      <c r="CH37">
        <v>56669</v>
      </c>
      <c r="CI37">
        <v>15366</v>
      </c>
      <c r="CK37" s="27">
        <f>V37+AF37+AP37+BA37+BK37</f>
        <v>799320</v>
      </c>
      <c r="CL37" s="27">
        <v>871355</v>
      </c>
      <c r="CM37" s="27"/>
      <c r="CN37" s="27">
        <f t="shared" si="10"/>
        <v>1867120</v>
      </c>
      <c r="CO37" s="27"/>
      <c r="CP37" s="27"/>
      <c r="CS37" s="13">
        <f>K37*CS$3</f>
        <v>0</v>
      </c>
      <c r="CT37" s="13">
        <f>S37*CT$3</f>
        <v>0</v>
      </c>
      <c r="CU37" s="13">
        <f>AC37*CU$3</f>
        <v>8.2994599999999998</v>
      </c>
      <c r="CV37" s="13">
        <f>AM37*CV$3</f>
        <v>6.4888126999999995</v>
      </c>
      <c r="CW37" s="13">
        <f>AW37*CW$3</f>
        <v>1.4392</v>
      </c>
      <c r="CX37" s="13">
        <f>BH37*CX$3</f>
        <v>4.7026857142857148</v>
      </c>
      <c r="CY37" s="13">
        <f>BQ37</f>
        <v>0.93143356112376618</v>
      </c>
      <c r="CZ37" s="13">
        <f>SUM(CT37:CX37)*(1+BW37)</f>
        <v>39.88982343126326</v>
      </c>
      <c r="DB37" s="13">
        <f>L37*DB$3</f>
        <v>1.9964089679999999</v>
      </c>
      <c r="DC37" s="13">
        <f>U37*DC$3</f>
        <v>0</v>
      </c>
      <c r="DD37" s="13">
        <f>AE37*DD$3</f>
        <v>4.2086191993518121</v>
      </c>
      <c r="DE37" s="13">
        <f>AO37*DE$3</f>
        <v>18.041520688490241</v>
      </c>
      <c r="DF37" s="13">
        <f>AY37*DF$3</f>
        <v>2.4140791160650541</v>
      </c>
      <c r="DG37" s="13">
        <f>BJ37*DG$3</f>
        <v>4.3617890829538029</v>
      </c>
      <c r="DH37" s="13">
        <f>BS37</f>
        <v>1.8111266527487822</v>
      </c>
      <c r="DI37" s="13">
        <f>SUM(DC37:DH37)*(1+CC37)</f>
        <v>38.404459010064201</v>
      </c>
      <c r="DK37" s="13"/>
      <c r="DL37" s="13">
        <f>N37*DL$3</f>
        <v>5.3639335479999994</v>
      </c>
      <c r="DM37" s="13">
        <f>W37*DM$3</f>
        <v>0.70817661764705897</v>
      </c>
      <c r="DN37" s="13">
        <f>AG37*DN$3</f>
        <v>17.918929635100032</v>
      </c>
      <c r="DO37" s="13">
        <f>AQ37*DO$3</f>
        <v>5.5469514164615799</v>
      </c>
      <c r="DP37" s="13">
        <f>BB37*DP$3</f>
        <v>18.516575252003502</v>
      </c>
      <c r="DQ37" s="13">
        <f>BL37*DQ$3</f>
        <v>15.718707071335283</v>
      </c>
      <c r="DR37" s="13">
        <f>BU37</f>
        <v>0.74334110169491519</v>
      </c>
      <c r="DS37" s="13">
        <f>SUM(DM37:DR37)*(1+CG37)</f>
        <v>63.267301064303993</v>
      </c>
      <c r="EG37">
        <f>Prices!D36</f>
        <v>1997</v>
      </c>
      <c r="EH37" s="13">
        <f>Prices!E36</f>
        <v>0.91314935064935066</v>
      </c>
      <c r="EI37" s="16">
        <f>Prices!F36</f>
        <v>0</v>
      </c>
      <c r="EJ37" s="13">
        <f>Prices!G36</f>
        <v>0.15862905671822869</v>
      </c>
      <c r="EK37" s="16">
        <f>Prices!H36</f>
        <v>0</v>
      </c>
      <c r="EL37" s="13">
        <f>Prices!I36</f>
        <v>0.19424436441243165</v>
      </c>
      <c r="EM37" s="16">
        <f>Prices!J36</f>
        <v>0</v>
      </c>
      <c r="EN37" s="13">
        <f>Prices!K36</f>
        <v>0.3489288489288489</v>
      </c>
      <c r="EO37" s="16">
        <f>Prices!L36</f>
        <v>0</v>
      </c>
      <c r="EP37" s="13">
        <f>Prices!M36</f>
        <v>0.28635097493036216</v>
      </c>
      <c r="EQ37" s="16">
        <f>Prices!N36</f>
        <v>0</v>
      </c>
      <c r="ER37" s="13">
        <f>Prices!O36</f>
        <v>0.10402429764616553</v>
      </c>
      <c r="EX37">
        <f>[1]_2012!A31</f>
        <v>213112</v>
      </c>
      <c r="EY37">
        <f>[1]_2012!B31</f>
        <v>1377</v>
      </c>
      <c r="EZ37">
        <f>[1]_2012!C31</f>
        <v>0</v>
      </c>
      <c r="FA37">
        <f>[1]_2012!D31</f>
        <v>700716</v>
      </c>
      <c r="FB37">
        <f>[1]_2012!E31</f>
        <v>0</v>
      </c>
      <c r="FC37">
        <f>[1]_2012!F31</f>
        <v>84702</v>
      </c>
      <c r="FD37">
        <f>[1]_2012!G31</f>
        <v>0</v>
      </c>
      <c r="FE37">
        <f>[1]_2012!H31</f>
        <v>635349</v>
      </c>
      <c r="FF37">
        <f>[1]_2012!I31</f>
        <v>0</v>
      </c>
      <c r="FG37">
        <f>[1]_2012!J31</f>
        <v>15334</v>
      </c>
      <c r="FH37">
        <f>[1]_2012!K31</f>
        <v>0</v>
      </c>
      <c r="FI37">
        <f>[1]_2012!L31</f>
        <v>425421</v>
      </c>
      <c r="FJ37">
        <f>[1]_2012!M31</f>
        <v>0</v>
      </c>
      <c r="FK37">
        <f>[1]_2012!N31</f>
        <v>1867120</v>
      </c>
      <c r="FL37">
        <f>[1]_2012!O31</f>
        <v>0</v>
      </c>
      <c r="FM37">
        <f>[1]_2012!P31</f>
        <v>4221</v>
      </c>
      <c r="FN37">
        <f>[1]_2012!Q31</f>
        <v>0</v>
      </c>
      <c r="FO37">
        <f>[1]_2012!R31</f>
        <v>3734240</v>
      </c>
      <c r="FP37">
        <f>[1]_2012!S31</f>
        <v>0</v>
      </c>
    </row>
    <row r="38" spans="1:172" x14ac:dyDescent="0.2">
      <c r="B38">
        <v>213113</v>
      </c>
      <c r="C38" s="108" t="s">
        <v>342</v>
      </c>
      <c r="G38" s="3"/>
      <c r="I38" s="3"/>
      <c r="J38" s="3"/>
      <c r="K38" s="3"/>
      <c r="L38" s="3">
        <v>168596</v>
      </c>
      <c r="M38" s="78">
        <v>213113</v>
      </c>
      <c r="N38" s="91">
        <v>382808</v>
      </c>
      <c r="O38" s="91"/>
      <c r="P38" s="3"/>
      <c r="Q38" s="3"/>
      <c r="R38" s="3"/>
      <c r="T38" s="120">
        <v>1000</v>
      </c>
      <c r="U38" s="95">
        <f>T38/EH$14</f>
        <v>37.636432066240118</v>
      </c>
      <c r="V38">
        <v>1787</v>
      </c>
      <c r="W38" s="95">
        <f>V38/EH$15</f>
        <v>43.799019607843142</v>
      </c>
      <c r="X38" s="95">
        <f t="shared" si="0"/>
        <v>1155</v>
      </c>
      <c r="Y38" s="95">
        <f t="shared" si="1"/>
        <v>0</v>
      </c>
      <c r="AB38">
        <v>5583</v>
      </c>
      <c r="AC38" s="4">
        <v>166.4</v>
      </c>
      <c r="AD38" s="8">
        <v>3612</v>
      </c>
      <c r="AE38" s="84">
        <f>AD38/(AB38*AE$4)*AC38</f>
        <v>91.834568457625792</v>
      </c>
      <c r="AF38">
        <v>22347</v>
      </c>
      <c r="AG38" s="84">
        <f>AF38/(AD38*AG$4)*AE38</f>
        <v>202.53731219225071</v>
      </c>
      <c r="AH38" s="84">
        <f t="shared" si="2"/>
        <v>61063</v>
      </c>
      <c r="AI38" s="84">
        <f t="shared" si="3"/>
        <v>0</v>
      </c>
      <c r="AK38" s="6"/>
      <c r="AL38" s="8">
        <v>1327</v>
      </c>
      <c r="AM38" s="8">
        <v>47.8</v>
      </c>
      <c r="AN38" s="6">
        <v>7404</v>
      </c>
      <c r="AO38" s="8">
        <v>180.7</v>
      </c>
      <c r="AP38" s="8">
        <v>37469</v>
      </c>
      <c r="AQ38" s="84">
        <f>AP38/(AN38*AQ$4)*AO38</f>
        <v>372.82778639256912</v>
      </c>
      <c r="AR38" s="84">
        <f t="shared" si="4"/>
        <v>19995</v>
      </c>
      <c r="AS38" s="84">
        <f t="shared" si="5"/>
        <v>0</v>
      </c>
      <c r="AT38" s="16"/>
      <c r="AU38" s="6"/>
      <c r="AV38" s="6"/>
      <c r="AW38" s="6"/>
      <c r="AX38" s="6">
        <v>96</v>
      </c>
      <c r="AY38" s="6">
        <v>0.02</v>
      </c>
      <c r="AZ38" s="6"/>
      <c r="BA38" s="59">
        <v>100</v>
      </c>
      <c r="BB38" s="169">
        <f>BA38/(AX38*BB$4)*AY38</f>
        <v>1.0904947916666666E-2</v>
      </c>
      <c r="BC38" s="84">
        <f t="shared" si="6"/>
        <v>345</v>
      </c>
      <c r="BD38" s="84">
        <f t="shared" si="7"/>
        <v>0</v>
      </c>
      <c r="BE38" s="6"/>
      <c r="BF38" s="6"/>
      <c r="BG38" s="8">
        <v>990</v>
      </c>
      <c r="BH38" s="8">
        <v>0.9</v>
      </c>
      <c r="BI38" s="8">
        <v>4108</v>
      </c>
      <c r="BJ38" s="84">
        <f>BI38/(BG38*EK14)*BH38</f>
        <v>3.253738270608415</v>
      </c>
      <c r="BK38" s="8">
        <v>8890</v>
      </c>
      <c r="BL38" s="84">
        <f>BK38/EJ$15*0.001</f>
        <v>3.8702655637788417</v>
      </c>
      <c r="BM38" s="84">
        <f t="shared" si="8"/>
        <v>20498</v>
      </c>
      <c r="BN38" s="84">
        <f t="shared" si="9"/>
        <v>0</v>
      </c>
      <c r="BO38" s="16"/>
      <c r="BP38" s="59">
        <v>2000</v>
      </c>
      <c r="BQ38" s="122">
        <f>ER$37*0.001*BP38</f>
        <v>0.20804859529233108</v>
      </c>
      <c r="BR38" s="59">
        <v>1000</v>
      </c>
      <c r="BS38" s="93">
        <f>ER$38*0.001*BR38</f>
        <v>9.5337508698677798E-2</v>
      </c>
      <c r="BT38" s="6">
        <v>1787</v>
      </c>
      <c r="BV38" s="130"/>
      <c r="BW38" s="121">
        <f>CB38/(CB38-BX38)-1</f>
        <v>1.1191372469223726</v>
      </c>
      <c r="BX38" s="59">
        <v>11000</v>
      </c>
      <c r="BY38" s="6"/>
      <c r="BZ38" s="6"/>
      <c r="CA38" s="34">
        <f>R38+AB38+AL38+AV38+BG38+BP38</f>
        <v>9900</v>
      </c>
      <c r="CB38" s="6">
        <v>20829</v>
      </c>
      <c r="CC38" s="21">
        <f>CF38/CE38-1</f>
        <v>0.6821138211382114</v>
      </c>
      <c r="CD38" s="6">
        <v>11766</v>
      </c>
      <c r="CE38" s="33">
        <f>T38+AD38+AN38+BI38+AX38+BR38</f>
        <v>17220</v>
      </c>
      <c r="CF38">
        <v>28966</v>
      </c>
      <c r="CG38" s="21">
        <f>CL38/(CI38+CK38)-1</f>
        <v>5.1050013815971296E-2</v>
      </c>
      <c r="CH38">
        <v>3971</v>
      </c>
      <c r="CI38">
        <v>1787</v>
      </c>
      <c r="CK38" s="27">
        <f>V38+AF38+AP38+BA38+BK38</f>
        <v>70593</v>
      </c>
      <c r="CL38" s="27">
        <v>76075</v>
      </c>
      <c r="CM38" s="27"/>
      <c r="CN38" s="27">
        <f t="shared" si="10"/>
        <v>106982</v>
      </c>
      <c r="CO38" s="27"/>
      <c r="CP38" s="27"/>
      <c r="CS38" s="13">
        <f>K38*CS$3</f>
        <v>0</v>
      </c>
      <c r="CT38" s="13">
        <f>S38*CT$3</f>
        <v>0</v>
      </c>
      <c r="CU38" s="13">
        <f>AC38*CU$3</f>
        <v>0.96927999999999992</v>
      </c>
      <c r="CV38" s="13">
        <f>AM38*CV$3</f>
        <v>0.30051859999999997</v>
      </c>
      <c r="CW38" s="13">
        <f>AW38*CW$3</f>
        <v>0</v>
      </c>
      <c r="CX38" s="13">
        <f>BH38*CX$3</f>
        <v>0.11256428571428573</v>
      </c>
      <c r="CY38" s="13">
        <f>BQ38</f>
        <v>0.20804859529233108</v>
      </c>
      <c r="CZ38" s="13">
        <f>SUM(CT38:CX38)*(1+BW38)</f>
        <v>2.9294166798802377</v>
      </c>
      <c r="DB38" s="13">
        <f>L38*DB$3</f>
        <v>0.57524955199999994</v>
      </c>
      <c r="DC38" s="13">
        <f>U38*DC$3</f>
        <v>0.78065487391795252</v>
      </c>
      <c r="DD38" s="13">
        <f>AE38*DD$3</f>
        <v>0.53493636126567023</v>
      </c>
      <c r="DE38" s="13">
        <f>AO38*DE$3</f>
        <v>1.1360608999999999</v>
      </c>
      <c r="DF38" s="13">
        <f>AY38*DF$3</f>
        <v>2.0560000000000002E-2</v>
      </c>
      <c r="DG38" s="13">
        <f>BJ38*DG$3</f>
        <v>0.40694969370252393</v>
      </c>
      <c r="DH38" s="13">
        <f>BS38</f>
        <v>9.5337508698677798E-2</v>
      </c>
      <c r="DI38" s="13">
        <f>SUM(DC38:DH38)*(1+CC38)</f>
        <v>5.0034464467178879</v>
      </c>
      <c r="DL38" s="13">
        <f>N38*DL$3</f>
        <v>1.3061408959999998</v>
      </c>
      <c r="DM38" s="13">
        <f>W38*DM$3</f>
        <v>0.90847926470588247</v>
      </c>
      <c r="DN38" s="13">
        <f>AG38*DN$3</f>
        <v>1.1797798435198603</v>
      </c>
      <c r="DO38" s="13">
        <f>AQ38*DO$3</f>
        <v>2.3439682930500823</v>
      </c>
      <c r="DP38" s="13">
        <f>BB38*DP$3</f>
        <v>1.1210286458333333E-2</v>
      </c>
      <c r="DQ38" s="13">
        <f>BL38*DQ$3</f>
        <v>0.48405964301262516</v>
      </c>
      <c r="DR38" s="13">
        <f>BU38</f>
        <v>0</v>
      </c>
      <c r="DS38" s="13">
        <f>SUM(DM38:DR38)*(1+CG38)</f>
        <v>5.1790461375595687</v>
      </c>
      <c r="EG38">
        <f>Prices!D37</f>
        <v>2002</v>
      </c>
      <c r="EH38" s="13">
        <f>Prices!E37</f>
        <v>0.84681972149040274</v>
      </c>
      <c r="EI38" s="16">
        <f>Prices!F37</f>
        <v>0</v>
      </c>
      <c r="EJ38" s="13">
        <f>Prices!G37</f>
        <v>0.13820622588658107</v>
      </c>
      <c r="EK38" s="16">
        <f>Prices!H37</f>
        <v>0</v>
      </c>
      <c r="EL38" s="13">
        <f>Prices!I37</f>
        <v>0.1656994936564829</v>
      </c>
      <c r="EM38" s="16">
        <f>Prices!J37</f>
        <v>0</v>
      </c>
      <c r="EN38" s="13">
        <f>Prices!K37</f>
        <v>0.26682794329853149</v>
      </c>
      <c r="EO38" s="16">
        <f>Prices!L37</f>
        <v>0</v>
      </c>
      <c r="EP38" s="13">
        <f>Prices!M37</f>
        <v>0.25572139303482588</v>
      </c>
      <c r="EQ38" s="16">
        <f>Prices!N37</f>
        <v>0</v>
      </c>
      <c r="ER38" s="13">
        <f>Prices!O37</f>
        <v>9.5337508698677798E-2</v>
      </c>
      <c r="EX38">
        <f>[1]_2012!A32</f>
        <v>213113</v>
      </c>
      <c r="EY38">
        <f>[1]_2012!B32</f>
        <v>1155</v>
      </c>
      <c r="EZ38">
        <f>[1]_2012!C32</f>
        <v>0</v>
      </c>
      <c r="FA38">
        <f>[1]_2012!D32</f>
        <v>61063</v>
      </c>
      <c r="FB38">
        <f>[1]_2012!E32</f>
        <v>0</v>
      </c>
      <c r="FC38">
        <f>[1]_2012!F32</f>
        <v>345</v>
      </c>
      <c r="FD38">
        <f>[1]_2012!G32</f>
        <v>0</v>
      </c>
      <c r="FE38">
        <f>[1]_2012!H32</f>
        <v>20498</v>
      </c>
      <c r="FF38">
        <f>[1]_2012!I32</f>
        <v>0</v>
      </c>
      <c r="FG38">
        <f>[1]_2012!J32</f>
        <v>933</v>
      </c>
      <c r="FH38">
        <f>[1]_2012!K32</f>
        <v>0</v>
      </c>
      <c r="FI38">
        <f>[1]_2012!L32</f>
        <v>19995</v>
      </c>
      <c r="FJ38">
        <f>[1]_2012!M32</f>
        <v>0</v>
      </c>
      <c r="FK38">
        <f>[1]_2012!N32</f>
        <v>106982</v>
      </c>
      <c r="FL38">
        <f>[1]_2012!O32</f>
        <v>0</v>
      </c>
      <c r="FM38">
        <f>[1]_2012!P32</f>
        <v>2993</v>
      </c>
      <c r="FN38">
        <f>[1]_2012!Q32</f>
        <v>0</v>
      </c>
      <c r="FO38">
        <f>[1]_2012!R32</f>
        <v>213964</v>
      </c>
      <c r="FP38">
        <f>[1]_2012!S32</f>
        <v>0</v>
      </c>
    </row>
    <row r="39" spans="1:172" x14ac:dyDescent="0.2">
      <c r="B39">
        <v>213114</v>
      </c>
      <c r="C39" s="108" t="s">
        <v>343</v>
      </c>
      <c r="G39" s="3"/>
      <c r="I39" s="3"/>
      <c r="J39" s="3"/>
      <c r="K39" s="3">
        <v>21911</v>
      </c>
      <c r="L39" s="3">
        <v>29605</v>
      </c>
      <c r="M39" s="78">
        <v>213114</v>
      </c>
      <c r="N39" s="91">
        <v>143853</v>
      </c>
      <c r="O39" s="91"/>
      <c r="P39" s="3"/>
      <c r="Q39" s="3"/>
      <c r="R39" s="3"/>
      <c r="U39" s="108"/>
      <c r="X39">
        <f t="shared" si="0"/>
        <v>0</v>
      </c>
      <c r="Y39">
        <f t="shared" si="1"/>
        <v>0</v>
      </c>
      <c r="AB39">
        <v>3988</v>
      </c>
      <c r="AC39" s="4">
        <v>113.9</v>
      </c>
      <c r="AD39" s="8">
        <v>658</v>
      </c>
      <c r="AE39" s="84">
        <f>AD39/(AB39*AE$4)*AC39</f>
        <v>16.031243910944301</v>
      </c>
      <c r="AF39">
        <v>24542</v>
      </c>
      <c r="AG39" s="84">
        <f>AF39/(AD39*AG$4)*AE39</f>
        <v>213.14671582891773</v>
      </c>
      <c r="AH39" s="84">
        <f t="shared" si="2"/>
        <v>16878</v>
      </c>
      <c r="AI39" s="84">
        <f t="shared" si="3"/>
        <v>0</v>
      </c>
      <c r="AK39" s="6"/>
      <c r="AL39" s="6"/>
      <c r="AM39" s="6"/>
      <c r="AN39" s="6"/>
      <c r="AO39" s="6"/>
      <c r="AP39" s="8">
        <v>3327</v>
      </c>
      <c r="AQ39" s="99">
        <f>AP39/(EN$15*42)</f>
        <v>57.568521594684391</v>
      </c>
      <c r="AR39" s="99">
        <f t="shared" si="4"/>
        <v>3639</v>
      </c>
      <c r="AS39" s="99">
        <f t="shared" si="5"/>
        <v>0</v>
      </c>
      <c r="AT39" s="16"/>
      <c r="AU39" s="6"/>
      <c r="AV39" s="6"/>
      <c r="AW39" s="6"/>
      <c r="AX39" s="6"/>
      <c r="AY39" s="6"/>
      <c r="AZ39" s="6"/>
      <c r="BA39" s="8">
        <v>2249</v>
      </c>
      <c r="BB39" s="122">
        <f>BA39/EP$15*0.001</f>
        <v>0.29283854166666667</v>
      </c>
      <c r="BC39" s="95">
        <f t="shared" si="6"/>
        <v>1049</v>
      </c>
      <c r="BD39" s="95">
        <f t="shared" si="7"/>
        <v>0</v>
      </c>
      <c r="BE39" s="6"/>
      <c r="BF39" s="6"/>
      <c r="BG39" s="8">
        <v>2189</v>
      </c>
      <c r="BH39" s="8">
        <v>1.8</v>
      </c>
      <c r="BI39" s="8">
        <v>515</v>
      </c>
      <c r="BJ39" s="84">
        <f>BI39/(BG39*EK15)*BH39</f>
        <v>0.16611076119108226</v>
      </c>
      <c r="BK39" s="8">
        <v>5953</v>
      </c>
      <c r="BL39" s="84">
        <f>BK39/EJ$15*0.001</f>
        <v>2.5916412712233345</v>
      </c>
      <c r="BM39" s="84">
        <f t="shared" si="8"/>
        <v>8402</v>
      </c>
      <c r="BN39" s="84">
        <f t="shared" si="9"/>
        <v>0</v>
      </c>
      <c r="BO39" s="16"/>
      <c r="BP39" s="6"/>
      <c r="BQ39" s="6"/>
      <c r="BR39" s="6"/>
      <c r="BS39" s="6"/>
      <c r="BT39" s="8">
        <v>457</v>
      </c>
      <c r="BU39" s="93">
        <f>ER$39*0.001*BT39</f>
        <v>2.2107697740112994E-2</v>
      </c>
      <c r="BV39" s="170"/>
      <c r="BW39" s="121">
        <f>CB39/(CB39-BX39)-1</f>
        <v>0.34579893152015551</v>
      </c>
      <c r="BX39" s="92">
        <f>CB39-CA39</f>
        <v>2136</v>
      </c>
      <c r="BY39" s="6"/>
      <c r="BZ39" s="6"/>
      <c r="CA39" s="34">
        <f>R39+AB39+AL39+AV39+BG39+BP39</f>
        <v>6177</v>
      </c>
      <c r="CB39" s="6">
        <v>8313</v>
      </c>
      <c r="CC39" s="6"/>
      <c r="CD39" s="8">
        <v>7453</v>
      </c>
      <c r="CE39" s="6"/>
      <c r="CF39">
        <v>9214</v>
      </c>
      <c r="CG39" s="21">
        <f>CL39/(CI39+CK39)-1</f>
        <v>0.18635019710906708</v>
      </c>
      <c r="CH39">
        <v>6807</v>
      </c>
      <c r="CI39">
        <v>457</v>
      </c>
      <c r="CK39" s="27">
        <f>V39+AF39+AP39+BA39+BK39</f>
        <v>36071</v>
      </c>
      <c r="CL39" s="27">
        <v>43335</v>
      </c>
      <c r="CM39" s="27"/>
      <c r="CN39" s="27">
        <f t="shared" si="10"/>
        <v>34393</v>
      </c>
      <c r="CO39" s="27"/>
      <c r="CP39" s="27"/>
      <c r="CS39" s="13">
        <f>K39*CS$3</f>
        <v>7.4760331999999999E-2</v>
      </c>
      <c r="CT39" s="13">
        <f>S39*CT$3</f>
        <v>0</v>
      </c>
      <c r="CU39" s="13">
        <f>AC39*CU$3</f>
        <v>0.66346749999999999</v>
      </c>
      <c r="CV39" s="13">
        <f>AM39*CV$3</f>
        <v>0</v>
      </c>
      <c r="CW39" s="13">
        <f>AW39*CW$3</f>
        <v>0</v>
      </c>
      <c r="CX39" s="13">
        <f>BH39*CX$3</f>
        <v>0.22512857142857146</v>
      </c>
      <c r="CY39" s="13">
        <f>BQ39</f>
        <v>0</v>
      </c>
      <c r="CZ39" s="13">
        <f>SUM(CT39:CX39)*(1+BW39)</f>
        <v>1.1958716434815793</v>
      </c>
      <c r="DB39" s="13">
        <f>L39*DB$3</f>
        <v>0.10101225999999999</v>
      </c>
      <c r="DI39" s="119">
        <f>3381/5008*CZ39</f>
        <v>0.80735663470671315</v>
      </c>
      <c r="DJ39" s="108" t="s">
        <v>345</v>
      </c>
      <c r="DK39" s="108" t="s">
        <v>346</v>
      </c>
      <c r="DL39" s="13">
        <f>N39*DL$3</f>
        <v>0.49082643599999998</v>
      </c>
      <c r="DM39" s="13">
        <f>W39*DM$3</f>
        <v>0</v>
      </c>
      <c r="DN39" s="13">
        <f>AG39*DN$3</f>
        <v>1.2415796197034457</v>
      </c>
      <c r="DO39" s="13">
        <f>AQ39*DO$3</f>
        <v>0.36193329526578077</v>
      </c>
      <c r="DP39" s="13">
        <f>BB39*DP$3</f>
        <v>0.30103802083333336</v>
      </c>
      <c r="DQ39" s="13">
        <f>BL39*DQ$3</f>
        <v>0.32414027613657564</v>
      </c>
      <c r="DR39" s="13">
        <f>BU39</f>
        <v>2.2107697740112994E-2</v>
      </c>
      <c r="DS39" s="13">
        <f>SUM(DM39:DR39)*(1+CG39)</f>
        <v>2.6702357301508495</v>
      </c>
      <c r="EG39">
        <f>Prices!D38</f>
        <v>2007</v>
      </c>
      <c r="EH39" s="13">
        <f>Prices!E38</f>
        <v>0.55147058823529416</v>
      </c>
      <c r="EI39" s="16">
        <f>Prices!F38</f>
        <v>0</v>
      </c>
      <c r="EJ39" s="13">
        <f>Prices!G38</f>
        <v>5.421149739826274E-2</v>
      </c>
      <c r="EK39" s="16">
        <f>Prices!H38</f>
        <v>0</v>
      </c>
      <c r="EL39" s="13">
        <f>Prices!I38</f>
        <v>5.9067494118601453E-2</v>
      </c>
      <c r="EM39" s="16">
        <f>Prices!J38</f>
        <v>0</v>
      </c>
      <c r="EN39" s="13">
        <f>Prices!K38</f>
        <v>0.10878668327796236</v>
      </c>
      <c r="EO39" s="16">
        <f>Prices!L38</f>
        <v>0</v>
      </c>
      <c r="EP39" s="13">
        <f>Prices!M38</f>
        <v>0.13385416666666669</v>
      </c>
      <c r="EQ39" s="16">
        <f>Prices!N38</f>
        <v>0</v>
      </c>
      <c r="ER39" s="13">
        <f>Prices!O38</f>
        <v>4.8375706214689264E-2</v>
      </c>
      <c r="ET39">
        <f>0.75*EN39+0.25*EL39</f>
        <v>9.6356885988122129E-2</v>
      </c>
      <c r="EX39">
        <f>[1]_2012!A33</f>
        <v>213114</v>
      </c>
      <c r="EY39">
        <f>[1]_2012!B33</f>
        <v>0</v>
      </c>
      <c r="EZ39">
        <f>[1]_2012!C33</f>
        <v>0</v>
      </c>
      <c r="FA39">
        <f>[1]_2012!D33</f>
        <v>16878</v>
      </c>
      <c r="FB39">
        <f>[1]_2012!E33</f>
        <v>0</v>
      </c>
      <c r="FC39">
        <f>[1]_2012!F33</f>
        <v>1049</v>
      </c>
      <c r="FD39">
        <f>[1]_2012!G33</f>
        <v>0</v>
      </c>
      <c r="FE39">
        <f>[1]_2012!H33</f>
        <v>8402</v>
      </c>
      <c r="FF39">
        <f>[1]_2012!I33</f>
        <v>0</v>
      </c>
      <c r="FG39">
        <f>[1]_2012!J33</f>
        <v>0</v>
      </c>
      <c r="FH39">
        <f>[1]_2012!K33</f>
        <v>0</v>
      </c>
      <c r="FI39">
        <f>[1]_2012!L33</f>
        <v>3639</v>
      </c>
      <c r="FJ39">
        <f>[1]_2012!M33</f>
        <v>0</v>
      </c>
      <c r="FK39">
        <f>[1]_2012!N33</f>
        <v>34393</v>
      </c>
      <c r="FL39">
        <f>[1]_2012!O33</f>
        <v>0</v>
      </c>
      <c r="FM39">
        <f>[1]_2012!P33</f>
        <v>0</v>
      </c>
      <c r="FN39">
        <f>[1]_2012!Q33</f>
        <v>0</v>
      </c>
      <c r="FO39">
        <f>[1]_2012!R33</f>
        <v>64361</v>
      </c>
      <c r="FP39">
        <f>[1]_2012!S33</f>
        <v>0</v>
      </c>
    </row>
    <row r="40" spans="1:172" x14ac:dyDescent="0.2">
      <c r="B40">
        <v>213115</v>
      </c>
      <c r="C40" s="108" t="s">
        <v>344</v>
      </c>
      <c r="L40" s="3">
        <v>61620</v>
      </c>
      <c r="M40" s="78">
        <v>213115</v>
      </c>
      <c r="N40" s="91">
        <v>31550</v>
      </c>
      <c r="O40" s="91"/>
      <c r="X40">
        <f t="shared" si="0"/>
        <v>0</v>
      </c>
      <c r="Y40">
        <f t="shared" si="1"/>
        <v>0</v>
      </c>
      <c r="AB40">
        <v>4465</v>
      </c>
      <c r="AC40" s="8">
        <v>127.4</v>
      </c>
      <c r="AD40" s="8">
        <v>11798</v>
      </c>
      <c r="AE40" s="84">
        <f>AD40/(AB40*AE$4)*AC40</f>
        <v>287.1634156542122</v>
      </c>
      <c r="AF40" s="8">
        <v>12140</v>
      </c>
      <c r="AG40" s="84">
        <f>AF40/(AD40*AG$4)*AE40</f>
        <v>105.33356200316298</v>
      </c>
      <c r="AH40" s="84">
        <f t="shared" si="2"/>
        <v>24170</v>
      </c>
      <c r="AI40" s="84">
        <f t="shared" si="3"/>
        <v>0</v>
      </c>
      <c r="AL40" s="8">
        <v>972</v>
      </c>
      <c r="AM40" s="8">
        <v>33</v>
      </c>
      <c r="AN40" s="59">
        <v>1500</v>
      </c>
      <c r="AO40" s="84">
        <f>AN40/(AL40*EO$14)*AM40</f>
        <v>38.943355119825696</v>
      </c>
      <c r="AP40" s="8">
        <v>6929</v>
      </c>
      <c r="AQ40" s="84">
        <f>AP40/(AN40*AQ$4)*AO40</f>
        <v>73.342733903962099</v>
      </c>
      <c r="AR40" s="84">
        <f t="shared" si="4"/>
        <v>4178</v>
      </c>
      <c r="AS40" s="84">
        <f t="shared" si="5"/>
        <v>0</v>
      </c>
      <c r="AX40" s="8">
        <v>1457</v>
      </c>
      <c r="AY40">
        <v>0.4</v>
      </c>
      <c r="BA40" s="59">
        <v>5000</v>
      </c>
      <c r="BB40" s="169">
        <f>BA40/(AX40*BB$4)*AY40</f>
        <v>0.71851407000686329</v>
      </c>
      <c r="BC40" s="84">
        <f t="shared" si="6"/>
        <v>0</v>
      </c>
      <c r="BD40" s="84">
        <f t="shared" si="7"/>
        <v>0</v>
      </c>
      <c r="BG40" s="8">
        <v>786</v>
      </c>
      <c r="BH40" s="8">
        <v>0.7</v>
      </c>
      <c r="BI40" s="59">
        <v>1000</v>
      </c>
      <c r="BJ40" s="84">
        <f>BI40/(BG40*EK14)*BH40</f>
        <v>0.77592609851084327</v>
      </c>
      <c r="BK40" s="8">
        <v>3199</v>
      </c>
      <c r="BL40" s="84">
        <f>BK40/EJ$15*0.001</f>
        <v>1.3926861123204177</v>
      </c>
      <c r="BM40" s="84">
        <f t="shared" si="8"/>
        <v>9996</v>
      </c>
      <c r="BN40" s="84">
        <f t="shared" si="9"/>
        <v>0</v>
      </c>
      <c r="BR40" s="8">
        <v>287</v>
      </c>
      <c r="BS40" s="93">
        <f>ER$38*0.001*BR40</f>
        <v>2.7361864996520529E-2</v>
      </c>
      <c r="BT40" s="59">
        <v>1000</v>
      </c>
      <c r="BU40" s="93">
        <f>ER$39*0.001*BT40</f>
        <v>4.8375706214689264E-2</v>
      </c>
      <c r="BV40" s="170"/>
      <c r="BW40" s="121">
        <f>CB40/(CB40-BX40)-1</f>
        <v>0.69279897812549907</v>
      </c>
      <c r="BX40" s="8">
        <v>4339</v>
      </c>
      <c r="CA40" s="34">
        <f>R40+AB40+AL40+AV40+BG40+BP40</f>
        <v>6223</v>
      </c>
      <c r="CB40">
        <f>9602+1000</f>
        <v>10602</v>
      </c>
      <c r="CC40" s="21">
        <f>CF40/CE40-1</f>
        <v>1.0684453310061088</v>
      </c>
      <c r="CD40" s="8">
        <v>17124</v>
      </c>
      <c r="CE40" s="33">
        <f>T40+AD40+AN40+BI40+AX40+BR40</f>
        <v>16042</v>
      </c>
      <c r="CF40">
        <v>33182</v>
      </c>
      <c r="CG40" s="21">
        <f>CL40/(CI40+CK40)-1</f>
        <v>0.44403967538322808</v>
      </c>
      <c r="CH40">
        <v>12487</v>
      </c>
      <c r="CI40">
        <v>457</v>
      </c>
      <c r="CK40" s="27">
        <f>V40+AF40+AP40+BA40+BK40</f>
        <v>27268</v>
      </c>
      <c r="CL40" s="27">
        <v>40036</v>
      </c>
      <c r="CM40" s="27"/>
      <c r="CN40" s="27">
        <f t="shared" si="10"/>
        <v>47458</v>
      </c>
      <c r="CO40" s="27"/>
      <c r="CP40" s="27"/>
      <c r="CS40" s="13">
        <f>K40*CS$3</f>
        <v>0</v>
      </c>
      <c r="CT40" s="13">
        <f>S40*CT$3</f>
        <v>0</v>
      </c>
      <c r="CU40" s="13">
        <f>AC40*CU$3</f>
        <v>0.74210500000000001</v>
      </c>
      <c r="CV40" s="13">
        <f>AM40*CV$3</f>
        <v>0.20747099999999999</v>
      </c>
      <c r="CW40" s="13">
        <f>AW40*CW$3</f>
        <v>0</v>
      </c>
      <c r="CX40" s="13">
        <f>BH40*CX$3</f>
        <v>8.7550000000000003E-2</v>
      </c>
      <c r="CY40" s="13">
        <f>BQ40</f>
        <v>0</v>
      </c>
      <c r="CZ40" s="13">
        <f>SUM(CT40:CX40)*(1+BW40)</f>
        <v>1.7556458329873863</v>
      </c>
      <c r="DB40" s="13">
        <f>L40*DB$3</f>
        <v>0.21024743999999998</v>
      </c>
      <c r="DC40" s="13">
        <f>U40*DC$3</f>
        <v>0</v>
      </c>
      <c r="DD40" s="13">
        <f>AE40*DD$3</f>
        <v>1.672726896185786</v>
      </c>
      <c r="DE40" s="13">
        <f>AO40*DE$3</f>
        <v>0.24483687363834417</v>
      </c>
      <c r="DF40" s="13">
        <f>AY40*DF$3</f>
        <v>0.41120000000000001</v>
      </c>
      <c r="DG40" s="13">
        <f>BJ40*DG$3</f>
        <v>9.7046185606606189E-2</v>
      </c>
      <c r="DH40" s="13">
        <f>BS40</f>
        <v>2.7361864996520529E-2</v>
      </c>
      <c r="DI40" s="13">
        <f>SUM(DC40:DH40)*(1+CC40)</f>
        <v>5.0742517981185165</v>
      </c>
      <c r="DJ40">
        <v>2601</v>
      </c>
      <c r="DK40">
        <v>6904</v>
      </c>
      <c r="DL40" s="13">
        <f>N40*DL$3</f>
        <v>0.1076486</v>
      </c>
      <c r="DM40" s="13">
        <f>W40*DM$3</f>
        <v>0</v>
      </c>
      <c r="DN40" s="13">
        <f>AG40*DN$3</f>
        <v>0.61356799866842426</v>
      </c>
      <c r="DO40" s="13">
        <f>AQ40*DO$3</f>
        <v>0.46110576805420972</v>
      </c>
      <c r="DP40" s="13">
        <f>BB40*DP$3</f>
        <v>0.73863246396705551</v>
      </c>
      <c r="DQ40" s="13">
        <f>BL40*DQ$3</f>
        <v>0.17418524161950369</v>
      </c>
      <c r="DR40" s="13">
        <f>BU40</f>
        <v>4.8375706214689264E-2</v>
      </c>
      <c r="DS40" s="13">
        <f>SUM(DM40:DR40)*(1+CG40)</f>
        <v>2.9398729795989955</v>
      </c>
      <c r="EX40">
        <f>[1]_2012!A34</f>
        <v>213115</v>
      </c>
      <c r="EY40">
        <f>[1]_2012!B34</f>
        <v>0</v>
      </c>
      <c r="EZ40">
        <f>[1]_2012!C34</f>
        <v>0</v>
      </c>
      <c r="FA40">
        <f>[1]_2012!D34</f>
        <v>24170</v>
      </c>
      <c r="FB40">
        <f>[1]_2012!E34</f>
        <v>0</v>
      </c>
      <c r="FC40">
        <f>[1]_2012!F34</f>
        <v>0</v>
      </c>
      <c r="FD40">
        <f>[1]_2012!G34</f>
        <v>0</v>
      </c>
      <c r="FE40">
        <f>[1]_2012!H34</f>
        <v>9996</v>
      </c>
      <c r="FF40">
        <f>[1]_2012!I34</f>
        <v>0</v>
      </c>
      <c r="FG40">
        <f>[1]_2012!J34</f>
        <v>57</v>
      </c>
      <c r="FH40">
        <f>[1]_2012!K34</f>
        <v>0</v>
      </c>
      <c r="FI40">
        <f>[1]_2012!L34</f>
        <v>4178</v>
      </c>
      <c r="FJ40">
        <f>[1]_2012!M34</f>
        <v>0</v>
      </c>
      <c r="FK40">
        <f>[1]_2012!N34</f>
        <v>47458</v>
      </c>
      <c r="FL40">
        <f>[1]_2012!O34</f>
        <v>0</v>
      </c>
      <c r="FM40">
        <f>[1]_2012!P34</f>
        <v>0</v>
      </c>
      <c r="FN40">
        <f>[1]_2012!Q34</f>
        <v>0</v>
      </c>
      <c r="FO40">
        <f>[1]_2012!R34</f>
        <v>85859</v>
      </c>
      <c r="FP40">
        <f>[1]_2012!S34</f>
        <v>0</v>
      </c>
    </row>
    <row r="41" spans="1:172" x14ac:dyDescent="0.2">
      <c r="AK41" s="6"/>
      <c r="AL41" s="6"/>
      <c r="BH41" s="6"/>
      <c r="BI41" s="6"/>
      <c r="BJ41" s="6"/>
      <c r="BK41" s="6"/>
      <c r="BL41" s="6"/>
      <c r="BM41" s="6"/>
      <c r="BN41" s="6"/>
      <c r="BO41" s="16"/>
      <c r="BP41" s="6"/>
      <c r="BQ41" s="6"/>
      <c r="BR41" s="6"/>
      <c r="BS41" s="6"/>
      <c r="BT41" s="6"/>
      <c r="EX41" t="str">
        <f>[1]_2012!A35</f>
        <v>Grand Total</v>
      </c>
      <c r="EY41">
        <f>[1]_2012!B35</f>
        <v>32565</v>
      </c>
      <c r="EZ41">
        <f>[1]_2012!C35</f>
        <v>0</v>
      </c>
      <c r="FA41">
        <f>[1]_2012!D35</f>
        <v>4690055</v>
      </c>
      <c r="FB41">
        <f>[1]_2012!E35</f>
        <v>3888</v>
      </c>
      <c r="FC41">
        <f>[1]_2012!F35</f>
        <v>1246490</v>
      </c>
      <c r="FD41">
        <f>[1]_2012!G35</f>
        <v>0</v>
      </c>
      <c r="FE41">
        <f>[1]_2012!H35</f>
        <v>1588091</v>
      </c>
      <c r="FF41">
        <f>[1]_2012!I35</f>
        <v>0</v>
      </c>
      <c r="FG41">
        <f>[1]_2012!J35</f>
        <v>185845</v>
      </c>
      <c r="FH41">
        <f>[1]_2012!K35</f>
        <v>0</v>
      </c>
      <c r="FI41">
        <f>[1]_2012!L35</f>
        <v>1474544</v>
      </c>
      <c r="FJ41">
        <f>[1]_2012!M35</f>
        <v>59</v>
      </c>
      <c r="FK41">
        <f>[1]_2012!N35</f>
        <v>9692856</v>
      </c>
      <c r="FL41">
        <f>[1]_2012!O35</f>
        <v>0</v>
      </c>
      <c r="FM41">
        <f>[1]_2012!P35</f>
        <v>53393</v>
      </c>
      <c r="FN41">
        <f>[1]_2012!Q35</f>
        <v>0</v>
      </c>
      <c r="FO41">
        <f>[1]_2012!R35</f>
        <v>18963839</v>
      </c>
      <c r="FP41">
        <f>[1]_2012!S35</f>
        <v>3947</v>
      </c>
    </row>
    <row r="42" spans="1:172" x14ac:dyDescent="0.2">
      <c r="B42" s="60" t="s">
        <v>172</v>
      </c>
      <c r="K42" s="3">
        <f>SUM(K7:K34)</f>
        <v>78409475</v>
      </c>
      <c r="L42" s="3">
        <f>SUM(L7:L34)</f>
        <v>70158411.69255051</v>
      </c>
      <c r="M42" s="3"/>
      <c r="N42" s="3">
        <f>SUM(N7:N34)</f>
        <v>71400325</v>
      </c>
      <c r="O42" s="3"/>
      <c r="P42" s="3">
        <f>SUM(P7:P34)</f>
        <v>71291431.846275255</v>
      </c>
      <c r="AK42" s="6"/>
      <c r="AL42" s="6"/>
      <c r="EE42" t="s">
        <v>331</v>
      </c>
      <c r="EI42">
        <f>SUMPRODUCT(EK15:ES15,EK42:ES42)</f>
        <v>2.3766809035071508</v>
      </c>
      <c r="EK42" s="104">
        <f>BK32</f>
        <v>6.0422960725075518E-2</v>
      </c>
      <c r="EM42" s="104">
        <f>AF32</f>
        <v>0.56334340382678749</v>
      </c>
      <c r="EO42" s="104">
        <f>AP32</f>
        <v>0.12520652852040182</v>
      </c>
      <c r="EQ42" s="104">
        <f>AZ32</f>
        <v>7.2306143001007045E-2</v>
      </c>
      <c r="ES42">
        <v>0.1</v>
      </c>
    </row>
    <row r="43" spans="1:172" x14ac:dyDescent="0.2">
      <c r="K43">
        <f>0.000003412*K42</f>
        <v>267.53312870000002</v>
      </c>
      <c r="L43">
        <f>0.000003412*L42</f>
        <v>239.38050069498235</v>
      </c>
      <c r="M43">
        <f>0.000003412*M42</f>
        <v>0</v>
      </c>
      <c r="N43">
        <f>0.000003412*N42</f>
        <v>243.6179089</v>
      </c>
      <c r="P43">
        <f>0.000003412*P42</f>
        <v>243.24636545949119</v>
      </c>
    </row>
    <row r="44" spans="1:172" x14ac:dyDescent="0.2">
      <c r="CZ44" s="13">
        <f>SUM(CZ7:CZ33)</f>
        <v>721.68262878500741</v>
      </c>
      <c r="DI44" s="13">
        <f>SUM(DI7:DI33)</f>
        <v>644.33341321485511</v>
      </c>
      <c r="DK44" t="s">
        <v>57</v>
      </c>
      <c r="DS44" s="13">
        <f>SUM(DS7:DS33)</f>
        <v>583.77373622076038</v>
      </c>
    </row>
    <row r="45" spans="1:172" x14ac:dyDescent="0.2">
      <c r="N45">
        <f>SUM(N36:N40)</f>
        <v>2871885</v>
      </c>
    </row>
    <row r="46" spans="1:172" x14ac:dyDescent="0.2">
      <c r="N46">
        <f>0.000003412*N45</f>
        <v>9.7988716199999999</v>
      </c>
    </row>
    <row r="47" spans="1:172" x14ac:dyDescent="0.2">
      <c r="DG47" t="s">
        <v>60</v>
      </c>
      <c r="DI47" t="s">
        <v>64</v>
      </c>
      <c r="DJ47" t="s">
        <v>65</v>
      </c>
    </row>
    <row r="48" spans="1:172" x14ac:dyDescent="0.2">
      <c r="DD48" t="s">
        <v>52</v>
      </c>
      <c r="DG48" s="13">
        <f>DB7</f>
        <v>91.873415895999997</v>
      </c>
      <c r="DH48" s="13"/>
      <c r="DI48" s="13">
        <f>DI7</f>
        <v>210.51008737667502</v>
      </c>
      <c r="DJ48" s="13">
        <f>SUM(DG48:DI48)</f>
        <v>302.383503272675</v>
      </c>
    </row>
    <row r="49" spans="18:114" x14ac:dyDescent="0.2">
      <c r="DD49" t="s">
        <v>55</v>
      </c>
      <c r="DG49" s="13">
        <f>SUM(DB10:DB13)</f>
        <v>34.237430803999992</v>
      </c>
      <c r="DH49" s="13"/>
      <c r="DI49">
        <f>SUM(DI10:DI13)</f>
        <v>66.490436035399256</v>
      </c>
      <c r="DJ49" s="13">
        <f>SUM(DG49:DI49)</f>
        <v>100.72786683939924</v>
      </c>
    </row>
    <row r="50" spans="18:114" x14ac:dyDescent="0.2">
      <c r="DD50" t="s">
        <v>53</v>
      </c>
      <c r="DG50" s="13">
        <f>SUM(DB15:DB21)</f>
        <v>60.227951835999995</v>
      </c>
      <c r="DH50" s="13"/>
      <c r="DI50" s="13">
        <f>SUM(DI15:DI21)</f>
        <v>65.755539699387015</v>
      </c>
      <c r="DJ50" s="13">
        <f>SUM(DG50:DI50)</f>
        <v>125.983491535387</v>
      </c>
    </row>
    <row r="51" spans="18:114" x14ac:dyDescent="0.2">
      <c r="R51">
        <f>R31/Q31</f>
        <v>32.974945451809496</v>
      </c>
      <c r="DD51" s="12" t="s">
        <v>54</v>
      </c>
      <c r="DE51" s="12"/>
      <c r="DF51" s="12"/>
      <c r="DG51" s="22">
        <f>SUM(DB23:DB34)</f>
        <v>48.872978562982325</v>
      </c>
      <c r="DH51" s="22"/>
      <c r="DI51" s="22">
        <f>SUM(DI23:DI34)</f>
        <v>173.89248889435837</v>
      </c>
      <c r="DJ51" s="13">
        <f>SUM(DG51:DI51)</f>
        <v>222.76546745734069</v>
      </c>
    </row>
    <row r="52" spans="18:114" x14ac:dyDescent="0.2">
      <c r="DF52" t="s">
        <v>57</v>
      </c>
      <c r="DG52" s="13">
        <f>SUM(DG48:DG51)</f>
        <v>235.21177709898231</v>
      </c>
      <c r="DH52" s="13"/>
      <c r="DI52" s="13">
        <f>SUM(DI48:DI51)</f>
        <v>516.64855200581962</v>
      </c>
      <c r="DJ52" s="13">
        <f>SUM(DJ48:DJ51)</f>
        <v>751.86032910480196</v>
      </c>
    </row>
    <row r="53" spans="18:114" x14ac:dyDescent="0.2">
      <c r="DF53" t="s">
        <v>56</v>
      </c>
    </row>
  </sheetData>
  <mergeCells count="4">
    <mergeCell ref="BH3:BO3"/>
    <mergeCell ref="F5:G5"/>
    <mergeCell ref="H5:I5"/>
    <mergeCell ref="S3:Z3"/>
  </mergeCells>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A66"/>
  <sheetViews>
    <sheetView tabSelected="1" workbookViewId="0">
      <pane xSplit="4" ySplit="6" topLeftCell="GY34" activePane="bottomRight" state="frozen"/>
      <selection pane="topRight" activeCell="D1" sqref="D1"/>
      <selection pane="bottomLeft" activeCell="A5" sqref="A5"/>
      <selection pane="bottomRight" activeCell="D57" sqref="D57"/>
    </sheetView>
  </sheetViews>
  <sheetFormatPr defaultRowHeight="12.75" x14ac:dyDescent="0.2"/>
  <cols>
    <col min="1" max="1" width="0" hidden="1" customWidth="1"/>
    <col min="3" max="3" width="12.5703125" customWidth="1"/>
    <col min="4" max="4" width="38.140625" customWidth="1"/>
    <col min="5" max="5" width="15.140625" customWidth="1"/>
    <col min="6" max="6" width="13.28515625" customWidth="1"/>
    <col min="7" max="7" width="14.42578125" customWidth="1"/>
    <col min="8" max="8" width="10.5703125" customWidth="1"/>
    <col min="9" max="9" width="14.140625" customWidth="1"/>
    <col min="10" max="18" width="10.28515625" customWidth="1"/>
    <col min="19" max="19" width="12.5703125" customWidth="1"/>
    <col min="20" max="23" width="11.140625" customWidth="1"/>
    <col min="24" max="27" width="11.85546875" customWidth="1"/>
    <col min="28" max="29" width="10.28515625" customWidth="1"/>
    <col min="30" max="38" width="10.5703125" customWidth="1"/>
    <col min="39" max="44" width="10.42578125" customWidth="1"/>
    <col min="45" max="46" width="11" customWidth="1"/>
    <col min="47" max="47" width="10.140625" customWidth="1"/>
    <col min="48" max="48" width="11.5703125" customWidth="1"/>
    <col min="49" max="51" width="10.140625" customWidth="1"/>
    <col min="52" max="57" width="10.28515625" customWidth="1"/>
    <col min="58" max="64" width="10.42578125" customWidth="1"/>
    <col min="65" max="68" width="9.7109375" customWidth="1"/>
    <col min="73" max="73" width="12.42578125" bestFit="1" customWidth="1"/>
    <col min="74" max="78" width="12.42578125" customWidth="1"/>
    <col min="79" max="84" width="10.140625" customWidth="1"/>
    <col min="92" max="103" width="10.42578125" customWidth="1"/>
    <col min="104" max="104" width="12.28515625" customWidth="1"/>
    <col min="105" max="105" width="13.85546875" customWidth="1"/>
    <col min="106" max="111" width="12.28515625" customWidth="1"/>
    <col min="112" max="112" width="14.42578125" customWidth="1"/>
    <col min="113" max="116" width="12.28515625" customWidth="1"/>
    <col min="117" max="117" width="13.42578125" customWidth="1"/>
    <col min="118" max="118" width="12.28515625" customWidth="1"/>
    <col min="119" max="119" width="13.7109375" customWidth="1"/>
    <col min="120" max="123" width="12.28515625" customWidth="1"/>
    <col min="124" max="124" width="13.7109375" customWidth="1"/>
    <col min="125" max="127" width="12.28515625" customWidth="1"/>
    <col min="128" max="128" width="11.85546875" customWidth="1"/>
    <col min="129" max="129" width="14.7109375" customWidth="1"/>
    <col min="130" max="131" width="12.7109375" customWidth="1"/>
    <col min="132" max="132" width="13.42578125" customWidth="1"/>
    <col min="133" max="136" width="12.7109375" customWidth="1"/>
    <col min="137" max="139" width="11.42578125" customWidth="1"/>
    <col min="140" max="141" width="13.85546875" customWidth="1"/>
    <col min="142" max="142" width="11.42578125" customWidth="1"/>
    <col min="143" max="143" width="17.7109375" customWidth="1"/>
    <col min="144" max="164" width="11.42578125" customWidth="1"/>
    <col min="165" max="165" width="9.5703125" customWidth="1"/>
    <col min="166" max="166" width="10.140625" customWidth="1"/>
    <col min="167" max="167" width="10.42578125" customWidth="1"/>
    <col min="168" max="168" width="11.28515625" customWidth="1"/>
    <col min="169" max="169" width="11.42578125" customWidth="1"/>
    <col min="170" max="170" width="10.42578125" customWidth="1"/>
    <col min="171" max="171" width="11.42578125" customWidth="1"/>
    <col min="172" max="172" width="12.5703125" customWidth="1"/>
    <col min="173" max="173" width="11.42578125" customWidth="1"/>
    <col min="178" max="179" width="9.85546875" customWidth="1"/>
    <col min="183" max="183" width="12.5703125" bestFit="1" customWidth="1"/>
    <col min="190" max="190" width="9.5703125" bestFit="1" customWidth="1"/>
    <col min="191" max="198" width="9.5703125" customWidth="1"/>
    <col min="200" max="200" width="11.140625" customWidth="1"/>
    <col min="204" max="204" width="12.5703125" customWidth="1"/>
    <col min="205" max="205" width="38.140625" customWidth="1"/>
    <col min="209" max="209" width="10.28515625" bestFit="1" customWidth="1"/>
    <col min="210" max="210" width="10.140625" bestFit="1" customWidth="1"/>
    <col min="211" max="212" width="10.85546875" customWidth="1"/>
    <col min="223" max="223" width="10.42578125" customWidth="1"/>
    <col min="224" max="224" width="12.85546875" customWidth="1"/>
    <col min="226" max="226" width="12.85546875" customWidth="1"/>
    <col min="228" max="228" width="11.5703125" customWidth="1"/>
    <col min="230" max="230" width="11.28515625" customWidth="1"/>
    <col min="231" max="231" width="10.85546875" customWidth="1"/>
    <col min="232" max="233" width="11.42578125" customWidth="1"/>
    <col min="234" max="234" width="10.7109375" customWidth="1"/>
  </cols>
  <sheetData>
    <row r="1" spans="2:234" ht="15.75" x14ac:dyDescent="0.25">
      <c r="Y1" s="108" t="s">
        <v>435</v>
      </c>
      <c r="Z1" s="172" t="s">
        <v>436</v>
      </c>
      <c r="AA1" s="165"/>
      <c r="AB1" s="165"/>
      <c r="AD1" s="173" t="s">
        <v>437</v>
      </c>
      <c r="AE1" s="84"/>
      <c r="AF1" s="84"/>
      <c r="AG1" s="84"/>
      <c r="AT1">
        <f>(AT15*1000)/(AU15*42)</f>
        <v>951.50457706924158</v>
      </c>
      <c r="BV1" s="13"/>
      <c r="EP1" s="112">
        <v>1987</v>
      </c>
      <c r="EY1" s="112">
        <v>1992</v>
      </c>
      <c r="FH1" s="112">
        <v>1997</v>
      </c>
      <c r="FQ1" s="112">
        <v>2002</v>
      </c>
      <c r="GA1" s="112">
        <v>2007</v>
      </c>
      <c r="GK1" s="112">
        <v>2012</v>
      </c>
      <c r="GV1" s="108" t="s">
        <v>355</v>
      </c>
    </row>
    <row r="2" spans="2:234" x14ac:dyDescent="0.2">
      <c r="AY2" s="108" t="s">
        <v>208</v>
      </c>
      <c r="BE2" s="108" t="s">
        <v>434</v>
      </c>
      <c r="BF2" s="108" t="s">
        <v>433</v>
      </c>
      <c r="BG2">
        <f>BG11/(BH11*42)</f>
        <v>0.91673634234472112</v>
      </c>
      <c r="CG2" s="6"/>
      <c r="CH2" s="6"/>
      <c r="CI2" s="6"/>
      <c r="CJ2" s="6"/>
      <c r="CK2" s="6"/>
      <c r="CL2" s="6"/>
      <c r="CM2" s="6"/>
      <c r="CN2" s="16"/>
      <c r="CO2" s="6"/>
      <c r="CP2" s="6"/>
      <c r="CQ2" s="6"/>
      <c r="CR2" s="6"/>
      <c r="CS2" s="6"/>
      <c r="CT2" s="6"/>
      <c r="CU2" s="6"/>
      <c r="CV2" s="6"/>
      <c r="CW2" s="6"/>
      <c r="CX2" s="6"/>
      <c r="CY2" s="6"/>
      <c r="CZ2" s="16"/>
      <c r="DA2">
        <v>1987</v>
      </c>
      <c r="DC2">
        <v>1987</v>
      </c>
      <c r="DD2">
        <v>1987</v>
      </c>
      <c r="DE2">
        <v>1987</v>
      </c>
      <c r="DF2">
        <v>1987</v>
      </c>
      <c r="DH2">
        <v>1992</v>
      </c>
      <c r="DI2">
        <v>1992</v>
      </c>
      <c r="DJ2">
        <v>1992</v>
      </c>
      <c r="DK2">
        <v>1992</v>
      </c>
      <c r="DL2">
        <v>1992</v>
      </c>
      <c r="DM2">
        <v>1992</v>
      </c>
      <c r="DO2">
        <v>1997</v>
      </c>
      <c r="DQ2">
        <v>1997</v>
      </c>
      <c r="DR2">
        <v>1997</v>
      </c>
      <c r="DS2">
        <v>1997</v>
      </c>
      <c r="DT2">
        <v>1997</v>
      </c>
      <c r="DU2">
        <v>2002</v>
      </c>
      <c r="DX2">
        <v>2002</v>
      </c>
      <c r="DY2">
        <v>2002</v>
      </c>
      <c r="DZ2">
        <v>2007</v>
      </c>
      <c r="EA2">
        <v>2007</v>
      </c>
      <c r="EP2" s="12" t="s">
        <v>60</v>
      </c>
      <c r="EQ2" s="12" t="s">
        <v>45</v>
      </c>
      <c r="ER2" s="12" t="s">
        <v>46</v>
      </c>
      <c r="ES2" s="12" t="s">
        <v>8</v>
      </c>
      <c r="ET2" s="12" t="s">
        <v>47</v>
      </c>
      <c r="EU2" s="12" t="s">
        <v>11</v>
      </c>
      <c r="EV2" s="57" t="s">
        <v>320</v>
      </c>
      <c r="EW2" s="12" t="s">
        <v>63</v>
      </c>
      <c r="EY2" s="12" t="s">
        <v>60</v>
      </c>
      <c r="EZ2" s="12" t="s">
        <v>45</v>
      </c>
      <c r="FA2" s="12" t="s">
        <v>46</v>
      </c>
      <c r="FB2" s="12" t="s">
        <v>8</v>
      </c>
      <c r="FC2" s="12" t="s">
        <v>47</v>
      </c>
      <c r="FD2" s="12" t="s">
        <v>11</v>
      </c>
      <c r="FE2" s="57" t="s">
        <v>320</v>
      </c>
      <c r="FF2" s="12" t="s">
        <v>63</v>
      </c>
      <c r="FH2" s="12" t="s">
        <v>60</v>
      </c>
      <c r="FI2" s="12" t="s">
        <v>45</v>
      </c>
      <c r="FJ2" s="12" t="s">
        <v>46</v>
      </c>
      <c r="FK2" s="12" t="s">
        <v>8</v>
      </c>
      <c r="FL2" s="12" t="s">
        <v>47</v>
      </c>
      <c r="FM2" s="12" t="s">
        <v>11</v>
      </c>
      <c r="FN2" s="57" t="s">
        <v>320</v>
      </c>
      <c r="FO2" s="12" t="s">
        <v>63</v>
      </c>
      <c r="FQ2" s="12" t="s">
        <v>60</v>
      </c>
      <c r="FR2" s="12" t="s">
        <v>45</v>
      </c>
      <c r="FS2" s="12" t="s">
        <v>46</v>
      </c>
      <c r="FT2" s="12" t="s">
        <v>8</v>
      </c>
      <c r="FU2" s="12" t="s">
        <v>47</v>
      </c>
      <c r="FV2" s="12" t="s">
        <v>11</v>
      </c>
      <c r="FW2" s="57" t="s">
        <v>320</v>
      </c>
      <c r="FX2" s="12" t="s">
        <v>63</v>
      </c>
      <c r="GA2" s="12" t="s">
        <v>60</v>
      </c>
      <c r="GB2" s="12" t="s">
        <v>45</v>
      </c>
      <c r="GC2" s="12" t="s">
        <v>46</v>
      </c>
      <c r="GD2" s="12" t="s">
        <v>8</v>
      </c>
      <c r="GE2" s="12" t="s">
        <v>47</v>
      </c>
      <c r="GF2" s="12" t="s">
        <v>11</v>
      </c>
      <c r="GG2" s="57" t="s">
        <v>320</v>
      </c>
      <c r="GH2" s="12" t="s">
        <v>63</v>
      </c>
      <c r="GI2" s="6"/>
      <c r="GK2" s="12" t="s">
        <v>60</v>
      </c>
      <c r="GL2" s="12" t="s">
        <v>45</v>
      </c>
      <c r="GM2" s="12" t="s">
        <v>46</v>
      </c>
      <c r="GN2" s="12" t="s">
        <v>8</v>
      </c>
      <c r="GO2" s="12" t="s">
        <v>47</v>
      </c>
      <c r="GP2" s="12" t="s">
        <v>11</v>
      </c>
      <c r="GQ2" s="57" t="s">
        <v>320</v>
      </c>
      <c r="GR2" s="12" t="s">
        <v>63</v>
      </c>
      <c r="GS2" s="6"/>
    </row>
    <row r="3" spans="2:234" x14ac:dyDescent="0.2">
      <c r="D3" s="10" t="s">
        <v>67</v>
      </c>
      <c r="Q3" s="205" t="s">
        <v>58</v>
      </c>
      <c r="R3" s="205"/>
      <c r="S3" s="205"/>
      <c r="T3" s="205"/>
      <c r="U3" s="205"/>
      <c r="V3" s="205"/>
      <c r="W3" s="205"/>
      <c r="X3" s="205"/>
      <c r="Y3" s="126" t="s">
        <v>2</v>
      </c>
      <c r="Z3" s="54"/>
      <c r="AA3" s="54"/>
      <c r="AD3" s="233" t="s">
        <v>2</v>
      </c>
      <c r="AE3" s="233"/>
      <c r="AF3" s="233"/>
      <c r="AG3" s="233"/>
      <c r="AH3" s="233"/>
      <c r="AI3" s="233"/>
      <c r="AJ3" s="233"/>
      <c r="AK3" s="233"/>
      <c r="AL3" s="233"/>
      <c r="AM3" s="234"/>
      <c r="AN3" s="53"/>
      <c r="AO3" s="53"/>
      <c r="AP3" s="53"/>
      <c r="AQ3" s="54"/>
      <c r="AR3" s="54"/>
      <c r="AS3" s="227" t="s">
        <v>6</v>
      </c>
      <c r="AT3" s="228"/>
      <c r="AU3" s="228"/>
      <c r="AV3" s="228"/>
      <c r="AW3" s="228"/>
      <c r="AX3" s="228"/>
      <c r="AY3" s="228"/>
      <c r="AZ3" s="232"/>
      <c r="BA3" s="132" t="s">
        <v>40</v>
      </c>
      <c r="BB3" s="53"/>
      <c r="BC3" s="53"/>
      <c r="BD3" s="53"/>
      <c r="BE3" s="53"/>
      <c r="BF3" s="228" t="s">
        <v>8</v>
      </c>
      <c r="BG3" s="228"/>
      <c r="BH3" s="228"/>
      <c r="BI3" s="228"/>
      <c r="BJ3" s="228"/>
      <c r="BK3" s="228"/>
      <c r="BL3" s="228"/>
      <c r="BM3" s="232"/>
      <c r="BN3" s="53"/>
      <c r="BO3" s="53"/>
      <c r="BP3" s="157"/>
      <c r="BQ3" s="228" t="s">
        <v>9</v>
      </c>
      <c r="BR3" s="228"/>
      <c r="BS3" s="228"/>
      <c r="BT3" s="228"/>
      <c r="BU3" s="228"/>
      <c r="BV3" s="228"/>
      <c r="BW3" s="228"/>
      <c r="BX3" s="228"/>
      <c r="BY3" s="228"/>
      <c r="BZ3" s="228"/>
      <c r="CA3" s="232"/>
      <c r="CB3" s="132" t="s">
        <v>11</v>
      </c>
      <c r="CC3" s="53"/>
      <c r="CD3" s="53"/>
      <c r="CE3" s="53"/>
      <c r="CF3" s="53"/>
      <c r="CG3" s="228" t="s">
        <v>11</v>
      </c>
      <c r="CH3" s="228"/>
      <c r="CI3" s="228"/>
      <c r="CJ3" s="228"/>
      <c r="CK3" s="228"/>
      <c r="CL3" s="228"/>
      <c r="CM3" s="228"/>
      <c r="CN3" s="232"/>
      <c r="CO3" s="132" t="s">
        <v>318</v>
      </c>
      <c r="CP3" s="132" t="s">
        <v>318</v>
      </c>
      <c r="CQ3" s="132" t="s">
        <v>318</v>
      </c>
      <c r="CR3" s="132" t="s">
        <v>318</v>
      </c>
      <c r="CS3" s="132" t="s">
        <v>318</v>
      </c>
      <c r="CT3" s="132" t="s">
        <v>318</v>
      </c>
      <c r="CU3" s="132" t="s">
        <v>318</v>
      </c>
      <c r="CV3" s="87" t="s">
        <v>318</v>
      </c>
      <c r="CW3" s="53"/>
      <c r="CX3" s="157"/>
      <c r="CY3" s="157"/>
      <c r="CZ3" s="16"/>
      <c r="DA3" s="113" t="s">
        <v>337</v>
      </c>
      <c r="DB3" s="113" t="s">
        <v>13</v>
      </c>
      <c r="DC3" s="117" t="s">
        <v>338</v>
      </c>
      <c r="DD3" s="6" t="s">
        <v>89</v>
      </c>
      <c r="DE3" s="88" t="s">
        <v>321</v>
      </c>
      <c r="DF3" t="s">
        <v>90</v>
      </c>
      <c r="DH3" s="114" t="s">
        <v>337</v>
      </c>
      <c r="DI3" s="113" t="s">
        <v>13</v>
      </c>
      <c r="DJ3" s="117" t="s">
        <v>338</v>
      </c>
      <c r="DK3" s="6" t="s">
        <v>89</v>
      </c>
      <c r="DL3" s="88" t="s">
        <v>321</v>
      </c>
      <c r="DM3" t="s">
        <v>90</v>
      </c>
      <c r="DO3" s="114" t="s">
        <v>337</v>
      </c>
      <c r="DP3" s="113" t="s">
        <v>13</v>
      </c>
      <c r="DQ3" s="117" t="s">
        <v>338</v>
      </c>
      <c r="DR3" s="6" t="s">
        <v>89</v>
      </c>
      <c r="DS3" s="88" t="s">
        <v>321</v>
      </c>
      <c r="DT3" t="s">
        <v>90</v>
      </c>
      <c r="DU3" s="4" t="s">
        <v>13</v>
      </c>
      <c r="DV3" s="88" t="s">
        <v>13</v>
      </c>
      <c r="DW3" s="117" t="s">
        <v>338</v>
      </c>
      <c r="DX3" s="6" t="s">
        <v>89</v>
      </c>
      <c r="DY3" t="s">
        <v>90</v>
      </c>
      <c r="DZ3" s="60" t="s">
        <v>322</v>
      </c>
      <c r="EA3" s="60" t="s">
        <v>13</v>
      </c>
      <c r="EB3" s="60" t="s">
        <v>168</v>
      </c>
      <c r="EC3" s="61" t="s">
        <v>321</v>
      </c>
      <c r="ED3" s="60" t="s">
        <v>167</v>
      </c>
      <c r="EE3" s="60" t="s">
        <v>330</v>
      </c>
      <c r="EF3" s="108" t="s">
        <v>334</v>
      </c>
      <c r="EH3" s="60" t="s">
        <v>322</v>
      </c>
      <c r="EI3" s="60" t="s">
        <v>13</v>
      </c>
      <c r="EJ3" s="108" t="s">
        <v>418</v>
      </c>
      <c r="EK3" s="108" t="s">
        <v>438</v>
      </c>
      <c r="EL3" s="117" t="s">
        <v>441</v>
      </c>
      <c r="EM3" s="108" t="s">
        <v>419</v>
      </c>
      <c r="EP3">
        <f>Conversion_Factors!$G$11</f>
        <v>3.4119999999999997E-6</v>
      </c>
      <c r="EQ3">
        <f>Conversion_Factors!$G$6</f>
        <v>2.0742E-2</v>
      </c>
      <c r="ER3">
        <f>Conversion_Factors!$G$7</f>
        <v>5.8249999999999994E-3</v>
      </c>
      <c r="ES3">
        <f>Conversion_Factors!$G$8</f>
        <v>6.2870000000000001E-3</v>
      </c>
      <c r="ET3">
        <f>Conversion_Factors!$G$9</f>
        <v>1.028</v>
      </c>
      <c r="EU3">
        <f>Conversion_Factors!$G$10</f>
        <v>0.12507142857142858</v>
      </c>
      <c r="EY3">
        <f>Conversion_Factors!$G$11</f>
        <v>3.4119999999999997E-6</v>
      </c>
      <c r="EZ3">
        <f>Conversion_Factors!$G$6</f>
        <v>2.0742E-2</v>
      </c>
      <c r="FA3">
        <f>Conversion_Factors!$G$7</f>
        <v>5.8249999999999994E-3</v>
      </c>
      <c r="FB3">
        <f>Conversion_Factors!$G$8</f>
        <v>6.2870000000000001E-3</v>
      </c>
      <c r="FC3">
        <f>Conversion_Factors!$G$9</f>
        <v>1.028</v>
      </c>
      <c r="FD3">
        <f>Conversion_Factors!$G$10</f>
        <v>0.12507142857142858</v>
      </c>
      <c r="FH3">
        <f>Conversion_Factors!$G$11</f>
        <v>3.4119999999999997E-6</v>
      </c>
      <c r="FI3">
        <f>Conversion_Factors!$G$6</f>
        <v>2.0742E-2</v>
      </c>
      <c r="FJ3">
        <f>Conversion_Factors!$G$7</f>
        <v>5.8249999999999994E-3</v>
      </c>
      <c r="FK3">
        <f>Conversion_Factors!$G$8</f>
        <v>6.2870000000000001E-3</v>
      </c>
      <c r="FL3">
        <f>Conversion_Factors!$G$9</f>
        <v>1.028</v>
      </c>
      <c r="FM3">
        <f>Conversion_Factors!$G$10</f>
        <v>0.12507142857142858</v>
      </c>
      <c r="FQ3">
        <f>Conversion_Factors!$G$11</f>
        <v>3.4119999999999997E-6</v>
      </c>
      <c r="FR3">
        <f>Conversion_Factors!$G$6</f>
        <v>2.0742E-2</v>
      </c>
      <c r="FS3">
        <f>Conversion_Factors!$G$7</f>
        <v>5.8249999999999994E-3</v>
      </c>
      <c r="FT3">
        <f>Conversion_Factors!$G$8</f>
        <v>6.2870000000000001E-3</v>
      </c>
      <c r="FU3">
        <f>Conversion_Factors!$G$9</f>
        <v>1.028</v>
      </c>
      <c r="FV3">
        <f>Conversion_Factors!$G$10</f>
        <v>0.12507142857142858</v>
      </c>
      <c r="FZ3" t="s">
        <v>44</v>
      </c>
      <c r="GA3">
        <f>Conversion_Factors!$G$11</f>
        <v>3.4119999999999997E-6</v>
      </c>
      <c r="GB3">
        <f>Conversion_Factors!$G$6</f>
        <v>2.0742E-2</v>
      </c>
      <c r="GC3">
        <f>Conversion_Factors!$G$7</f>
        <v>5.8249999999999994E-3</v>
      </c>
      <c r="GD3">
        <f>Conversion_Factors!$G$8</f>
        <v>6.2870000000000001E-3</v>
      </c>
      <c r="GE3">
        <f>Conversion_Factors!$G$9</f>
        <v>1.028</v>
      </c>
      <c r="GF3">
        <f>Conversion_Factors!$G$10</f>
        <v>0.12507142857142858</v>
      </c>
      <c r="GJ3" t="s">
        <v>44</v>
      </c>
      <c r="GK3">
        <f>Conversion_Factors!$G$11</f>
        <v>3.4119999999999997E-6</v>
      </c>
      <c r="GL3">
        <f>Conversion_Factors!$G$6</f>
        <v>2.0742E-2</v>
      </c>
      <c r="GM3">
        <f>Conversion_Factors!$G$7</f>
        <v>5.8249999999999994E-3</v>
      </c>
      <c r="GN3">
        <f>Conversion_Factors!$G$8</f>
        <v>6.2870000000000001E-3</v>
      </c>
      <c r="GO3">
        <f>Conversion_Factors!$G$9</f>
        <v>1.028</v>
      </c>
      <c r="GP3">
        <f>Conversion_Factors!$G$10</f>
        <v>0.12507142857142858</v>
      </c>
    </row>
    <row r="4" spans="2:234" x14ac:dyDescent="0.2">
      <c r="D4" s="10"/>
      <c r="Q4" s="54"/>
      <c r="R4" s="54"/>
      <c r="S4" s="54"/>
      <c r="T4" s="54"/>
      <c r="U4" s="54"/>
      <c r="V4" s="158"/>
      <c r="W4" s="190"/>
      <c r="X4" s="54"/>
      <c r="Y4" s="54"/>
      <c r="Z4" s="54"/>
      <c r="AA4" s="54"/>
      <c r="AD4" s="53"/>
      <c r="AE4" s="53"/>
      <c r="AF4" s="53"/>
      <c r="AG4" s="89">
        <f>HP15</f>
        <v>1.5355664283025967</v>
      </c>
      <c r="AH4" s="53"/>
      <c r="AI4" s="89">
        <f>HP16</f>
        <v>1.6186274509803924</v>
      </c>
      <c r="AJ4" s="157"/>
      <c r="AK4" s="189"/>
      <c r="AL4" s="189"/>
      <c r="AM4" s="159"/>
      <c r="AN4" s="53"/>
      <c r="AO4" s="53"/>
      <c r="AP4" s="53"/>
      <c r="AQ4" s="54"/>
      <c r="AR4" s="54"/>
      <c r="AS4" s="53"/>
      <c r="AT4" s="53"/>
      <c r="AU4" s="89">
        <f>HT14</f>
        <v>1.1722689075630253</v>
      </c>
      <c r="AV4" s="53"/>
      <c r="AW4" s="89">
        <f>HT15</f>
        <v>2.8052568697729989</v>
      </c>
      <c r="AX4" s="168">
        <f>HU16</f>
        <v>2.6162101576182137</v>
      </c>
      <c r="AY4" s="89">
        <f>HT16</f>
        <v>1.3993661058653719</v>
      </c>
      <c r="AZ4" s="159"/>
      <c r="BA4" s="53"/>
      <c r="BB4" s="53"/>
      <c r="BC4" s="53"/>
      <c r="BD4" s="53"/>
      <c r="BE4" s="53"/>
      <c r="BF4" s="53"/>
      <c r="BG4" s="168">
        <f>HU14</f>
        <v>0.56100000000000005</v>
      </c>
      <c r="BH4" s="53"/>
      <c r="BI4" s="79">
        <f>HU15</f>
        <v>1.3759999999999999</v>
      </c>
      <c r="BJ4" s="90">
        <f>HV15</f>
        <v>2.4527629233511581</v>
      </c>
      <c r="BK4" s="168">
        <f>HU16</f>
        <v>2.6162101576182137</v>
      </c>
      <c r="BL4" s="89">
        <f>HV16</f>
        <v>1.9013155215248647</v>
      </c>
      <c r="BM4" s="16"/>
      <c r="BN4" s="53"/>
      <c r="BO4" s="53"/>
      <c r="BP4" s="53"/>
      <c r="BQ4" s="53"/>
      <c r="BR4" s="53"/>
      <c r="BS4" s="53"/>
      <c r="BT4" s="53"/>
      <c r="BU4" s="53"/>
      <c r="BV4" s="89">
        <f>HX14</f>
        <v>1.1197771587743732</v>
      </c>
      <c r="BW4" s="53"/>
      <c r="BX4" s="89">
        <f>HX15</f>
        <v>1.91044776119403</v>
      </c>
      <c r="BY4" s="89"/>
      <c r="BZ4" s="89">
        <f>HX16</f>
        <v>0.50520833333333337</v>
      </c>
      <c r="CA4" s="56"/>
      <c r="CB4" s="53"/>
      <c r="CC4" s="53"/>
      <c r="CD4" s="53"/>
      <c r="CE4" s="53"/>
      <c r="CF4" s="53"/>
      <c r="CG4" s="53"/>
      <c r="CH4" s="53"/>
      <c r="CI4" s="53"/>
      <c r="CK4" s="89">
        <f>HR15</f>
        <v>2.5493895671476139</v>
      </c>
      <c r="CL4" s="79">
        <f>HQ16</f>
        <v>3.0894405117270787</v>
      </c>
      <c r="CM4" s="89">
        <f>HR16</f>
        <v>1.3449893390191896</v>
      </c>
      <c r="CN4" s="56"/>
      <c r="CO4" s="53"/>
      <c r="CP4" s="53"/>
      <c r="CQ4" s="53"/>
      <c r="CR4" s="53"/>
      <c r="CS4" s="53"/>
      <c r="CT4" s="53"/>
      <c r="CU4" s="53"/>
      <c r="CV4" s="87"/>
      <c r="CW4" s="53"/>
      <c r="CX4" s="157"/>
      <c r="CY4" s="157"/>
      <c r="CZ4" s="16"/>
      <c r="DU4" s="4"/>
      <c r="DV4" s="6"/>
      <c r="DW4" s="6"/>
      <c r="DX4" s="6"/>
      <c r="EA4" s="60"/>
      <c r="EB4" s="60"/>
      <c r="EC4" s="61"/>
      <c r="ED4" s="60"/>
      <c r="EE4" s="60"/>
      <c r="EF4" s="60"/>
      <c r="EJ4" s="108" t="s">
        <v>439</v>
      </c>
      <c r="EK4" s="108" t="s">
        <v>440</v>
      </c>
      <c r="EL4" s="108" t="s">
        <v>442</v>
      </c>
      <c r="EM4" s="178" t="s">
        <v>443</v>
      </c>
    </row>
    <row r="5" spans="2:234" ht="25.5" x14ac:dyDescent="0.2">
      <c r="E5">
        <v>1992</v>
      </c>
      <c r="F5">
        <v>1992</v>
      </c>
      <c r="G5" s="229">
        <v>1997</v>
      </c>
      <c r="H5" s="229"/>
      <c r="I5" s="229">
        <v>2002</v>
      </c>
      <c r="J5" s="229"/>
      <c r="K5" s="229">
        <v>2007</v>
      </c>
      <c r="L5" s="229"/>
      <c r="M5" s="229">
        <v>2012</v>
      </c>
      <c r="N5" s="229"/>
      <c r="O5" s="106">
        <v>1987</v>
      </c>
      <c r="P5" s="106">
        <v>1992</v>
      </c>
      <c r="Q5" s="106">
        <v>1992</v>
      </c>
      <c r="R5" s="6">
        <v>1997</v>
      </c>
      <c r="S5" s="6">
        <v>2002</v>
      </c>
      <c r="T5" s="8">
        <v>2007</v>
      </c>
      <c r="U5" s="8">
        <v>2007</v>
      </c>
      <c r="V5" s="8">
        <v>2012</v>
      </c>
      <c r="W5" s="8">
        <v>2017</v>
      </c>
      <c r="X5" s="15" t="s">
        <v>3</v>
      </c>
      <c r="Y5" s="63">
        <v>1987</v>
      </c>
      <c r="Z5" s="6">
        <v>1987</v>
      </c>
      <c r="AA5" s="63">
        <v>1992</v>
      </c>
      <c r="AB5" s="6">
        <v>1992</v>
      </c>
      <c r="AC5" s="63">
        <v>1997</v>
      </c>
      <c r="AD5" s="6">
        <v>1997</v>
      </c>
      <c r="AE5" s="63">
        <v>2002</v>
      </c>
      <c r="AF5" s="6">
        <v>2002</v>
      </c>
      <c r="AG5" s="8">
        <v>2007</v>
      </c>
      <c r="AH5" s="8">
        <v>2007</v>
      </c>
      <c r="AI5" s="8">
        <v>2012</v>
      </c>
      <c r="AJ5" s="8">
        <v>2012</v>
      </c>
      <c r="AK5" s="8">
        <v>2017</v>
      </c>
      <c r="AL5" s="8">
        <v>2017</v>
      </c>
      <c r="AM5" s="15" t="s">
        <v>3</v>
      </c>
      <c r="AN5" s="63">
        <v>1987</v>
      </c>
      <c r="AO5" s="6">
        <v>1987</v>
      </c>
      <c r="AP5" s="63">
        <v>1992</v>
      </c>
      <c r="AQ5" s="55">
        <v>1992</v>
      </c>
      <c r="AR5" s="63">
        <v>1997</v>
      </c>
      <c r="AS5" s="6">
        <v>1997</v>
      </c>
      <c r="AT5" s="63">
        <v>2002</v>
      </c>
      <c r="AU5" s="6">
        <v>2002</v>
      </c>
      <c r="AV5" s="8">
        <v>2007</v>
      </c>
      <c r="AW5" s="6"/>
      <c r="AX5" s="63">
        <v>2012</v>
      </c>
      <c r="AY5" s="6">
        <v>2012</v>
      </c>
      <c r="AZ5" s="15" t="s">
        <v>3</v>
      </c>
      <c r="BA5" s="63">
        <v>1987</v>
      </c>
      <c r="BB5" s="6">
        <v>1987</v>
      </c>
      <c r="BC5" s="63">
        <v>1992</v>
      </c>
      <c r="BD5" s="6">
        <v>1992</v>
      </c>
      <c r="BE5" s="63">
        <v>1997</v>
      </c>
      <c r="BF5" s="6">
        <v>1997</v>
      </c>
      <c r="BG5" s="63">
        <v>2002</v>
      </c>
      <c r="BH5" s="6">
        <v>2002</v>
      </c>
      <c r="BI5" s="8">
        <v>2007</v>
      </c>
      <c r="BJ5" s="6"/>
      <c r="BK5" s="63">
        <v>2012</v>
      </c>
      <c r="BL5" s="6">
        <v>2012</v>
      </c>
      <c r="BM5" s="15" t="s">
        <v>3</v>
      </c>
      <c r="BN5" s="63">
        <v>1987</v>
      </c>
      <c r="BO5" s="6">
        <v>1987</v>
      </c>
      <c r="BP5" s="63">
        <v>1992</v>
      </c>
      <c r="BQ5" s="8">
        <v>1992</v>
      </c>
      <c r="BR5" s="63">
        <v>1997</v>
      </c>
      <c r="BS5" s="6">
        <v>1997</v>
      </c>
      <c r="BT5" s="63">
        <v>2002</v>
      </c>
      <c r="BU5" s="6">
        <v>2002</v>
      </c>
      <c r="BV5" s="6">
        <v>2002</v>
      </c>
      <c r="BW5" s="8">
        <v>2007</v>
      </c>
      <c r="BX5" s="8">
        <v>2007</v>
      </c>
      <c r="BY5" s="6">
        <v>2012</v>
      </c>
      <c r="BZ5" s="6">
        <v>2012</v>
      </c>
      <c r="CA5" s="15" t="s">
        <v>3</v>
      </c>
      <c r="CB5" s="63">
        <v>1987</v>
      </c>
      <c r="CC5" s="53">
        <v>1987</v>
      </c>
      <c r="CD5" s="63">
        <v>1992</v>
      </c>
      <c r="CE5" s="53">
        <v>1992</v>
      </c>
      <c r="CF5" s="63">
        <v>1997</v>
      </c>
      <c r="CG5" s="53">
        <v>1997</v>
      </c>
      <c r="CH5" s="63">
        <v>2002</v>
      </c>
      <c r="CI5" s="6">
        <v>2002</v>
      </c>
      <c r="CJ5" s="63">
        <v>2007</v>
      </c>
      <c r="CK5" s="63">
        <v>2007</v>
      </c>
      <c r="CL5" s="63">
        <v>2012</v>
      </c>
      <c r="CM5" s="63">
        <v>2012</v>
      </c>
      <c r="CN5" s="15" t="s">
        <v>3</v>
      </c>
      <c r="CO5" s="63">
        <v>1987</v>
      </c>
      <c r="CP5" s="128">
        <v>1987</v>
      </c>
      <c r="CQ5" s="63">
        <v>1992</v>
      </c>
      <c r="CR5" s="128">
        <v>1992</v>
      </c>
      <c r="CS5" s="63">
        <v>1997</v>
      </c>
      <c r="CT5" s="128">
        <v>1997</v>
      </c>
      <c r="CU5" s="63">
        <v>2002</v>
      </c>
      <c r="CV5" s="55">
        <v>2002</v>
      </c>
      <c r="CW5" s="8">
        <v>2007</v>
      </c>
      <c r="CX5" s="6">
        <v>2007</v>
      </c>
      <c r="CY5" s="8">
        <v>2012</v>
      </c>
      <c r="CZ5" s="16">
        <v>2012</v>
      </c>
      <c r="DU5" s="4"/>
      <c r="DV5" s="6"/>
      <c r="DW5" s="6"/>
      <c r="DX5" s="6"/>
      <c r="GT5" t="s">
        <v>333</v>
      </c>
      <c r="GX5" s="108" t="s">
        <v>58</v>
      </c>
      <c r="HF5" s="108" t="s">
        <v>356</v>
      </c>
    </row>
    <row r="6" spans="2:234" x14ac:dyDescent="0.2">
      <c r="B6" s="108" t="s">
        <v>431</v>
      </c>
      <c r="C6" s="12"/>
      <c r="D6" s="12"/>
      <c r="E6" s="12" t="s">
        <v>1</v>
      </c>
      <c r="F6" s="12" t="s">
        <v>0</v>
      </c>
      <c r="G6" s="12" t="s">
        <v>1</v>
      </c>
      <c r="H6" s="12" t="s">
        <v>0</v>
      </c>
      <c r="I6" s="12" t="s">
        <v>1</v>
      </c>
      <c r="J6" s="12" t="s">
        <v>0</v>
      </c>
      <c r="K6" s="12" t="s">
        <v>1</v>
      </c>
      <c r="L6" s="12" t="s">
        <v>0</v>
      </c>
      <c r="M6" s="12" t="s">
        <v>1</v>
      </c>
      <c r="N6" s="12" t="s">
        <v>0</v>
      </c>
      <c r="O6" s="127" t="s">
        <v>59</v>
      </c>
      <c r="P6" s="127" t="s">
        <v>59</v>
      </c>
      <c r="Q6" s="127" t="s">
        <v>59</v>
      </c>
      <c r="R6" s="12"/>
      <c r="S6" s="12"/>
      <c r="T6" s="57" t="s">
        <v>170</v>
      </c>
      <c r="U6" s="57" t="s">
        <v>171</v>
      </c>
      <c r="V6" s="57"/>
      <c r="W6" s="57"/>
      <c r="X6" s="17"/>
      <c r="Y6" s="67" t="s">
        <v>166</v>
      </c>
      <c r="Z6" s="12" t="s">
        <v>4</v>
      </c>
      <c r="AA6" s="67" t="s">
        <v>166</v>
      </c>
      <c r="AB6" s="12" t="s">
        <v>4</v>
      </c>
      <c r="AC6" s="67" t="s">
        <v>166</v>
      </c>
      <c r="AD6" s="12" t="s">
        <v>4</v>
      </c>
      <c r="AE6" s="67" t="s">
        <v>166</v>
      </c>
      <c r="AF6" s="12" t="s">
        <v>4</v>
      </c>
      <c r="AG6" s="57" t="s">
        <v>166</v>
      </c>
      <c r="AH6" s="12" t="s">
        <v>4</v>
      </c>
      <c r="AI6" s="57" t="s">
        <v>166</v>
      </c>
      <c r="AJ6" s="6" t="s">
        <v>4</v>
      </c>
      <c r="AK6" s="57" t="s">
        <v>166</v>
      </c>
      <c r="AL6" s="6" t="s">
        <v>4</v>
      </c>
      <c r="AM6" s="16" t="s">
        <v>4</v>
      </c>
      <c r="AN6" s="67" t="s">
        <v>166</v>
      </c>
      <c r="AO6" s="12" t="s">
        <v>7</v>
      </c>
      <c r="AP6" s="67" t="s">
        <v>166</v>
      </c>
      <c r="AQ6" s="12" t="s">
        <v>7</v>
      </c>
      <c r="AR6" s="67" t="s">
        <v>166</v>
      </c>
      <c r="AS6" s="12" t="s">
        <v>7</v>
      </c>
      <c r="AT6" s="67" t="s">
        <v>166</v>
      </c>
      <c r="AU6" s="12" t="s">
        <v>7</v>
      </c>
      <c r="AV6" s="57" t="s">
        <v>166</v>
      </c>
      <c r="AW6" s="12" t="s">
        <v>7</v>
      </c>
      <c r="AX6" s="87" t="s">
        <v>166</v>
      </c>
      <c r="AY6" s="6" t="s">
        <v>7</v>
      </c>
      <c r="AZ6" s="16" t="s">
        <v>7</v>
      </c>
      <c r="BA6" s="67" t="s">
        <v>166</v>
      </c>
      <c r="BB6" s="12" t="s">
        <v>7</v>
      </c>
      <c r="BC6" s="67" t="s">
        <v>166</v>
      </c>
      <c r="BD6" s="12" t="s">
        <v>7</v>
      </c>
      <c r="BE6" s="67" t="s">
        <v>166</v>
      </c>
      <c r="BF6" s="12" t="s">
        <v>7</v>
      </c>
      <c r="BG6" s="67" t="s">
        <v>166</v>
      </c>
      <c r="BH6" s="12" t="s">
        <v>7</v>
      </c>
      <c r="BI6" s="57" t="s">
        <v>166</v>
      </c>
      <c r="BJ6" s="12" t="s">
        <v>7</v>
      </c>
      <c r="BK6" s="67" t="s">
        <v>166</v>
      </c>
      <c r="BL6" s="6" t="s">
        <v>7</v>
      </c>
      <c r="BM6" s="16" t="s">
        <v>7</v>
      </c>
      <c r="BN6" s="67" t="s">
        <v>166</v>
      </c>
      <c r="BO6" s="12" t="s">
        <v>10</v>
      </c>
      <c r="BP6" s="67" t="s">
        <v>166</v>
      </c>
      <c r="BQ6" s="12" t="s">
        <v>10</v>
      </c>
      <c r="BR6" s="67" t="s">
        <v>166</v>
      </c>
      <c r="BS6" s="12" t="s">
        <v>10</v>
      </c>
      <c r="BT6" s="67" t="s">
        <v>166</v>
      </c>
      <c r="BU6" s="12" t="s">
        <v>10</v>
      </c>
      <c r="BV6" s="57" t="s">
        <v>173</v>
      </c>
      <c r="BW6" s="57" t="s">
        <v>166</v>
      </c>
      <c r="BX6" s="57" t="s">
        <v>43</v>
      </c>
      <c r="BY6" s="57" t="s">
        <v>166</v>
      </c>
      <c r="BZ6" s="57" t="s">
        <v>43</v>
      </c>
      <c r="CA6" s="17" t="s">
        <v>10</v>
      </c>
      <c r="CB6" s="67" t="s">
        <v>166</v>
      </c>
      <c r="CC6" s="127" t="s">
        <v>12</v>
      </c>
      <c r="CD6" s="67" t="s">
        <v>166</v>
      </c>
      <c r="CE6" s="53" t="s">
        <v>12</v>
      </c>
      <c r="CF6" s="67" t="s">
        <v>166</v>
      </c>
      <c r="CG6" s="127" t="s">
        <v>12</v>
      </c>
      <c r="CH6" s="67" t="s">
        <v>166</v>
      </c>
      <c r="CI6" s="12" t="s">
        <v>12</v>
      </c>
      <c r="CJ6" s="57" t="s">
        <v>166</v>
      </c>
      <c r="CK6" s="12" t="s">
        <v>12</v>
      </c>
      <c r="CL6" s="57" t="s">
        <v>166</v>
      </c>
      <c r="CM6" s="12" t="s">
        <v>12</v>
      </c>
      <c r="CN6" s="17" t="s">
        <v>12</v>
      </c>
      <c r="CO6" s="67" t="s">
        <v>166</v>
      </c>
      <c r="CP6" s="129" t="s">
        <v>319</v>
      </c>
      <c r="CQ6" s="67" t="s">
        <v>166</v>
      </c>
      <c r="CR6" s="129" t="s">
        <v>319</v>
      </c>
      <c r="CS6" s="67" t="s">
        <v>166</v>
      </c>
      <c r="CT6" s="129" t="s">
        <v>319</v>
      </c>
      <c r="CU6" s="67" t="s">
        <v>166</v>
      </c>
      <c r="CV6" s="88" t="s">
        <v>319</v>
      </c>
      <c r="CW6" s="57" t="s">
        <v>166</v>
      </c>
      <c r="CX6" s="161" t="s">
        <v>416</v>
      </c>
      <c r="CY6" s="57" t="s">
        <v>166</v>
      </c>
      <c r="CZ6" s="162" t="s">
        <v>416</v>
      </c>
      <c r="DU6" s="18" t="s">
        <v>14</v>
      </c>
      <c r="DV6" s="6"/>
      <c r="DW6" s="6"/>
      <c r="DX6" s="31"/>
      <c r="DY6" s="32"/>
      <c r="DZ6" s="163"/>
      <c r="EA6" s="32"/>
      <c r="EB6" s="32"/>
      <c r="EC6" s="32"/>
      <c r="ED6" s="32"/>
      <c r="EE6" s="32"/>
      <c r="EF6" s="32"/>
      <c r="EP6" s="108" t="s">
        <v>335</v>
      </c>
      <c r="EQ6" s="108" t="s">
        <v>336</v>
      </c>
      <c r="ER6" s="60" t="s">
        <v>326</v>
      </c>
      <c r="ES6" s="60" t="s">
        <v>327</v>
      </c>
      <c r="ET6" s="60" t="s">
        <v>328</v>
      </c>
      <c r="EU6" s="60" t="s">
        <v>329</v>
      </c>
      <c r="EY6" s="108" t="s">
        <v>347</v>
      </c>
      <c r="EZ6" s="108" t="s">
        <v>348</v>
      </c>
      <c r="FA6" s="60" t="s">
        <v>326</v>
      </c>
      <c r="FB6" s="108" t="s">
        <v>349</v>
      </c>
      <c r="FC6" s="108" t="s">
        <v>350</v>
      </c>
      <c r="FD6" s="60" t="s">
        <v>329</v>
      </c>
      <c r="FH6" s="108" t="s">
        <v>335</v>
      </c>
      <c r="FI6" s="108" t="s">
        <v>336</v>
      </c>
      <c r="FJ6" s="60" t="s">
        <v>326</v>
      </c>
      <c r="FK6" s="60" t="s">
        <v>327</v>
      </c>
      <c r="FL6" s="60" t="s">
        <v>328</v>
      </c>
      <c r="FM6" s="60" t="s">
        <v>329</v>
      </c>
      <c r="FQ6" s="60" t="s">
        <v>324</v>
      </c>
      <c r="FR6" s="60" t="s">
        <v>325</v>
      </c>
      <c r="FS6" s="60" t="s">
        <v>326</v>
      </c>
      <c r="FT6" s="60" t="s">
        <v>327</v>
      </c>
      <c r="FU6" s="60" t="s">
        <v>328</v>
      </c>
      <c r="FV6" s="60" t="s">
        <v>329</v>
      </c>
      <c r="GX6">
        <v>1987</v>
      </c>
      <c r="GY6">
        <v>1992</v>
      </c>
      <c r="GZ6">
        <v>1997</v>
      </c>
      <c r="HA6">
        <v>2002</v>
      </c>
      <c r="HB6">
        <v>2007</v>
      </c>
      <c r="HC6">
        <v>2012</v>
      </c>
      <c r="HD6" s="220">
        <v>2017</v>
      </c>
      <c r="HF6">
        <v>1987</v>
      </c>
      <c r="HG6">
        <v>1992</v>
      </c>
      <c r="HH6">
        <v>1997</v>
      </c>
      <c r="HI6">
        <v>2002</v>
      </c>
      <c r="HJ6">
        <v>2007</v>
      </c>
      <c r="HK6">
        <v>2012</v>
      </c>
      <c r="HL6" s="220">
        <v>2017</v>
      </c>
      <c r="HO6" s="108" t="s">
        <v>2</v>
      </c>
      <c r="HQ6" s="108" t="s">
        <v>11</v>
      </c>
      <c r="HS6" s="108" t="s">
        <v>6</v>
      </c>
      <c r="HU6" s="108" t="s">
        <v>40</v>
      </c>
      <c r="HW6" s="108" t="s">
        <v>273</v>
      </c>
      <c r="HY6" s="108" t="s">
        <v>312</v>
      </c>
    </row>
    <row r="7" spans="2:234" x14ac:dyDescent="0.2">
      <c r="C7" s="6">
        <v>211111</v>
      </c>
      <c r="D7" s="6" t="s">
        <v>49</v>
      </c>
      <c r="E7" s="6">
        <v>9391</v>
      </c>
      <c r="F7" s="6">
        <v>173000</v>
      </c>
      <c r="G7" s="6"/>
      <c r="H7" s="6">
        <v>173000</v>
      </c>
      <c r="I7" s="6"/>
      <c r="J7" s="6">
        <v>173000</v>
      </c>
      <c r="K7" s="6"/>
      <c r="L7" s="6"/>
      <c r="M7" s="6"/>
      <c r="N7" s="6"/>
      <c r="O7" s="6"/>
      <c r="P7" s="6"/>
      <c r="Q7" s="6">
        <v>28999200</v>
      </c>
      <c r="R7" s="30">
        <v>29577576</v>
      </c>
      <c r="S7" s="34">
        <v>26926558</v>
      </c>
      <c r="T7" s="78">
        <v>211111</v>
      </c>
      <c r="U7" s="91">
        <v>21512516</v>
      </c>
      <c r="V7" s="91">
        <f>[3]Sheet1!$D$8</f>
        <v>34084869</v>
      </c>
      <c r="W7" s="91"/>
      <c r="X7" s="23">
        <f>(R7+S7)/2</f>
        <v>28252067</v>
      </c>
      <c r="Y7" s="33"/>
      <c r="Z7" s="33"/>
      <c r="AA7" s="33"/>
      <c r="AB7" s="6"/>
      <c r="AC7" s="6"/>
      <c r="AD7" s="6"/>
      <c r="AE7" s="6"/>
      <c r="AF7" s="6"/>
      <c r="AG7" s="6"/>
      <c r="AH7" s="6"/>
      <c r="AI7" s="6"/>
      <c r="AJ7" s="6"/>
      <c r="AK7" s="6"/>
      <c r="AL7" s="6"/>
      <c r="AM7" s="16"/>
      <c r="AN7" s="6">
        <v>115.8</v>
      </c>
      <c r="AO7" s="6">
        <v>4147.5</v>
      </c>
      <c r="AP7" s="6">
        <v>90.2</v>
      </c>
      <c r="AQ7" s="6">
        <v>2940.9</v>
      </c>
      <c r="AR7" s="6">
        <v>61219</v>
      </c>
      <c r="AS7" s="8">
        <v>2017.8</v>
      </c>
      <c r="AT7" s="8">
        <v>109965</v>
      </c>
      <c r="AU7" s="8">
        <v>3716.4</v>
      </c>
      <c r="AV7" s="58">
        <v>519532</v>
      </c>
      <c r="AW7" s="174">
        <f>AV7/(AT7*AW$4)*AU7</f>
        <v>6259.0387581800651</v>
      </c>
      <c r="AX7" s="6">
        <f>[4]ECN_2012_US_21SM1_with_ann!$L$15</f>
        <v>743744</v>
      </c>
      <c r="AY7" s="174">
        <f>AX7/(AV7*AY$4)*AW7</f>
        <v>6403.0583987421433</v>
      </c>
      <c r="AZ7" s="16">
        <f>(AS7+AU7)/2</f>
        <v>2867.1</v>
      </c>
      <c r="BA7" s="8">
        <v>5.6</v>
      </c>
      <c r="BB7" s="8">
        <v>234.9</v>
      </c>
      <c r="BC7" s="6">
        <v>5.3</v>
      </c>
      <c r="BD7" s="6">
        <v>174.7</v>
      </c>
      <c r="BE7" s="8">
        <v>20549</v>
      </c>
      <c r="BF7" s="8">
        <v>648.5</v>
      </c>
      <c r="BG7" s="8">
        <v>20436</v>
      </c>
      <c r="BH7" s="84">
        <f>BG7/(BE7*HV$14)*BF7</f>
        <v>493.18472059610735</v>
      </c>
      <c r="BI7" s="58">
        <v>60556</v>
      </c>
      <c r="BJ7" s="174">
        <f>BI7/(BG7*BJ$4)*BH7</f>
        <v>595.82034257028295</v>
      </c>
      <c r="BK7" s="6">
        <f>[4]ECN_2012_US_21SM1_with_ann!$L$16</f>
        <v>88565</v>
      </c>
      <c r="BL7" s="174">
        <f>BK7/(BI7*BL$4)*BJ7</f>
        <v>458.31711969686592</v>
      </c>
      <c r="BM7" s="16">
        <f>(BF7+BH7)/2</f>
        <v>570.84236029805368</v>
      </c>
      <c r="BN7" s="6">
        <v>448.1</v>
      </c>
      <c r="BO7" s="6">
        <v>265.60000000000002</v>
      </c>
      <c r="BP7" s="6">
        <v>318.8</v>
      </c>
      <c r="BQ7" s="6">
        <v>181.4</v>
      </c>
      <c r="BR7" s="6">
        <v>459812</v>
      </c>
      <c r="BS7" s="8">
        <f>169.7</f>
        <v>169.7</v>
      </c>
      <c r="BT7" s="8">
        <v>341552</v>
      </c>
      <c r="BU7" s="8">
        <v>102.4</v>
      </c>
      <c r="BV7" s="8">
        <f>BT7/BU7*0.001</f>
        <v>3.33546875</v>
      </c>
      <c r="BW7" s="58">
        <v>848249</v>
      </c>
      <c r="BX7" s="169">
        <f>BW7/(BT7*BX$4)*BU7</f>
        <v>133.11632313674053</v>
      </c>
      <c r="BY7" s="8">
        <f>[4]ECN_2012_US_21SM1_with_ann!$L$11</f>
        <v>558505</v>
      </c>
      <c r="BZ7" s="169">
        <f>BY7/(BW7*BZ$4)*BX7</f>
        <v>173.48603319039978</v>
      </c>
      <c r="CA7" s="16">
        <f>(BS7+BU7)/2</f>
        <v>136.05000000000001</v>
      </c>
      <c r="CB7" s="6">
        <v>78</v>
      </c>
      <c r="CC7" s="6">
        <v>89.8</v>
      </c>
      <c r="CD7" s="6">
        <v>37</v>
      </c>
      <c r="CE7" s="6">
        <v>34.6</v>
      </c>
      <c r="CF7" s="8">
        <v>105255</v>
      </c>
      <c r="CG7" s="8">
        <v>98.2</v>
      </c>
      <c r="CH7" s="8"/>
      <c r="CI7" s="14">
        <v>50</v>
      </c>
      <c r="CJ7" s="58">
        <v>220100</v>
      </c>
      <c r="CK7" s="174">
        <f>(CJ7/(CF7*HR$14*HR$15))*CG7</f>
        <v>70.177429456050589</v>
      </c>
      <c r="CL7" s="8">
        <f>[4]ECN_2012_US_21SM1_with_ann!$L$14</f>
        <v>325708</v>
      </c>
      <c r="CM7" s="174">
        <f>(CL7/(CJ7*HT$16))*CK7</f>
        <v>74.212060320882188</v>
      </c>
      <c r="CN7" s="16">
        <f>(CG7+CI7)/2</f>
        <v>74.099999999999994</v>
      </c>
      <c r="CO7" s="6">
        <v>126.6</v>
      </c>
      <c r="CP7" s="93">
        <f>HY$37*CO7</f>
        <v>16.08109494367223</v>
      </c>
      <c r="CQ7" s="6">
        <v>91.1</v>
      </c>
      <c r="CR7" s="93">
        <f>HY$38*CQ7</f>
        <v>11.979240324253798</v>
      </c>
      <c r="CS7" s="6">
        <v>38537</v>
      </c>
      <c r="CT7" s="93">
        <f>HY$39*0.001*CS7</f>
        <v>4.0087843583902814</v>
      </c>
      <c r="CU7" s="6">
        <v>46407</v>
      </c>
      <c r="CV7" s="93">
        <f>HY$40*0.001*CU7</f>
        <v>4.4243277661795402</v>
      </c>
      <c r="CW7" s="92">
        <f>EB7</f>
        <v>114905</v>
      </c>
      <c r="CX7" s="122">
        <f>HY$41*0.001*CW7</f>
        <v>5.5586105225988698</v>
      </c>
      <c r="CY7" s="141">
        <f>EJ7</f>
        <v>165481</v>
      </c>
      <c r="CZ7" s="122">
        <f>HY$42*0.001*CY7</f>
        <v>10.465173395547192</v>
      </c>
      <c r="DA7" s="110">
        <f>DF7/DD7-1</f>
        <v>0.11109675752486758</v>
      </c>
      <c r="DB7" s="131">
        <v>86</v>
      </c>
      <c r="DC7" s="131"/>
      <c r="DD7" s="116">
        <f>DE7</f>
        <v>774.1</v>
      </c>
      <c r="DE7" s="33">
        <f>Y7+AN7+BA7+BN7+CB7+CO7</f>
        <v>774.1</v>
      </c>
      <c r="DF7" s="131">
        <v>860.1</v>
      </c>
      <c r="DH7" s="110">
        <f>DM7/DK7-1</f>
        <v>0.2833702064896757</v>
      </c>
      <c r="DI7" s="131">
        <v>153.6</v>
      </c>
      <c r="DJ7" s="131"/>
      <c r="DK7" s="131">
        <f>DL7</f>
        <v>542.4</v>
      </c>
      <c r="DL7" s="136">
        <f>AA7+AP7+BC7+BP7+CD7+CQ7</f>
        <v>542.4</v>
      </c>
      <c r="DM7" s="131">
        <v>696.1</v>
      </c>
      <c r="DN7" s="131"/>
      <c r="DO7" s="110">
        <f>DT7/DR7-1</f>
        <v>0.3175122415272289</v>
      </c>
      <c r="DP7" s="33">
        <v>217570</v>
      </c>
      <c r="DQ7" s="33"/>
      <c r="DR7" s="33">
        <f>DS7</f>
        <v>685372</v>
      </c>
      <c r="DS7" s="33">
        <f>AC7+AR7+BE7+BR7+CF7+CS7</f>
        <v>685372</v>
      </c>
      <c r="DT7" s="27">
        <v>902986</v>
      </c>
      <c r="DU7" s="21">
        <f>DY7/DX7-1</f>
        <v>0.49622879620370397</v>
      </c>
      <c r="DV7" s="110"/>
      <c r="DW7" s="110"/>
      <c r="DX7" s="33">
        <f>DY7-268957</f>
        <v>542002</v>
      </c>
      <c r="DY7" s="27">
        <v>810959</v>
      </c>
      <c r="DZ7" s="164">
        <f>ED7/(EB7+EC7)-1</f>
        <v>6.2258484173801865E-2</v>
      </c>
      <c r="EA7" s="27">
        <v>109783</v>
      </c>
      <c r="EB7" s="27">
        <f>ED7-EC7-EA7</f>
        <v>114905</v>
      </c>
      <c r="EC7" s="27">
        <f>AV7+BI7+BW7+CJ7</f>
        <v>1648437</v>
      </c>
      <c r="ED7" s="27">
        <v>1873125</v>
      </c>
      <c r="EE7" s="27"/>
      <c r="EF7" s="27"/>
      <c r="EG7" s="27"/>
      <c r="EH7" s="21">
        <f>EM7/(EJ7+EL7)-1</f>
        <v>0</v>
      </c>
      <c r="EI7" s="27">
        <v>0</v>
      </c>
      <c r="EJ7" s="27">
        <f>EM7-EL7-EI7</f>
        <v>165481</v>
      </c>
      <c r="EK7" s="27"/>
      <c r="EL7" s="27">
        <f>AI7+AX7+BK7+BY7+CL7</f>
        <v>1716522</v>
      </c>
      <c r="EM7" s="27">
        <v>1882003</v>
      </c>
      <c r="EN7" s="27"/>
      <c r="EP7" s="13">
        <f>C7*EP$3</f>
        <v>0.72031073199999995</v>
      </c>
      <c r="EQ7" s="13">
        <f>Z7*EQ$3</f>
        <v>0</v>
      </c>
      <c r="ER7" s="13">
        <f>AO7*ER$3</f>
        <v>24.159187499999998</v>
      </c>
      <c r="ES7" s="13">
        <f>BB7*ES$3</f>
        <v>1.4768163000000001</v>
      </c>
      <c r="ET7" s="13">
        <f>BO7*ET$3</f>
        <v>273.03680000000003</v>
      </c>
      <c r="EU7" s="13">
        <f>CC7*EU$3</f>
        <v>11.231414285714287</v>
      </c>
      <c r="EV7" s="13">
        <f>CP7</f>
        <v>16.08109494367223</v>
      </c>
      <c r="EW7" s="13">
        <f>SUM(EQ7:EV7)*(1+DA7)</f>
        <v>362.20122430768026</v>
      </c>
      <c r="EY7" s="13">
        <f>C7*EY$3</f>
        <v>0.72031073199999995</v>
      </c>
      <c r="EZ7" s="13">
        <f>AB7*EZ$3</f>
        <v>0</v>
      </c>
      <c r="FA7" s="13">
        <f>AQ7*FA$3</f>
        <v>17.1307425</v>
      </c>
      <c r="FB7" s="13">
        <f>BD7*FB$3</f>
        <v>1.0983388999999999</v>
      </c>
      <c r="FC7" s="13">
        <f>BQ7*FC$3</f>
        <v>186.47920000000002</v>
      </c>
      <c r="FD7" s="13">
        <f>CE7*FD$3</f>
        <v>4.3274714285714291</v>
      </c>
      <c r="FE7" s="13">
        <f>CR7</f>
        <v>11.979240324253798</v>
      </c>
      <c r="FF7" s="13">
        <f>SUM(EZ7:FE7)*(1+DH7)</f>
        <v>283.64405739985563</v>
      </c>
      <c r="FH7" s="13">
        <f>R7*FH$3</f>
        <v>100.91868931199998</v>
      </c>
      <c r="FI7" s="13">
        <f>AD7*FI$3</f>
        <v>0</v>
      </c>
      <c r="FJ7" s="13">
        <f>AS7*FJ$3</f>
        <v>11.753684999999999</v>
      </c>
      <c r="FK7" s="13">
        <f>BF7*FK$3</f>
        <v>4.0771195000000002</v>
      </c>
      <c r="FL7" s="13">
        <f>BS7*FL$3</f>
        <v>174.45159999999998</v>
      </c>
      <c r="FM7" s="13">
        <f>CG7*FM$3</f>
        <v>12.282014285714288</v>
      </c>
      <c r="FN7" s="13">
        <f>CT7</f>
        <v>4.0087843583902814</v>
      </c>
      <c r="FO7" s="13">
        <f>SUM(FI7:FN7)*(1+DO7)</f>
        <v>272.16272391384882</v>
      </c>
      <c r="FQ7" s="13">
        <f>S7*FQ$3</f>
        <v>91.873415895999997</v>
      </c>
      <c r="FR7" s="13">
        <f>AF7*FR$3</f>
        <v>0</v>
      </c>
      <c r="FS7" s="13">
        <f>AU7*FS$3</f>
        <v>21.648029999999999</v>
      </c>
      <c r="FT7" s="13">
        <f>BH7*FT$3</f>
        <v>3.1006523383877269</v>
      </c>
      <c r="FU7" s="13">
        <f>BU7*FU$3</f>
        <v>105.2672</v>
      </c>
      <c r="FV7" s="13">
        <f>CI7*FV$3</f>
        <v>6.253571428571429</v>
      </c>
      <c r="FW7" s="13">
        <f>CV7</f>
        <v>4.4243277661795402</v>
      </c>
      <c r="FX7" s="13">
        <f>SUM(FR7:FW7)*(1+DU7)</f>
        <v>210.51008737667502</v>
      </c>
      <c r="GA7" s="13">
        <f>U7*GA$3</f>
        <v>73.400704591999997</v>
      </c>
      <c r="GB7" s="13">
        <f>AH7*GB$3</f>
        <v>0</v>
      </c>
      <c r="GC7" s="13">
        <f>AW7*GC$3</f>
        <v>36.458900766398877</v>
      </c>
      <c r="GD7" s="13">
        <f>BJ7*GD$3</f>
        <v>3.7459224937393687</v>
      </c>
      <c r="GE7" s="13">
        <f>BX7*GE$3</f>
        <v>136.84358018456928</v>
      </c>
      <c r="GF7" s="13">
        <f>CK7*GF$3</f>
        <v>8.7771913555388998</v>
      </c>
      <c r="GG7" s="13">
        <f>CX7</f>
        <v>5.5586105225988698</v>
      </c>
      <c r="GH7" s="13">
        <f>SUM(GB7:GG7)*(1+DZ7)</f>
        <v>203.29949584105333</v>
      </c>
      <c r="GI7" s="13"/>
      <c r="GJ7" s="13"/>
      <c r="GK7" s="13">
        <f>V7*GK$3</f>
        <v>116.29757302799999</v>
      </c>
      <c r="GL7" s="13">
        <f>AJ7*GL$3</f>
        <v>0</v>
      </c>
      <c r="GM7" s="13">
        <f>AY7*GM$3</f>
        <v>37.297815172672983</v>
      </c>
      <c r="GN7" s="13">
        <f>BL7*GN$3</f>
        <v>2.8814397315341962</v>
      </c>
      <c r="GO7" s="13">
        <f>BZ7*GO$3</f>
        <v>178.34364211973099</v>
      </c>
      <c r="GP7" s="13">
        <f>CM7*GP$3</f>
        <v>9.2818084015617668</v>
      </c>
      <c r="GQ7" s="13">
        <f>CZ7</f>
        <v>10.465173395547192</v>
      </c>
      <c r="GR7" s="13">
        <f>SUM(GL7:GQ7)*(1+EH7)</f>
        <v>238.26987882104712</v>
      </c>
      <c r="GT7">
        <f>[2]ALLFOS!AD11</f>
        <v>180.40899999999999</v>
      </c>
      <c r="GV7" s="6">
        <v>211111</v>
      </c>
      <c r="GW7" s="6" t="s">
        <v>49</v>
      </c>
      <c r="GY7" s="148">
        <f>Q7*0.001</f>
        <v>28999.200000000001</v>
      </c>
      <c r="GZ7" s="148">
        <f>R7*0.001</f>
        <v>29577.576000000001</v>
      </c>
      <c r="HA7" s="148">
        <f>S7*0.001</f>
        <v>26926.558000000001</v>
      </c>
      <c r="HB7" s="149">
        <f>U7*0.001</f>
        <v>21512.516</v>
      </c>
      <c r="HC7" s="149">
        <f>V7*0.001</f>
        <v>34084.868999999999</v>
      </c>
      <c r="HD7" s="149">
        <f>'Preliminary estimates - 2017'!AT4</f>
        <v>24676.154000000002</v>
      </c>
      <c r="HF7" s="148">
        <f>EW7</f>
        <v>362.20122430768026</v>
      </c>
      <c r="HG7" s="148">
        <f>FF7</f>
        <v>283.64405739985563</v>
      </c>
      <c r="HH7" s="148">
        <f>FO7</f>
        <v>272.16272391384882</v>
      </c>
      <c r="HI7" s="148">
        <f>FX7</f>
        <v>210.51008737667502</v>
      </c>
      <c r="HJ7" s="148">
        <f>GH7</f>
        <v>203.29949584105333</v>
      </c>
      <c r="HK7" s="148">
        <f>GR7</f>
        <v>238.26987882104712</v>
      </c>
      <c r="HL7" s="210">
        <f>'Preliminary estimates - 2017'!AL4</f>
        <v>542.83121047188547</v>
      </c>
      <c r="HO7" s="60" t="str">
        <f>Prices!E4</f>
        <v>Coal</v>
      </c>
      <c r="HP7" s="16"/>
      <c r="HQ7" s="60" t="str">
        <f>Prices!G4</f>
        <v>Gasoline</v>
      </c>
      <c r="HR7" s="16">
        <f>Prices!H4</f>
        <v>0</v>
      </c>
      <c r="HS7" s="60" t="str">
        <f>Prices!I4</f>
        <v>Distillate</v>
      </c>
      <c r="HT7" s="16">
        <f>Prices!J4</f>
        <v>0</v>
      </c>
      <c r="HU7" s="60" t="str">
        <f>Prices!K4</f>
        <v>Residual</v>
      </c>
      <c r="HV7" s="16">
        <f>Prices!L4</f>
        <v>0</v>
      </c>
      <c r="HW7" s="60" t="str">
        <f>Prices!M4</f>
        <v>Natural Gas</v>
      </c>
      <c r="HX7" s="16">
        <f>Prices!N4</f>
        <v>0</v>
      </c>
      <c r="HY7" s="60" t="str">
        <f>Prices!O4</f>
        <v>Propane</v>
      </c>
    </row>
    <row r="8" spans="2:234" x14ac:dyDescent="0.2">
      <c r="C8" s="6"/>
      <c r="D8" s="6" t="s">
        <v>51</v>
      </c>
      <c r="E8" s="6"/>
      <c r="F8" s="6"/>
      <c r="G8" s="6"/>
      <c r="H8" s="6"/>
      <c r="I8" s="6"/>
      <c r="J8" s="6"/>
      <c r="K8" s="6"/>
      <c r="L8" s="6"/>
      <c r="M8" s="6"/>
      <c r="N8" s="6"/>
      <c r="O8" s="6"/>
      <c r="P8" s="6"/>
      <c r="Q8" s="6"/>
      <c r="R8" s="6"/>
      <c r="S8" s="53"/>
      <c r="U8" s="3"/>
      <c r="V8" s="3"/>
      <c r="W8" s="3"/>
      <c r="X8" s="16"/>
      <c r="Y8" s="6"/>
      <c r="Z8" s="6"/>
      <c r="AA8" s="6"/>
      <c r="AB8" s="6"/>
      <c r="AC8" s="6"/>
      <c r="AD8" s="6"/>
      <c r="AE8" s="6"/>
      <c r="AF8" s="6"/>
      <c r="AG8" s="6"/>
      <c r="AH8" s="6"/>
      <c r="AI8" s="6"/>
      <c r="AJ8" s="6"/>
      <c r="AK8" s="6"/>
      <c r="AL8" s="6"/>
      <c r="AM8" s="16"/>
      <c r="AN8" s="6"/>
      <c r="AO8" s="6"/>
      <c r="AP8" s="6"/>
      <c r="AQ8" s="6">
        <v>21.8</v>
      </c>
      <c r="AR8" s="6"/>
      <c r="AS8" s="14">
        <v>22</v>
      </c>
      <c r="AT8" s="14"/>
      <c r="AU8" s="14">
        <v>22</v>
      </c>
      <c r="AV8" s="58"/>
      <c r="AW8" s="176"/>
      <c r="AX8" s="6"/>
      <c r="AY8" s="175"/>
      <c r="AZ8" s="16">
        <f>(AS8+AU8)/2</f>
        <v>22</v>
      </c>
      <c r="BA8" s="6"/>
      <c r="BB8" s="6"/>
      <c r="BC8" s="6"/>
      <c r="BD8" s="6"/>
      <c r="BE8" s="6"/>
      <c r="BF8" s="6"/>
      <c r="BG8" s="6"/>
      <c r="BH8" s="6"/>
      <c r="BI8" s="58"/>
      <c r="BJ8" s="176"/>
      <c r="BK8" s="6"/>
      <c r="BL8" s="175"/>
      <c r="BM8" s="16">
        <f>(BF8+BH8)/2</f>
        <v>0</v>
      </c>
      <c r="BN8" s="6"/>
      <c r="BO8" s="6"/>
      <c r="BP8" s="6"/>
      <c r="BQ8" s="6">
        <f>80.3</f>
        <v>80.3</v>
      </c>
      <c r="BR8" s="6"/>
      <c r="BS8" s="14">
        <v>80</v>
      </c>
      <c r="BT8" s="14"/>
      <c r="BU8" s="14">
        <v>80</v>
      </c>
      <c r="BV8" s="14"/>
      <c r="BW8" s="58"/>
      <c r="BX8" s="171"/>
      <c r="BY8" s="8"/>
      <c r="BZ8" s="131"/>
      <c r="CA8" s="16">
        <f>(BS8+BU8)/2</f>
        <v>80</v>
      </c>
      <c r="CB8" s="6"/>
      <c r="CC8" s="6"/>
      <c r="CD8" s="6"/>
      <c r="CE8" s="6">
        <v>0.6</v>
      </c>
      <c r="CF8" s="6"/>
      <c r="CG8" s="8">
        <v>0.6</v>
      </c>
      <c r="CH8" s="8"/>
      <c r="CI8" s="8">
        <v>0.6</v>
      </c>
      <c r="CJ8" s="58"/>
      <c r="CK8" s="176"/>
      <c r="CL8" s="8"/>
      <c r="CM8" s="148"/>
      <c r="CN8" s="16">
        <f>(CG8+CI8)/2</f>
        <v>0.6</v>
      </c>
      <c r="CO8" s="6"/>
      <c r="CP8" s="6"/>
      <c r="CQ8" s="6"/>
      <c r="CR8" s="6"/>
      <c r="CS8" s="6"/>
      <c r="CT8" s="6"/>
      <c r="CU8" s="6"/>
      <c r="CV8" s="6"/>
      <c r="CW8" s="6"/>
      <c r="CX8" s="6"/>
      <c r="CY8" s="141"/>
      <c r="CZ8" s="115"/>
      <c r="DA8" s="8"/>
      <c r="DB8" s="8"/>
      <c r="DC8" s="8"/>
      <c r="DD8" s="8"/>
      <c r="DE8" s="8"/>
      <c r="DF8" s="8"/>
      <c r="DG8" s="8"/>
      <c r="DH8" s="8"/>
      <c r="DI8" s="8"/>
      <c r="DJ8" s="8"/>
      <c r="DK8" s="8"/>
      <c r="DL8" s="42"/>
      <c r="DM8" s="8"/>
      <c r="DN8" s="8"/>
      <c r="DU8" s="21">
        <v>0.05</v>
      </c>
      <c r="DV8" s="110"/>
      <c r="DW8" s="110"/>
      <c r="DX8" s="33"/>
      <c r="DY8" s="27"/>
      <c r="DZ8" s="27"/>
      <c r="EA8" s="27"/>
      <c r="EB8" s="27"/>
      <c r="EC8" s="27"/>
      <c r="ED8" s="27"/>
      <c r="EE8" s="27"/>
      <c r="EF8" s="27"/>
      <c r="EP8" s="13"/>
      <c r="EQ8" s="13"/>
      <c r="ER8" s="13"/>
      <c r="ES8" s="13"/>
      <c r="ET8" s="13"/>
      <c r="EU8" s="13"/>
      <c r="EV8" s="13"/>
      <c r="EW8" s="13"/>
      <c r="EY8" s="13"/>
      <c r="EZ8" s="13"/>
      <c r="FA8" s="13"/>
      <c r="FB8" s="13"/>
      <c r="FC8" s="13"/>
      <c r="FD8" s="13"/>
      <c r="FE8" s="13"/>
      <c r="FF8" s="13"/>
      <c r="FH8" s="13"/>
      <c r="FI8" s="13"/>
      <c r="FJ8" s="13"/>
      <c r="FK8" s="13"/>
      <c r="FL8" s="13"/>
      <c r="FM8" s="13"/>
      <c r="FN8" s="13"/>
      <c r="FO8" s="13"/>
      <c r="FQ8" s="13">
        <f>X8*FQ$3</f>
        <v>0</v>
      </c>
      <c r="FR8" s="13">
        <f>AM8*FR$3</f>
        <v>0</v>
      </c>
      <c r="FS8" s="13">
        <f>AZ8*FS$3</f>
        <v>0.12814999999999999</v>
      </c>
      <c r="FT8" s="13">
        <f>BM8*FT$3</f>
        <v>0</v>
      </c>
      <c r="FU8" s="13">
        <f>CA8*FU$3</f>
        <v>82.240000000000009</v>
      </c>
      <c r="FV8" s="13">
        <f>CN8*FV$3</f>
        <v>7.5042857142857147E-2</v>
      </c>
      <c r="FW8" s="13"/>
      <c r="FX8" s="13">
        <f>SUM(FR8:FV8)*(1+DU8)*0</f>
        <v>0</v>
      </c>
      <c r="GA8" s="13"/>
      <c r="GB8" s="13"/>
      <c r="GC8" s="13"/>
      <c r="GD8" s="13"/>
      <c r="GE8" s="13"/>
      <c r="GF8" s="13"/>
      <c r="GG8" s="13"/>
      <c r="GH8" s="13"/>
      <c r="GI8" s="13"/>
      <c r="GJ8" s="13"/>
      <c r="GK8" s="13"/>
      <c r="GL8" s="13"/>
      <c r="GM8" s="13"/>
      <c r="GN8" s="13"/>
      <c r="GO8" s="13"/>
      <c r="GP8" s="13"/>
      <c r="GT8">
        <f>[2]ALLFOS!AD12</f>
        <v>21.308</v>
      </c>
      <c r="GV8" s="6"/>
      <c r="GW8" s="6"/>
      <c r="GY8" s="148"/>
      <c r="GZ8" s="148"/>
      <c r="HA8" s="148"/>
      <c r="HB8" s="149"/>
      <c r="HC8" s="149"/>
      <c r="HD8" s="149">
        <f>'Preliminary estimates - 2017'!AT5</f>
        <v>0</v>
      </c>
      <c r="HF8" s="148"/>
      <c r="HG8" s="148"/>
      <c r="HH8" s="148"/>
      <c r="HI8" s="148"/>
      <c r="HJ8" s="148"/>
      <c r="HK8" s="148"/>
      <c r="HL8" s="148"/>
      <c r="HN8">
        <f>Prices!D5</f>
        <v>0</v>
      </c>
      <c r="HO8" s="60" t="str">
        <f>Prices!E5</f>
        <v xml:space="preserve"> $/ton</v>
      </c>
      <c r="HP8" s="85" t="str">
        <f>Prices!F5</f>
        <v>Price relative</v>
      </c>
      <c r="HQ8" s="60" t="str">
        <f>Prices!G5</f>
        <v>$ /gallon</v>
      </c>
      <c r="HR8" s="85" t="str">
        <f>Prices!H5</f>
        <v>Price relative</v>
      </c>
      <c r="HS8">
        <f>Prices!I5</f>
        <v>0</v>
      </c>
      <c r="HT8" s="85" t="str">
        <f>Prices!J5</f>
        <v>Price relative</v>
      </c>
      <c r="HU8">
        <f>Prices!K5</f>
        <v>0</v>
      </c>
      <c r="HV8" s="85" t="str">
        <f>Prices!L5</f>
        <v>Price relative</v>
      </c>
      <c r="HW8" s="60" t="str">
        <f>Prices!M5</f>
        <v xml:space="preserve"> $/1000 cf</v>
      </c>
      <c r="HX8" s="85" t="str">
        <f>Prices!N5</f>
        <v>Price relative</v>
      </c>
      <c r="HY8" s="60" t="str">
        <f>Prices!O5</f>
        <v>$/ Gallon</v>
      </c>
      <c r="HZ8" s="85" t="str">
        <f>Prices!P5</f>
        <v>Price relative</v>
      </c>
    </row>
    <row r="9" spans="2:234" x14ac:dyDescent="0.2">
      <c r="C9" s="6">
        <v>211112</v>
      </c>
      <c r="D9" s="6" t="s">
        <v>50</v>
      </c>
      <c r="E9" s="6"/>
      <c r="F9" s="6"/>
      <c r="G9" s="6"/>
      <c r="H9" s="6"/>
      <c r="I9" s="6"/>
      <c r="J9" s="6"/>
      <c r="K9" s="6"/>
      <c r="L9" s="6"/>
      <c r="M9" s="6"/>
      <c r="N9" s="6"/>
      <c r="O9" s="6"/>
      <c r="P9" s="6"/>
      <c r="Q9" s="6">
        <v>2942800</v>
      </c>
      <c r="R9" s="6">
        <v>3220910</v>
      </c>
      <c r="S9" s="6">
        <v>2764113</v>
      </c>
      <c r="T9" s="78">
        <v>211112</v>
      </c>
      <c r="U9" s="91">
        <v>2298600</v>
      </c>
      <c r="V9" s="91">
        <f>[3]Sheet1!$D$9</f>
        <v>3148294</v>
      </c>
      <c r="W9" s="91"/>
      <c r="X9" s="16"/>
      <c r="Y9" s="6"/>
      <c r="Z9" s="6"/>
      <c r="AA9" s="6"/>
      <c r="AB9" s="6"/>
      <c r="AC9" s="6"/>
      <c r="AD9" s="6"/>
      <c r="AE9" s="6"/>
      <c r="AF9" s="6"/>
      <c r="AG9" s="6"/>
      <c r="AH9" s="6"/>
      <c r="AI9" s="6"/>
      <c r="AJ9" s="6"/>
      <c r="AK9" s="6"/>
      <c r="AL9" s="6"/>
      <c r="AM9" s="16"/>
      <c r="AN9" s="6">
        <v>0.2</v>
      </c>
      <c r="AO9" s="6">
        <v>5.0999999999999996</v>
      </c>
      <c r="AP9" s="6">
        <v>1</v>
      </c>
      <c r="AQ9" s="8">
        <v>21.8</v>
      </c>
      <c r="AR9" s="6">
        <v>1353</v>
      </c>
      <c r="AS9" s="8">
        <v>47.7</v>
      </c>
      <c r="AT9" s="8">
        <v>1250</v>
      </c>
      <c r="AU9" s="84">
        <f>AT9/(AR9*AU$4)*AS9</f>
        <v>37.592685311017334</v>
      </c>
      <c r="AV9" s="58">
        <v>5160</v>
      </c>
      <c r="AW9" s="174">
        <f>AV9/(AT9*AW$4)*AU9</f>
        <v>55.318501002882101</v>
      </c>
      <c r="AX9" s="6">
        <v>13686</v>
      </c>
      <c r="AY9" s="174">
        <f>AX9/(AV9*AY$4)*AW9</f>
        <v>104.84938481745971</v>
      </c>
      <c r="AZ9" s="16"/>
      <c r="BA9" s="6"/>
      <c r="BB9" s="6"/>
      <c r="BC9" s="6"/>
      <c r="BD9" s="6"/>
      <c r="BE9" s="6"/>
      <c r="BF9" s="6"/>
      <c r="BG9" s="6"/>
      <c r="BH9" s="6"/>
      <c r="BI9" s="58">
        <v>617</v>
      </c>
      <c r="BJ9" s="99">
        <f>BI9/(HU$15*42)</f>
        <v>10.676218161683279</v>
      </c>
      <c r="BK9" s="6">
        <v>1420</v>
      </c>
      <c r="BL9" s="174">
        <f>BK9/(BI9*BL$4)*BJ9</f>
        <v>12.923091713818533</v>
      </c>
      <c r="BM9" s="16"/>
      <c r="BN9" s="6">
        <v>91.4</v>
      </c>
      <c r="BO9" s="6">
        <v>55.5</v>
      </c>
      <c r="BP9" s="6">
        <v>134.19999999999999</v>
      </c>
      <c r="BQ9" s="6">
        <v>80.3</v>
      </c>
      <c r="BR9" s="6">
        <v>137784</v>
      </c>
      <c r="BS9" s="6">
        <v>60.5</v>
      </c>
      <c r="BT9" s="6">
        <v>344523</v>
      </c>
      <c r="BU9" s="8">
        <v>121.6</v>
      </c>
      <c r="BV9" s="8">
        <f>BT9/BU9*0.001</f>
        <v>2.8332483552631578</v>
      </c>
      <c r="BW9" s="58">
        <v>300107</v>
      </c>
      <c r="BX9" s="169">
        <f>BW9/(BT9*BX$4)*BU9</f>
        <v>55.444224478481843</v>
      </c>
      <c r="BY9" s="8">
        <v>114195</v>
      </c>
      <c r="BZ9" s="169">
        <f>BY9/(BW9*BZ$4)*BX9</f>
        <v>41.759642399347833</v>
      </c>
      <c r="CA9" s="16"/>
      <c r="CB9" s="6">
        <v>1.4</v>
      </c>
      <c r="CC9" s="6">
        <v>1.5</v>
      </c>
      <c r="CD9" s="6">
        <v>0.6</v>
      </c>
      <c r="CE9" s="63">
        <v>0.6</v>
      </c>
      <c r="CF9" s="6">
        <v>2244</v>
      </c>
      <c r="CG9" s="8">
        <v>1.9</v>
      </c>
      <c r="CH9" s="8"/>
      <c r="CI9" s="14">
        <v>2</v>
      </c>
      <c r="CJ9" s="58">
        <v>7742</v>
      </c>
      <c r="CK9" s="174">
        <f>(CJ9/(CF9*HR$14*HR$15))*CG9</f>
        <v>2.2402298355523786</v>
      </c>
      <c r="CL9" s="8">
        <v>13627</v>
      </c>
      <c r="CM9" s="174">
        <f>(CL9/(CJ9*HT$16))*CK9</f>
        <v>2.8177879995110824</v>
      </c>
      <c r="CN9" s="16"/>
      <c r="CO9" s="6">
        <v>3.4</v>
      </c>
      <c r="CP9" s="93">
        <f>HY$37*CO9</f>
        <v>0.43187774730241374</v>
      </c>
      <c r="CQ9" s="6">
        <v>5.3</v>
      </c>
      <c r="CR9" s="93">
        <f>HY$38*CQ9</f>
        <v>0.69692616595548995</v>
      </c>
      <c r="CS9" s="59">
        <v>2000</v>
      </c>
      <c r="CT9" s="93">
        <f>HY$39*0.001*CS9</f>
        <v>0.20804859529233108</v>
      </c>
      <c r="CU9" s="6"/>
      <c r="CV9" s="6"/>
      <c r="CW9" s="92">
        <f>EB9</f>
        <v>5913</v>
      </c>
      <c r="CX9" s="122">
        <f>HY$41*0.001*CW9</f>
        <v>0.28604555084745764</v>
      </c>
      <c r="CY9" s="141">
        <f>EJ9</f>
        <v>5744</v>
      </c>
      <c r="CZ9" s="122">
        <f>HY$42*0.001*CY9</f>
        <v>0.36325593865170663</v>
      </c>
      <c r="DA9" s="110">
        <f>DF9/DD9-1</f>
        <v>3.8381742738588853E-2</v>
      </c>
      <c r="DB9" s="131">
        <v>3.8</v>
      </c>
      <c r="DC9" s="131"/>
      <c r="DD9" s="116">
        <f>DE9</f>
        <v>96.40000000000002</v>
      </c>
      <c r="DE9" s="133">
        <f>Y9+AN9+BA9+BN9+CB9+CO9</f>
        <v>96.40000000000002</v>
      </c>
      <c r="DF9" s="131">
        <v>100.1</v>
      </c>
      <c r="DG9" s="131"/>
      <c r="DH9" s="110">
        <f>DM9/DK9-1</f>
        <v>5.6697377746279143E-2</v>
      </c>
      <c r="DI9" s="131">
        <v>7.9</v>
      </c>
      <c r="DJ9" s="131"/>
      <c r="DK9" s="131">
        <f>DL9</f>
        <v>141.1</v>
      </c>
      <c r="DL9" s="136">
        <f>AA9+AP9+BC9+BP9+CD9+CQ9</f>
        <v>141.1</v>
      </c>
      <c r="DM9" s="131">
        <v>149.1</v>
      </c>
      <c r="DN9" s="131"/>
      <c r="DO9" s="110">
        <f>DT9/DR9-1</f>
        <v>0.14986643976538039</v>
      </c>
      <c r="DP9" s="116">
        <f>DT9-DS9</f>
        <v>21488</v>
      </c>
      <c r="DQ9" s="116"/>
      <c r="DR9" s="33">
        <f>DS9</f>
        <v>143381</v>
      </c>
      <c r="DS9" s="33">
        <f>AC9+AR9+BE9+BR9+CF9+CS9</f>
        <v>143381</v>
      </c>
      <c r="DT9">
        <v>164869</v>
      </c>
      <c r="DU9" s="21">
        <f>DY9/DX9-1</f>
        <v>9.3036262601371655E-2</v>
      </c>
      <c r="DV9" s="110"/>
      <c r="DW9" s="110"/>
      <c r="DX9" s="33">
        <f>DY9-33602</f>
        <v>361171</v>
      </c>
      <c r="DY9" s="27">
        <v>394773</v>
      </c>
      <c r="DZ9" s="21">
        <f>ED9/(EB9+EC9)-1</f>
        <v>6.8129398915313111E-3</v>
      </c>
      <c r="EA9" s="27">
        <v>2177</v>
      </c>
      <c r="EB9" s="27">
        <v>5913</v>
      </c>
      <c r="EC9" s="27">
        <f>AV9+BI9+BW9+CJ9</f>
        <v>313626</v>
      </c>
      <c r="ED9" s="27">
        <v>321716</v>
      </c>
      <c r="EE9" s="27"/>
      <c r="EF9" s="27"/>
      <c r="EH9" s="21">
        <f>EM9/(EJ9+EL9)-1</f>
        <v>3.2736493758071417E-2</v>
      </c>
      <c r="EI9">
        <v>4867</v>
      </c>
      <c r="EJ9" s="27">
        <f>EM9-EL9-EI9</f>
        <v>5744</v>
      </c>
      <c r="EK9" s="27"/>
      <c r="EL9" s="27">
        <f>AI9+AX9+BK9+BY9+CL9</f>
        <v>142928</v>
      </c>
      <c r="EM9">
        <v>153539</v>
      </c>
      <c r="EP9" s="13">
        <f>C9*EP$3</f>
        <v>0.72031414399999993</v>
      </c>
      <c r="EQ9" s="13">
        <f>Z9*EQ$3</f>
        <v>0</v>
      </c>
      <c r="ER9" s="13">
        <f>AO9*ER$3</f>
        <v>2.9707499999999994E-2</v>
      </c>
      <c r="ES9" s="13">
        <f>BB9*ES$3</f>
        <v>0</v>
      </c>
      <c r="ET9" s="13">
        <f>BO9*ET$3</f>
        <v>57.054000000000002</v>
      </c>
      <c r="EU9" s="13">
        <f>CC9*EU$3</f>
        <v>0.18760714285714286</v>
      </c>
      <c r="EV9" s="13">
        <f>CP9</f>
        <v>0.43187774730241374</v>
      </c>
      <c r="EW9" s="13">
        <f>SUM(EQ9:EV9)*(1+DA9)</f>
        <v>59.91794147567397</v>
      </c>
      <c r="EY9" s="13">
        <f>C9*EY$3</f>
        <v>0.72031414399999993</v>
      </c>
      <c r="EZ9" s="13">
        <f>AB9*EZ$3</f>
        <v>0</v>
      </c>
      <c r="FA9" s="13">
        <f>AQ9*FA$3</f>
        <v>0.12698499999999999</v>
      </c>
      <c r="FB9" s="13">
        <f>BD9*FB$3</f>
        <v>0</v>
      </c>
      <c r="FC9" s="13">
        <f>BQ9*FC$3</f>
        <v>82.548400000000001</v>
      </c>
      <c r="FD9" s="13">
        <f>CE9*FD$3</f>
        <v>7.5042857142857147E-2</v>
      </c>
      <c r="FE9" s="13">
        <f>CR9</f>
        <v>0.69692616595548995</v>
      </c>
      <c r="FF9" s="13">
        <f>SUM(EZ9:FE9)*(1+DH9)</f>
        <v>88.178600176073445</v>
      </c>
      <c r="FH9" s="13">
        <f>R9*FH$3</f>
        <v>10.98974492</v>
      </c>
      <c r="FI9" s="13">
        <f>AD9*FI$3</f>
        <v>0</v>
      </c>
      <c r="FJ9" s="13">
        <f>AS9*FJ$3</f>
        <v>0.2778525</v>
      </c>
      <c r="FK9" s="13">
        <f>BF9*FK$3</f>
        <v>0</v>
      </c>
      <c r="FL9" s="13">
        <f>BS9*FL$3</f>
        <v>62.194000000000003</v>
      </c>
      <c r="FM9" s="13">
        <f>CG9*FM$3</f>
        <v>0.23763571428571428</v>
      </c>
      <c r="FN9" s="13">
        <f>CT9</f>
        <v>0.20804859529233108</v>
      </c>
      <c r="FO9" s="13">
        <f>SUM(FI9:FN9)*(1+DO9)</f>
        <v>72.346764050036782</v>
      </c>
      <c r="FQ9" s="13">
        <f>S9*FQ$3</f>
        <v>9.4311535559999999</v>
      </c>
      <c r="FR9" s="13">
        <f>AF9*FR$3</f>
        <v>0</v>
      </c>
      <c r="FS9" s="13">
        <f>AU9*FS$3</f>
        <v>0.21897739193667595</v>
      </c>
      <c r="FT9" s="13">
        <f>BH9*FT$3</f>
        <v>0</v>
      </c>
      <c r="FU9" s="13">
        <f>BU9*FU$3</f>
        <v>125.0048</v>
      </c>
      <c r="FV9" s="13">
        <f>CI9*FV$3</f>
        <v>0.25014285714285717</v>
      </c>
      <c r="FW9" s="13">
        <f>CV9</f>
        <v>0</v>
      </c>
      <c r="FX9" s="13">
        <f>SUM(FR9:FW9)*(1+DU9)</f>
        <v>137.14754484299647</v>
      </c>
      <c r="GA9" s="13">
        <f>U9*GA$3</f>
        <v>7.8428231999999989</v>
      </c>
      <c r="GB9" s="13">
        <f>AH9*GB$3</f>
        <v>0</v>
      </c>
      <c r="GC9" s="13">
        <f>AW9*GC$3</f>
        <v>0.3222302683417882</v>
      </c>
      <c r="GD9" s="13">
        <f>BJ9*GD$3</f>
        <v>6.7121383582502775E-2</v>
      </c>
      <c r="GE9" s="13">
        <f>BX9*GE$3</f>
        <v>56.996662763879336</v>
      </c>
      <c r="GF9" s="13">
        <f>CK9*GF$3</f>
        <v>0.2801887458608725</v>
      </c>
      <c r="GG9" s="13">
        <f>CX9</f>
        <v>0.28604555084745764</v>
      </c>
      <c r="GH9" s="13">
        <f>SUM(GB9:GG9)*(1+DZ9)</f>
        <v>58.347073899569367</v>
      </c>
      <c r="GI9" s="13"/>
      <c r="GJ9" s="13"/>
      <c r="GK9" s="13">
        <f>V9*GK$3</f>
        <v>10.741979127999999</v>
      </c>
      <c r="GL9" s="13">
        <f>AJ9*GL$3</f>
        <v>0</v>
      </c>
      <c r="GM9" s="13">
        <f>AY9*GM$3</f>
        <v>0.61074766656170276</v>
      </c>
      <c r="GN9" s="13">
        <f>BL9*GN$3</f>
        <v>8.1247477604777116E-2</v>
      </c>
      <c r="GO9" s="13">
        <f>BZ9*GO$3</f>
        <v>42.928912386529575</v>
      </c>
      <c r="GP9" s="13">
        <f>CM9*GP$3</f>
        <v>0.35242477051027898</v>
      </c>
      <c r="GQ9" s="13">
        <f>CZ9</f>
        <v>0.36325593865170663</v>
      </c>
      <c r="GR9" s="13">
        <f>SUM(GL9:GQ9)*(1+EH9)</f>
        <v>45.788012684026334</v>
      </c>
      <c r="GT9">
        <f>[2]ALLFOS!AD13</f>
        <v>101.361</v>
      </c>
      <c r="GV9" s="6">
        <v>211112</v>
      </c>
      <c r="GW9" s="6" t="s">
        <v>50</v>
      </c>
      <c r="GY9" s="148">
        <f>Q9*0.001</f>
        <v>2942.8</v>
      </c>
      <c r="GZ9" s="148">
        <f>R9*0.001</f>
        <v>3220.91</v>
      </c>
      <c r="HA9" s="148">
        <f>S9*0.001</f>
        <v>2764.1130000000003</v>
      </c>
      <c r="HB9" s="149">
        <f>U9*0.001</f>
        <v>2298.6</v>
      </c>
      <c r="HC9" s="149">
        <f>V9*0.001</f>
        <v>3148.2939999999999</v>
      </c>
      <c r="HD9" s="149">
        <f>'Preliminary estimates - 2017'!AT6</f>
        <v>13431.294</v>
      </c>
      <c r="HF9" s="148">
        <f>EW9</f>
        <v>59.91794147567397</v>
      </c>
      <c r="HG9" s="148">
        <f>FF9</f>
        <v>88.178600176073445</v>
      </c>
      <c r="HH9" s="148">
        <f>FO9</f>
        <v>72.346764050036782</v>
      </c>
      <c r="HI9" s="148">
        <f>FX9</f>
        <v>137.14754484299647</v>
      </c>
      <c r="HJ9" s="148">
        <f>GH9</f>
        <v>58.347073899569367</v>
      </c>
      <c r="HK9" s="148">
        <f t="shared" ref="HK9:HK42" si="0">GR9</f>
        <v>45.788012684026334</v>
      </c>
      <c r="HL9" s="148">
        <f>'Preliminary estimates - 2017'!AL6</f>
        <v>193.25410767154858</v>
      </c>
      <c r="HN9">
        <f>Prices!D6</f>
        <v>1977</v>
      </c>
      <c r="HO9">
        <f>Prices!E6</f>
        <v>20.59</v>
      </c>
      <c r="HP9" s="16">
        <f>Prices!F6</f>
        <v>0</v>
      </c>
      <c r="HQ9" s="79">
        <f>Prices!G6</f>
        <v>0.40410071942446046</v>
      </c>
      <c r="HR9" s="16">
        <f>Prices!H6</f>
        <v>0</v>
      </c>
      <c r="HS9" s="79">
        <f>Prices!I6</f>
        <v>0.27941058655221745</v>
      </c>
      <c r="HT9" s="16">
        <f>Prices!J6</f>
        <v>0</v>
      </c>
      <c r="HU9" s="79">
        <f>Prices!K6</f>
        <v>0.3302241379310345</v>
      </c>
      <c r="HV9" s="16">
        <f>Prices!L6</f>
        <v>0</v>
      </c>
      <c r="HW9">
        <f>Prices!M6</f>
        <v>1.5</v>
      </c>
      <c r="HX9" s="16">
        <f>Prices!N6</f>
        <v>0</v>
      </c>
      <c r="HY9">
        <f>Prices!O6</f>
        <v>0</v>
      </c>
    </row>
    <row r="10" spans="2:234" x14ac:dyDescent="0.2">
      <c r="C10" s="6"/>
      <c r="D10" s="6"/>
      <c r="E10" s="6"/>
      <c r="F10" s="6"/>
      <c r="G10" s="6"/>
      <c r="H10" s="6"/>
      <c r="I10" s="6"/>
      <c r="J10" s="6"/>
      <c r="K10" s="6"/>
      <c r="L10" s="6"/>
      <c r="M10" s="6"/>
      <c r="N10" s="6"/>
      <c r="O10" s="6"/>
      <c r="P10" s="6"/>
      <c r="Q10" s="6"/>
      <c r="R10" s="6"/>
      <c r="S10" s="6"/>
      <c r="U10" s="3"/>
      <c r="V10" s="3"/>
      <c r="W10" s="3"/>
      <c r="X10" s="16"/>
      <c r="Y10" s="6"/>
      <c r="Z10" s="6"/>
      <c r="AA10" s="6"/>
      <c r="AB10" s="6"/>
      <c r="AC10" s="6"/>
      <c r="AD10" s="6"/>
      <c r="AE10" s="6"/>
      <c r="AF10" s="6"/>
      <c r="AG10" s="6"/>
      <c r="AH10" s="6"/>
      <c r="AI10" s="6"/>
      <c r="AJ10" s="6"/>
      <c r="AK10" s="6"/>
      <c r="AL10" s="6"/>
      <c r="AM10" s="16"/>
      <c r="AN10" s="6"/>
      <c r="AO10" s="6"/>
      <c r="AP10" s="6"/>
      <c r="AQ10" s="6"/>
      <c r="AR10" s="6"/>
      <c r="AS10" s="6"/>
      <c r="AT10" s="6"/>
      <c r="AU10" s="6"/>
      <c r="AV10" s="58"/>
      <c r="AW10" s="176"/>
      <c r="AX10" s="6"/>
      <c r="AY10" s="175"/>
      <c r="AZ10" s="16"/>
      <c r="BA10" s="6"/>
      <c r="BB10" s="6"/>
      <c r="BC10" s="6"/>
      <c r="BD10" s="6"/>
      <c r="BE10" s="6"/>
      <c r="BF10" s="6"/>
      <c r="BG10" s="6"/>
      <c r="BH10" s="6"/>
      <c r="BI10" s="58"/>
      <c r="BJ10" s="176"/>
      <c r="BK10" s="6"/>
      <c r="BL10" s="175"/>
      <c r="BM10" s="16"/>
      <c r="BN10" s="6"/>
      <c r="BO10" s="6"/>
      <c r="BP10" s="6"/>
      <c r="BQ10" s="6"/>
      <c r="BR10" s="6"/>
      <c r="BS10" s="6"/>
      <c r="BT10" s="6"/>
      <c r="BU10" s="6"/>
      <c r="BV10" s="6"/>
      <c r="BW10" s="6"/>
      <c r="BX10" s="94"/>
      <c r="BY10" s="8"/>
      <c r="BZ10" s="131"/>
      <c r="CA10" s="16"/>
      <c r="CB10" s="6"/>
      <c r="CC10" s="6"/>
      <c r="CD10" s="6"/>
      <c r="CE10" s="6"/>
      <c r="CF10" s="6"/>
      <c r="CG10" s="6"/>
      <c r="CH10" s="6"/>
      <c r="CI10" s="6"/>
      <c r="CJ10" s="6"/>
      <c r="CK10" s="175"/>
      <c r="CL10" s="8"/>
      <c r="CM10" s="148"/>
      <c r="CN10" s="16"/>
      <c r="CO10" s="6"/>
      <c r="CP10" s="6"/>
      <c r="CQ10" s="6"/>
      <c r="CR10" s="6"/>
      <c r="CS10" s="6"/>
      <c r="CT10" s="6"/>
      <c r="CU10" s="6"/>
      <c r="CV10" s="6"/>
      <c r="CW10" s="6"/>
      <c r="CX10" s="6"/>
      <c r="CY10" s="141"/>
      <c r="CZ10" s="115"/>
      <c r="DA10" s="8"/>
      <c r="DB10" s="8"/>
      <c r="DC10" s="8" t="s">
        <v>351</v>
      </c>
      <c r="DD10" s="8"/>
      <c r="DE10" s="8"/>
      <c r="DF10" s="8"/>
      <c r="DG10" s="8"/>
      <c r="DH10" s="8"/>
      <c r="DI10" s="8"/>
      <c r="DJ10" s="8" t="s">
        <v>351</v>
      </c>
      <c r="DK10" s="8"/>
      <c r="DL10" s="42"/>
      <c r="DM10" s="8"/>
      <c r="DN10" s="8"/>
      <c r="DQ10" s="8" t="s">
        <v>351</v>
      </c>
      <c r="DU10" s="4"/>
      <c r="DV10" s="8"/>
      <c r="DW10" s="8" t="s">
        <v>351</v>
      </c>
      <c r="DX10" s="33"/>
      <c r="DY10" s="27"/>
      <c r="DZ10" s="27"/>
      <c r="EA10" s="27"/>
      <c r="EB10" s="27"/>
      <c r="EC10" s="27"/>
      <c r="ED10" s="27"/>
      <c r="EE10" s="27"/>
      <c r="EF10" s="27"/>
      <c r="EW10" s="13"/>
      <c r="EY10" s="13"/>
      <c r="FH10" s="13"/>
      <c r="FQ10" s="13"/>
      <c r="GV10" s="6"/>
      <c r="GW10" s="6"/>
      <c r="GY10" s="148"/>
      <c r="GZ10" s="148"/>
      <c r="HA10" s="148"/>
      <c r="HB10" s="149"/>
      <c r="HC10" s="149"/>
      <c r="HD10" s="149">
        <f>'Preliminary estimates - 2017'!AT7</f>
        <v>0</v>
      </c>
      <c r="HF10" s="148"/>
      <c r="HG10" s="148"/>
      <c r="HH10" s="148"/>
      <c r="HI10" s="148"/>
      <c r="HJ10" s="148"/>
      <c r="HK10" s="148"/>
      <c r="HL10" s="148">
        <f>'Preliminary estimates - 2017'!AL7</f>
        <v>0</v>
      </c>
      <c r="HN10">
        <f>Prices!D7</f>
        <v>1982</v>
      </c>
      <c r="HO10">
        <f>Prices!E7</f>
        <v>32.15</v>
      </c>
      <c r="HP10" s="86">
        <f>Prices!F7</f>
        <v>1.5614375910636231</v>
      </c>
      <c r="HQ10" s="79">
        <f>Prices!G7</f>
        <v>0.7983453237410072</v>
      </c>
      <c r="HR10" s="86">
        <f>Prices!H7</f>
        <v>1.9756097560975607</v>
      </c>
      <c r="HS10" s="79">
        <f>Prices!I7</f>
        <v>0.69897567954220319</v>
      </c>
      <c r="HT10" s="86">
        <f>Prices!J7</f>
        <v>2.501607717041801</v>
      </c>
      <c r="HU10" s="79">
        <f>Prices!K7</f>
        <v>0.71754310344827588</v>
      </c>
      <c r="HV10" s="86">
        <f>Prices!L7</f>
        <v>2.1728971962616823</v>
      </c>
      <c r="HW10">
        <f>Prices!M7</f>
        <v>3.87</v>
      </c>
      <c r="HX10" s="86">
        <f>Prices!N7</f>
        <v>2.58</v>
      </c>
      <c r="HY10">
        <f>Prices!O7</f>
        <v>0</v>
      </c>
    </row>
    <row r="11" spans="2:234" x14ac:dyDescent="0.2">
      <c r="C11">
        <v>212111</v>
      </c>
      <c r="D11" t="s">
        <v>15</v>
      </c>
      <c r="E11">
        <v>1503</v>
      </c>
      <c r="F11">
        <v>55500</v>
      </c>
      <c r="G11">
        <v>829</v>
      </c>
      <c r="H11" s="3">
        <v>36632</v>
      </c>
      <c r="I11">
        <v>642</v>
      </c>
      <c r="J11" s="3">
        <v>32755</v>
      </c>
      <c r="K11" s="3"/>
      <c r="L11" s="3"/>
      <c r="M11" s="3"/>
      <c r="N11" s="3"/>
      <c r="O11" s="3"/>
      <c r="P11" s="3"/>
      <c r="Q11" s="3">
        <v>4809100</v>
      </c>
      <c r="R11" s="3">
        <v>4203877</v>
      </c>
      <c r="S11" s="30">
        <v>3698491</v>
      </c>
      <c r="T11" s="78">
        <v>212111</v>
      </c>
      <c r="U11" s="91">
        <v>4070984</v>
      </c>
      <c r="V11" s="91">
        <f>[3]Sheet1!D10</f>
        <v>3891986</v>
      </c>
      <c r="W11" s="91"/>
      <c r="X11" s="23">
        <f>(R11+S11)/2</f>
        <v>3951184</v>
      </c>
      <c r="Y11" s="33">
        <v>1.2</v>
      </c>
      <c r="Z11" s="33">
        <v>47.5</v>
      </c>
      <c r="AA11" s="33">
        <v>1.7</v>
      </c>
      <c r="AB11" s="3">
        <v>60.3</v>
      </c>
      <c r="AC11" s="3"/>
      <c r="AD11" s="6">
        <v>31.5</v>
      </c>
      <c r="AE11" s="6">
        <f>AD11*HO13</f>
        <v>776.16</v>
      </c>
      <c r="AF11" s="6">
        <v>1.1000000000000001</v>
      </c>
      <c r="AG11" s="6">
        <v>4617</v>
      </c>
      <c r="AH11" s="94">
        <f>AG11/HO15</f>
        <v>113.16176470588236</v>
      </c>
      <c r="AI11" s="6">
        <f>Pivot_Table_2012!C5</f>
        <v>0</v>
      </c>
      <c r="AJ11" s="94">
        <f>AI11/HO$16</f>
        <v>0</v>
      </c>
      <c r="AK11" s="94"/>
      <c r="AL11" s="94"/>
      <c r="AM11" s="16">
        <f>(AD11+AF11)/2</f>
        <v>16.3</v>
      </c>
      <c r="AN11" s="6">
        <v>222.3</v>
      </c>
      <c r="AO11" s="8">
        <v>8717</v>
      </c>
      <c r="AP11" s="8">
        <v>229.7</v>
      </c>
      <c r="AQ11" s="8">
        <v>8045</v>
      </c>
      <c r="AR11" s="8">
        <v>219512</v>
      </c>
      <c r="AS11" s="6">
        <v>7420.4</v>
      </c>
      <c r="AT11" s="8">
        <v>260168</v>
      </c>
      <c r="AU11" s="6">
        <v>7126.8</v>
      </c>
      <c r="AV11" s="8">
        <v>846955</v>
      </c>
      <c r="AW11" s="174">
        <f>AV11/(AT11*AW$4)*AU11</f>
        <v>8270.4357965730906</v>
      </c>
      <c r="AX11" s="6">
        <f>Pivot_Table_2012!E5</f>
        <v>1241878</v>
      </c>
      <c r="AY11" s="174">
        <f>AX11/(AV11*AY$4)*AW11</f>
        <v>8665.9392715065587</v>
      </c>
      <c r="AZ11" s="16">
        <f>(AS11+AU11)/2</f>
        <v>7273.6</v>
      </c>
      <c r="BA11" s="8">
        <v>19.5</v>
      </c>
      <c r="BB11" s="8">
        <v>807.4</v>
      </c>
      <c r="BC11" s="8">
        <v>30</v>
      </c>
      <c r="BD11" s="8">
        <v>975.4</v>
      </c>
      <c r="BE11" s="8">
        <v>20461</v>
      </c>
      <c r="BF11" s="6">
        <v>721.2</v>
      </c>
      <c r="BG11" s="6">
        <v>37498</v>
      </c>
      <c r="BH11" s="6">
        <v>973.9</v>
      </c>
      <c r="BI11" s="58">
        <v>210164</v>
      </c>
      <c r="BJ11" s="174">
        <f>BI11/(BG11*BJ$4)*BH11</f>
        <v>2225.4047676263667</v>
      </c>
      <c r="BK11" s="6">
        <f>Pivot_Table_2012!I5</f>
        <v>446353</v>
      </c>
      <c r="BL11" s="174">
        <f>BK11/(BI11*BL$4)*BJ11</f>
        <v>2485.8501935617392</v>
      </c>
      <c r="BM11" s="16">
        <f>(BF11+BH11)/2</f>
        <v>847.55</v>
      </c>
      <c r="BN11" s="8">
        <v>1.5</v>
      </c>
      <c r="BO11" s="8">
        <v>0.5</v>
      </c>
      <c r="BP11" s="8">
        <v>0.7</v>
      </c>
      <c r="BQ11" s="8">
        <v>0.3</v>
      </c>
      <c r="BR11" s="8">
        <v>2011</v>
      </c>
      <c r="BS11" s="6">
        <v>0.7</v>
      </c>
      <c r="BT11" s="8">
        <v>2099</v>
      </c>
      <c r="BU11" s="6">
        <f>$J11/$H11*BS11</f>
        <v>0.62591450098274726</v>
      </c>
      <c r="BV11" s="8">
        <f>BT11/BU11*0.001</f>
        <v>3.3534931635301048</v>
      </c>
      <c r="BW11" s="6">
        <v>15220</v>
      </c>
      <c r="BX11" s="169">
        <f>BW11/(BT11*BX$4)*BU11</f>
        <v>2.3756478279543334</v>
      </c>
      <c r="BY11" s="8">
        <f>Pivot_Table_2012!F5</f>
        <v>5570</v>
      </c>
      <c r="BZ11" s="169">
        <f>BY11/(BW11*BZ$4)*BX11</f>
        <v>1.720885983667368</v>
      </c>
      <c r="CA11" s="16">
        <f>(BS11+BU11)/2</f>
        <v>0.66295725049137366</v>
      </c>
      <c r="CB11" s="6">
        <v>19.7</v>
      </c>
      <c r="CC11" s="6">
        <v>24.4</v>
      </c>
      <c r="CD11" s="8">
        <v>17.399999999999999</v>
      </c>
      <c r="CE11" s="6">
        <v>18.600000000000001</v>
      </c>
      <c r="CF11" s="6">
        <v>24031</v>
      </c>
      <c r="CG11" s="6">
        <v>29.4</v>
      </c>
      <c r="CH11" s="6">
        <v>24031</v>
      </c>
      <c r="CI11" s="6">
        <v>11.8</v>
      </c>
      <c r="CJ11" s="8">
        <v>93639</v>
      </c>
      <c r="CK11" s="174">
        <f>CJ11/(CH11*CK$4)*CI11</f>
        <v>18.035605478897551</v>
      </c>
      <c r="CL11" s="8">
        <f>Pivot_Table_2012!G5</f>
        <v>118985</v>
      </c>
      <c r="CM11" s="174">
        <f>(CL11/(CJ11*HT$16))*CK11</f>
        <v>16.377017909546982</v>
      </c>
      <c r="CN11" s="16">
        <f>(CG11+CI11)/2</f>
        <v>20.6</v>
      </c>
      <c r="CO11" s="8">
        <v>4.0999999999999996</v>
      </c>
      <c r="CP11" s="93">
        <f>HY$37*CO11</f>
        <v>0.52079375409996953</v>
      </c>
      <c r="CQ11" s="6">
        <v>1.7</v>
      </c>
      <c r="CR11" s="93">
        <f>HY$38*CQ11</f>
        <v>0.22354235511779866</v>
      </c>
      <c r="CS11" s="92">
        <f>DQ11</f>
        <v>0</v>
      </c>
      <c r="CT11" s="93">
        <f>HY$39*0.001*CS11</f>
        <v>0</v>
      </c>
      <c r="CU11" s="6">
        <v>2874</v>
      </c>
      <c r="CV11" s="93">
        <f>HY$40*0.001*CU11</f>
        <v>0.27399999999999997</v>
      </c>
      <c r="CW11" s="92">
        <f>EB11</f>
        <v>2326</v>
      </c>
      <c r="CX11" s="122">
        <f>HY$41*0.001*CW11</f>
        <v>0.11252189265536723</v>
      </c>
      <c r="CY11" s="141">
        <f>EJ11</f>
        <v>40756</v>
      </c>
      <c r="CZ11" s="122">
        <f>HO$42*0.001*CY11</f>
        <v>13.885675348273772</v>
      </c>
      <c r="DA11" s="110">
        <f>DF11/DD11-1</f>
        <v>0.32202758106597074</v>
      </c>
      <c r="DB11" s="131">
        <v>86.3</v>
      </c>
      <c r="DC11" s="131">
        <f>DB11+DE11</f>
        <v>354.6</v>
      </c>
      <c r="DD11" s="116">
        <f>DE11</f>
        <v>268.3</v>
      </c>
      <c r="DE11" s="133">
        <f>Y11+AN11+BA11+BN11+CB11+CO11</f>
        <v>268.3</v>
      </c>
      <c r="DF11" s="131">
        <v>354.7</v>
      </c>
      <c r="DG11" s="131"/>
      <c r="DH11" s="110">
        <f>DM11/DK11-1</f>
        <v>0.39829302987197757</v>
      </c>
      <c r="DI11" s="131">
        <v>112</v>
      </c>
      <c r="DJ11" s="131"/>
      <c r="DK11" s="131">
        <f>DL11</f>
        <v>281.19999999999993</v>
      </c>
      <c r="DL11" s="136">
        <f>AA11+AP11+BC11+BP11+CD11+CQ11</f>
        <v>281.19999999999993</v>
      </c>
      <c r="DM11" s="131">
        <v>393.2</v>
      </c>
      <c r="DN11" s="131"/>
      <c r="DO11" s="110">
        <f>DT11/DR11-1</f>
        <v>0.36088190515572438</v>
      </c>
      <c r="DP11">
        <v>89002</v>
      </c>
      <c r="DQ11" s="116"/>
      <c r="DR11" s="116">
        <f>DS11+DQ11</f>
        <v>266015</v>
      </c>
      <c r="DS11" s="33">
        <f>AC11+AR11+BE11+BR11+CF11</f>
        <v>266015</v>
      </c>
      <c r="DT11">
        <v>362015</v>
      </c>
      <c r="DU11" s="21">
        <v>0.1</v>
      </c>
      <c r="DV11" s="116"/>
      <c r="DW11" s="116"/>
      <c r="DX11" s="33">
        <f>14840+6638+1720</f>
        <v>23198</v>
      </c>
      <c r="DY11" s="27"/>
      <c r="DZ11" s="21">
        <f>ED11/(EB11+EC11)-1</f>
        <v>1.9024299164223324E-2</v>
      </c>
      <c r="EA11" s="27">
        <v>22314</v>
      </c>
      <c r="EB11" s="27">
        <v>2326</v>
      </c>
      <c r="EC11" s="27">
        <f>AG11+AV11+BI11+BW11+CJ11</f>
        <v>1170595</v>
      </c>
      <c r="ED11" s="27">
        <v>1195235</v>
      </c>
      <c r="EE11" s="27"/>
      <c r="EF11" s="27"/>
      <c r="EH11" s="21">
        <f>EM11/(EJ11+EL11)-1</f>
        <v>0</v>
      </c>
      <c r="EI11">
        <f>Pivot_Table_2012!K5</f>
        <v>0</v>
      </c>
      <c r="EJ11" s="27">
        <f>EM11-EL11-EI11</f>
        <v>40756</v>
      </c>
      <c r="EK11" s="27"/>
      <c r="EL11" s="27">
        <f>AI11+AX11+BK11+BY11+CL11</f>
        <v>1812786</v>
      </c>
      <c r="EM11">
        <f>Pivot_Table_2012!J5</f>
        <v>1853542</v>
      </c>
      <c r="EP11" s="13">
        <f>C11*EP$3</f>
        <v>0.72372273199999992</v>
      </c>
      <c r="EQ11" s="13">
        <f>Z11*EQ$3</f>
        <v>0.98524500000000004</v>
      </c>
      <c r="ER11" s="13">
        <f>AO11*ER$3</f>
        <v>50.776524999999992</v>
      </c>
      <c r="ES11" s="13">
        <f>BB11*ES$3</f>
        <v>5.0761237999999995</v>
      </c>
      <c r="ET11" s="13">
        <f>BO11*ET$3</f>
        <v>0.51400000000000001</v>
      </c>
      <c r="EU11" s="13">
        <f>CC11*EU$3</f>
        <v>3.0517428571428571</v>
      </c>
      <c r="EV11" s="13">
        <f>CP11</f>
        <v>0.52079375409996953</v>
      </c>
      <c r="EW11" s="13">
        <f>SUM(EQ11:EV11)*(1+DA11)</f>
        <v>80.5437773643974</v>
      </c>
      <c r="EY11" s="13">
        <f>C11*EY$3</f>
        <v>0.72372273199999992</v>
      </c>
      <c r="EZ11" s="13">
        <f>AB11*EZ$3</f>
        <v>1.2507425999999999</v>
      </c>
      <c r="FA11" s="13">
        <f>AQ11*FA$3</f>
        <v>46.862124999999999</v>
      </c>
      <c r="FB11" s="13">
        <f>BD11*FB$3</f>
        <v>6.1323397999999996</v>
      </c>
      <c r="FC11" s="13">
        <f>BQ11*FC$3</f>
        <v>0.30840000000000001</v>
      </c>
      <c r="FD11" s="13">
        <f>CE11*FD$3</f>
        <v>2.3263285714285717</v>
      </c>
      <c r="FE11" s="13">
        <f>CR11</f>
        <v>0.22354235511779866</v>
      </c>
      <c r="FF11" s="13">
        <f>SUM(EZ11:FE11)*(1+DH11)</f>
        <v>79.847395725455314</v>
      </c>
      <c r="FH11" s="13">
        <f>R11*FH$3</f>
        <v>14.343628323999999</v>
      </c>
      <c r="FI11" s="13">
        <f>AD11*FI$3</f>
        <v>0.65337299999999998</v>
      </c>
      <c r="FJ11" s="13">
        <f>AS11*FJ$3</f>
        <v>43.223829999999992</v>
      </c>
      <c r="FK11" s="13">
        <f>BF11*FK$3</f>
        <v>4.5341844</v>
      </c>
      <c r="FL11" s="13">
        <f>BS11*FL$3</f>
        <v>0.71960000000000002</v>
      </c>
      <c r="FM11" s="13">
        <f>CG11*FM$3</f>
        <v>3.6771000000000003</v>
      </c>
      <c r="FN11" s="13">
        <f>CT11</f>
        <v>0</v>
      </c>
      <c r="FO11" s="13">
        <f>SUM(FI11:FN11)*(1+DO11)</f>
        <v>71.865570588541999</v>
      </c>
      <c r="FQ11" s="13">
        <f>S11*FQ$3</f>
        <v>12.619251292</v>
      </c>
      <c r="FR11" s="13">
        <f>AF11*FR$3</f>
        <v>2.2816200000000002E-2</v>
      </c>
      <c r="FS11" s="13">
        <f>AU11*FS$3</f>
        <v>41.51361</v>
      </c>
      <c r="FT11" s="13">
        <f>BH11*FT$3</f>
        <v>6.1229092999999999</v>
      </c>
      <c r="FU11" s="13">
        <f>BU11*FU$3</f>
        <v>0.64344010701026422</v>
      </c>
      <c r="FV11" s="13">
        <f>CI11*FV$3</f>
        <v>1.4758428571428575</v>
      </c>
      <c r="FW11" s="13">
        <f>CV11</f>
        <v>0.27399999999999997</v>
      </c>
      <c r="FX11" s="13">
        <f>SUM(FR11:FW11)*(1+DU11)</f>
        <v>55.057880310568436</v>
      </c>
      <c r="GA11" s="13">
        <f>U11*GA$3</f>
        <v>13.890197407999999</v>
      </c>
      <c r="GB11" s="13">
        <f>AH11*GB$3</f>
        <v>2.3472013235294118</v>
      </c>
      <c r="GC11" s="13">
        <f>AW11*GC$3</f>
        <v>48.175288515038247</v>
      </c>
      <c r="GD11" s="13">
        <f>BJ11*GD$3</f>
        <v>13.991119774066968</v>
      </c>
      <c r="GE11" s="13">
        <f>BX11*GE$3</f>
        <v>2.4421659671370546</v>
      </c>
      <c r="GF11" s="13">
        <f>CK11*GF$3</f>
        <v>2.2557389423964009</v>
      </c>
      <c r="GG11" s="13">
        <f>CX11</f>
        <v>0.11252189265536723</v>
      </c>
      <c r="GH11" s="13">
        <f>SUM(GB11:GG11)*(1+DZ11)</f>
        <v>70.642877622850563</v>
      </c>
      <c r="GI11" s="13"/>
      <c r="GJ11" s="13"/>
      <c r="GK11" s="13">
        <f>V11*GK$3</f>
        <v>13.279456231999999</v>
      </c>
      <c r="GL11" s="13">
        <f>AJ11*GL$3</f>
        <v>0</v>
      </c>
      <c r="GM11" s="13">
        <f>AY11*GM$3</f>
        <v>50.4790962565257</v>
      </c>
      <c r="GN11" s="13">
        <f>BL11*GN$3</f>
        <v>15.628540166922654</v>
      </c>
      <c r="GO11" s="13">
        <f>BZ11*GO$3</f>
        <v>1.7690707912100543</v>
      </c>
      <c r="GP11" s="13">
        <f>CM11*GP$3</f>
        <v>2.048297025686912</v>
      </c>
      <c r="GQ11" s="13">
        <f>CZ11</f>
        <v>13.885675348273772</v>
      </c>
      <c r="GR11" s="13">
        <f>SUM(GL11:GQ11)*(1+EH11)</f>
        <v>83.810679588619081</v>
      </c>
      <c r="GT11">
        <f>[2]ALLFOS!AD9</f>
        <v>1.8240000000000001</v>
      </c>
      <c r="GV11">
        <v>212111</v>
      </c>
      <c r="GW11" t="s">
        <v>15</v>
      </c>
      <c r="GY11" s="148">
        <f t="shared" ref="GY11:HA13" si="1">Q11*0.001</f>
        <v>4809.1000000000004</v>
      </c>
      <c r="GZ11" s="148">
        <f t="shared" si="1"/>
        <v>4203.8770000000004</v>
      </c>
      <c r="HA11" s="148">
        <f t="shared" si="1"/>
        <v>3698.491</v>
      </c>
      <c r="HB11" s="149">
        <f t="shared" ref="HB11:HC13" si="2">U11*0.001</f>
        <v>4070.9839999999999</v>
      </c>
      <c r="HC11" s="149">
        <f t="shared" si="2"/>
        <v>3891.9859999999999</v>
      </c>
      <c r="HD11" s="149">
        <f>'Preliminary estimates - 2017'!AT8</f>
        <v>2428.4700000000003</v>
      </c>
      <c r="HF11" s="148">
        <f>EW11</f>
        <v>80.5437773643974</v>
      </c>
      <c r="HG11" s="148">
        <f>FF11</f>
        <v>79.847395725455314</v>
      </c>
      <c r="HH11" s="148">
        <f>FO11</f>
        <v>71.865570588541999</v>
      </c>
      <c r="HI11" s="148">
        <f>FX11</f>
        <v>55.057880310568436</v>
      </c>
      <c r="HJ11" s="148">
        <f>GH11</f>
        <v>70.642877622850563</v>
      </c>
      <c r="HK11" s="148">
        <f t="shared" si="0"/>
        <v>83.810679588619081</v>
      </c>
      <c r="HL11" s="148">
        <f>'Preliminary estimates - 2017'!AL8</f>
        <v>48.292141954322638</v>
      </c>
      <c r="HN11">
        <f>Prices!D8</f>
        <v>1987</v>
      </c>
      <c r="HO11">
        <f>Prices!E8</f>
        <v>28.19</v>
      </c>
      <c r="HP11" s="86">
        <f>Prices!F8</f>
        <v>0.87682737169517888</v>
      </c>
      <c r="HQ11" s="79">
        <f>Prices!G8</f>
        <v>0.58397482014388491</v>
      </c>
      <c r="HR11" s="86">
        <f>Prices!H8</f>
        <v>0.73148148148148151</v>
      </c>
      <c r="HS11" s="79">
        <f>Prices!I8</f>
        <v>0.53636051502145921</v>
      </c>
      <c r="HT11" s="86">
        <f>Prices!J8</f>
        <v>0.76735218508997427</v>
      </c>
      <c r="HU11" s="79">
        <f>Prices!K8</f>
        <v>0.44132758620689655</v>
      </c>
      <c r="HV11" s="86">
        <f>Prices!L8</f>
        <v>0.61505376344086016</v>
      </c>
      <c r="HW11">
        <f>Prices!M8</f>
        <v>2.94</v>
      </c>
      <c r="HX11" s="86">
        <f>Prices!N8</f>
        <v>0.75968992248062017</v>
      </c>
      <c r="HY11">
        <f>Prices!O8</f>
        <v>0</v>
      </c>
    </row>
    <row r="12" spans="2:234" x14ac:dyDescent="0.2">
      <c r="C12">
        <v>212112</v>
      </c>
      <c r="D12" t="s">
        <v>5</v>
      </c>
      <c r="E12">
        <v>1133</v>
      </c>
      <c r="F12">
        <v>73000</v>
      </c>
      <c r="G12">
        <v>614</v>
      </c>
      <c r="H12" s="3">
        <v>50192</v>
      </c>
      <c r="I12">
        <v>478</v>
      </c>
      <c r="J12" s="3">
        <v>40319</v>
      </c>
      <c r="K12" s="3"/>
      <c r="L12" s="3"/>
      <c r="M12" s="3"/>
      <c r="N12" s="3"/>
      <c r="O12" s="3"/>
      <c r="P12" s="3"/>
      <c r="Q12" s="3">
        <v>7646900</v>
      </c>
      <c r="R12" s="3">
        <v>7061319</v>
      </c>
      <c r="S12" s="30">
        <v>6287072</v>
      </c>
      <c r="T12" s="78">
        <v>212112</v>
      </c>
      <c r="U12" s="91">
        <v>7317272</v>
      </c>
      <c r="V12" s="91">
        <f>[3]Sheet1!D11</f>
        <v>8030068</v>
      </c>
      <c r="W12" s="91"/>
      <c r="X12" s="23">
        <f>(R12+S12)/2</f>
        <v>6674195.5</v>
      </c>
      <c r="Y12" s="139">
        <v>1.3</v>
      </c>
      <c r="Z12" s="94">
        <f>Y12/HO11*1000</f>
        <v>46.115643845335221</v>
      </c>
      <c r="AA12" s="139">
        <v>0.6</v>
      </c>
      <c r="AB12" s="94">
        <f>AA12/HP12*1000</f>
        <v>22.404779686333082</v>
      </c>
      <c r="AC12" s="143">
        <v>1000</v>
      </c>
      <c r="AD12" s="94">
        <f>AC12/HO13</f>
        <v>40.584415584415581</v>
      </c>
      <c r="AE12" s="58">
        <v>200</v>
      </c>
      <c r="AF12" s="94">
        <f>AE12/HO14</f>
        <v>7.5272864132480244</v>
      </c>
      <c r="AG12" s="6">
        <v>5208</v>
      </c>
      <c r="AH12" s="94">
        <f>AG12/HO15</f>
        <v>127.64705882352942</v>
      </c>
      <c r="AI12" s="6">
        <f>Pivot_Table_2012!C6</f>
        <v>2986</v>
      </c>
      <c r="AJ12" s="94">
        <f>AI12/HO$16</f>
        <v>45.215021199273167</v>
      </c>
      <c r="AK12" s="94"/>
      <c r="AL12" s="94"/>
      <c r="AM12" s="16">
        <f>(AD12+AF12)/2</f>
        <v>24.055850998831801</v>
      </c>
      <c r="AN12" s="8">
        <v>24</v>
      </c>
      <c r="AO12" s="8">
        <v>811.8</v>
      </c>
      <c r="AP12" s="8">
        <v>37.200000000000003</v>
      </c>
      <c r="AQ12" s="8">
        <v>1179.9000000000001</v>
      </c>
      <c r="AR12" s="8">
        <v>20584</v>
      </c>
      <c r="AS12" s="6">
        <v>655.9</v>
      </c>
      <c r="AT12" s="8">
        <v>14840</v>
      </c>
      <c r="AU12" s="6">
        <f>$J12/$H12*AS12</f>
        <v>526.8814173573478</v>
      </c>
      <c r="AV12" s="58">
        <v>89715</v>
      </c>
      <c r="AW12" s="174">
        <f>AV12/(AT12*AW$4)*AU12</f>
        <v>1135.4588708238675</v>
      </c>
      <c r="AX12" s="6">
        <f>Pivot_Table_2012!E6</f>
        <v>137850</v>
      </c>
      <c r="AY12" s="174">
        <f t="shared" ref="AY12:AY37" si="3">AX12/(AV12*AY$4)*AW12</f>
        <v>1246.7568583974346</v>
      </c>
      <c r="AZ12" s="16">
        <f>(AS12+AU12)/2</f>
        <v>591.39070867867395</v>
      </c>
      <c r="BA12" s="6">
        <v>2.7</v>
      </c>
      <c r="BB12" s="6">
        <v>105.7</v>
      </c>
      <c r="BC12" s="6">
        <v>7.0549999999999997</v>
      </c>
      <c r="BD12" s="6">
        <v>226</v>
      </c>
      <c r="BE12" s="6">
        <v>4051</v>
      </c>
      <c r="BF12" s="6">
        <v>144.80000000000001</v>
      </c>
      <c r="BG12" s="6">
        <v>6638</v>
      </c>
      <c r="BH12" s="6">
        <v>178.3</v>
      </c>
      <c r="BI12" s="58">
        <v>26543</v>
      </c>
      <c r="BJ12" s="174">
        <f>BI12/(BG12*BJ$4)*BH12</f>
        <v>290.67556783047928</v>
      </c>
      <c r="BK12" s="6">
        <f>Pivot_Table_2012!I6</f>
        <v>97094</v>
      </c>
      <c r="BL12" s="174">
        <f>BK12/(BI12*BL$4)*BJ12</f>
        <v>559.23806199297485</v>
      </c>
      <c r="BM12" s="16">
        <f>(BF12+BH12)/2</f>
        <v>161.55000000000001</v>
      </c>
      <c r="BN12" s="6">
        <v>1.3</v>
      </c>
      <c r="BO12" s="8">
        <v>0.5</v>
      </c>
      <c r="BP12" s="8">
        <v>1.577</v>
      </c>
      <c r="BQ12" s="8">
        <v>0.5</v>
      </c>
      <c r="BR12" s="8">
        <v>2552</v>
      </c>
      <c r="BS12" s="6">
        <v>0.5</v>
      </c>
      <c r="BT12" s="59">
        <v>1300</v>
      </c>
      <c r="BU12" s="6">
        <f>$J12/$H12*BS12</f>
        <v>0.40164767293592607</v>
      </c>
      <c r="BV12" s="8">
        <f>BT12/BU12*0.001</f>
        <v>3.2366675760807557</v>
      </c>
      <c r="BW12" s="58">
        <v>5381</v>
      </c>
      <c r="BX12" s="169">
        <f>BW12/(BT12*BX$4)*BU12</f>
        <v>0.87022133762362142</v>
      </c>
      <c r="BY12" s="8">
        <f>Pivot_Table_2012!F6</f>
        <v>4648</v>
      </c>
      <c r="BZ12" s="169">
        <f>BY12/(BW12*BZ$4)*BX12</f>
        <v>1.487860964096126</v>
      </c>
      <c r="CA12" s="16">
        <f>(BS12+BU12)/2</f>
        <v>0.45082383646796304</v>
      </c>
      <c r="CB12" s="8">
        <v>6</v>
      </c>
      <c r="CC12" s="8">
        <v>6.4</v>
      </c>
      <c r="CD12" s="8">
        <v>6.9880000000000004</v>
      </c>
      <c r="CE12" s="6">
        <v>7.4</v>
      </c>
      <c r="CF12" s="8">
        <v>4385</v>
      </c>
      <c r="CG12" s="6">
        <v>4</v>
      </c>
      <c r="CH12" s="6">
        <v>1720</v>
      </c>
      <c r="CI12" s="6">
        <v>1.5</v>
      </c>
      <c r="CJ12" s="58">
        <v>12075</v>
      </c>
      <c r="CK12" s="174">
        <f>CJ12/(CH12*CK$4)*CI12</f>
        <v>4.1306057699122203</v>
      </c>
      <c r="CL12" s="8">
        <f>Pivot_Table_2012!G6</f>
        <v>27331</v>
      </c>
      <c r="CM12" s="174">
        <f>(CL12/(CJ12*HT$16))*CK12</f>
        <v>6.6811431873724256</v>
      </c>
      <c r="CN12" s="16">
        <f>(CG12+CI12)/2</f>
        <v>2.75</v>
      </c>
      <c r="CO12" s="59">
        <v>0.2</v>
      </c>
      <c r="CP12" s="93">
        <f>HY$37*CO12</f>
        <v>2.5404573370730224E-2</v>
      </c>
      <c r="CQ12" s="59">
        <v>0.3</v>
      </c>
      <c r="CR12" s="93">
        <f>HY$38*CQ12</f>
        <v>3.9448650903140939E-2</v>
      </c>
      <c r="CS12" s="59">
        <v>3100</v>
      </c>
      <c r="CT12" s="93">
        <f>HY$39*0.001*CS12</f>
        <v>0.32247532270311313</v>
      </c>
      <c r="CU12" s="59">
        <v>300</v>
      </c>
      <c r="CV12" s="6"/>
      <c r="CW12" s="92">
        <f>EB12</f>
        <v>765</v>
      </c>
      <c r="CX12" s="122">
        <f>HY$41*0.001*CW12</f>
        <v>3.7007415254237286E-2</v>
      </c>
      <c r="CY12" s="141">
        <f>EJ12</f>
        <v>2589</v>
      </c>
      <c r="CZ12" s="122">
        <f>HY$42*0.001*CY12</f>
        <v>0.16373078432612614</v>
      </c>
      <c r="DA12" s="121">
        <f>DF12/(DF12-DB12)-1</f>
        <v>0.28011204481792706</v>
      </c>
      <c r="DB12" s="131">
        <v>10</v>
      </c>
      <c r="DC12" s="131">
        <f>DF12-DE12-DB12</f>
        <v>1.5</v>
      </c>
      <c r="DD12" s="116">
        <f>DE12</f>
        <v>34.200000000000003</v>
      </c>
      <c r="DE12" s="133">
        <f>AN12+BA12+BN12+CB12+CO12</f>
        <v>34.200000000000003</v>
      </c>
      <c r="DF12" s="131">
        <v>45.7</v>
      </c>
      <c r="DG12" s="131"/>
      <c r="DH12" s="140">
        <f>DM12/(DM12-DI12)-1</f>
        <v>0.22877030162413003</v>
      </c>
      <c r="DI12" s="131">
        <v>12.324999999999999</v>
      </c>
      <c r="DJ12" s="131">
        <f>DM12-DL12-DI12</f>
        <v>0.75500000000000611</v>
      </c>
      <c r="DK12" s="131">
        <f>DL12</f>
        <v>53.12</v>
      </c>
      <c r="DL12" s="136">
        <f>AP12+BC12+BP12+CD12+CQ12</f>
        <v>53.12</v>
      </c>
      <c r="DM12" s="131">
        <v>66.2</v>
      </c>
      <c r="DN12" s="131"/>
      <c r="DO12" s="140">
        <f>DT12/(DT12-DP12)-1</f>
        <v>0.29606109774520228</v>
      </c>
      <c r="DP12">
        <v>10583</v>
      </c>
      <c r="DQ12" s="141">
        <f>DT12-DS12-DP12</f>
        <v>1074</v>
      </c>
      <c r="DR12" s="141">
        <f>DS12</f>
        <v>34672</v>
      </c>
      <c r="DS12" s="33">
        <f>AR12+BE12+BR12+CF12+CS12</f>
        <v>34672</v>
      </c>
      <c r="DT12">
        <v>46329</v>
      </c>
      <c r="DU12" s="21">
        <f>DY12/DX12-1</f>
        <v>0.32647794176949763</v>
      </c>
      <c r="DV12" s="141">
        <v>7914</v>
      </c>
      <c r="DW12" s="141">
        <f>DY12-DX12-DV12</f>
        <v>182</v>
      </c>
      <c r="DX12" s="33">
        <f>AT12+BG12+CH12+BT12+CU12</f>
        <v>24798</v>
      </c>
      <c r="DY12" s="27">
        <v>32894</v>
      </c>
      <c r="DZ12" s="21">
        <f>ED12/(EB12+EC12)-1</f>
        <v>6.5789944661993616E-3</v>
      </c>
      <c r="EA12" s="27">
        <v>919</v>
      </c>
      <c r="EB12" s="27">
        <v>765</v>
      </c>
      <c r="EC12" s="27">
        <f>AG12+AV12+BI12+BW12+CJ12</f>
        <v>138922</v>
      </c>
      <c r="ED12" s="27">
        <v>140606</v>
      </c>
      <c r="EE12" s="27"/>
      <c r="EF12" s="27"/>
      <c r="EH12" s="21">
        <f t="shared" ref="EH12:EH37" si="4">EM12/(EJ12+EL12)-1</f>
        <v>1.1449625318351586E-3</v>
      </c>
      <c r="EI12">
        <f>Pivot_Table_2012!K6</f>
        <v>312</v>
      </c>
      <c r="EJ12" s="27">
        <f t="shared" ref="EJ12:EJ37" si="5">EM12-EL12-EI12</f>
        <v>2589</v>
      </c>
      <c r="EK12" s="27"/>
      <c r="EL12" s="27">
        <f>AI12+AX12+BK12+BY12+CL12</f>
        <v>269909</v>
      </c>
      <c r="EM12">
        <f>Pivot_Table_2012!J6</f>
        <v>272810</v>
      </c>
      <c r="EP12" s="13">
        <f>C12*EP$3</f>
        <v>0.7237261439999999</v>
      </c>
      <c r="EQ12" s="13">
        <f>Z12*EQ$3</f>
        <v>0.95653068463994317</v>
      </c>
      <c r="ER12" s="13">
        <f>AO12*ER$3</f>
        <v>4.7287349999999995</v>
      </c>
      <c r="ES12" s="13">
        <f>BB12*ES$3</f>
        <v>0.66453590000000007</v>
      </c>
      <c r="ET12" s="13">
        <f>BO12*ET$3</f>
        <v>0.51400000000000001</v>
      </c>
      <c r="EU12" s="13">
        <f>CC12*EU$3</f>
        <v>0.80045714285714298</v>
      </c>
      <c r="EV12" s="13">
        <f>CP12</f>
        <v>2.5404573370730224E-2</v>
      </c>
      <c r="EW12" s="13">
        <f>SUM(EQ12:EV12)*(1+DA12)</f>
        <v>9.8436306120352697</v>
      </c>
      <c r="EY12" s="13">
        <f>C12*EY$3</f>
        <v>0.7237261439999999</v>
      </c>
      <c r="EZ12" s="13">
        <f>AB12*EZ$3</f>
        <v>0.46471994025392077</v>
      </c>
      <c r="FA12" s="13">
        <f>AQ12*FA$3</f>
        <v>6.8729174999999998</v>
      </c>
      <c r="FB12" s="13">
        <f>BD12*FB$3</f>
        <v>1.4208620000000001</v>
      </c>
      <c r="FC12" s="13">
        <f>BQ12*FC$3</f>
        <v>0.51400000000000001</v>
      </c>
      <c r="FD12" s="13">
        <f>CE12*FD$3</f>
        <v>0.92552857142857159</v>
      </c>
      <c r="FE12" s="13">
        <f>CR12</f>
        <v>3.9448650903140939E-2</v>
      </c>
      <c r="FF12" s="13">
        <f>SUM(EZ12:FE12)*(1+DH12)</f>
        <v>12.579507286555341</v>
      </c>
      <c r="FH12" s="13">
        <f>R12*FH$3</f>
        <v>24.093220427999999</v>
      </c>
      <c r="FI12" s="13">
        <f>AD12*FI$3</f>
        <v>0.84180194805194797</v>
      </c>
      <c r="FJ12" s="13">
        <f>AS12*FJ$3</f>
        <v>3.8206174999999996</v>
      </c>
      <c r="FK12" s="13">
        <f>BF12*FK$3</f>
        <v>0.9103576000000001</v>
      </c>
      <c r="FL12" s="13">
        <f>BS12*FL$3</f>
        <v>0.51400000000000001</v>
      </c>
      <c r="FM12" s="13">
        <f>CG12*FM$3</f>
        <v>0.50028571428571433</v>
      </c>
      <c r="FN12" s="13">
        <f>CT12</f>
        <v>0.32247532270311313</v>
      </c>
      <c r="FO12" s="13">
        <f>SUM(FI12:FN12)*(1+DO12)</f>
        <v>8.9551835154102299</v>
      </c>
      <c r="FQ12" s="13">
        <f>S12*FQ$3</f>
        <v>21.451489663999997</v>
      </c>
      <c r="FR12" s="13">
        <f>AF12*FR$3</f>
        <v>0.15613097478359053</v>
      </c>
      <c r="FS12" s="13">
        <f>AU12*FS$3</f>
        <v>3.0690842561065508</v>
      </c>
      <c r="FT12" s="13">
        <f>BH12*FT$3</f>
        <v>1.1209721000000001</v>
      </c>
      <c r="FU12" s="13">
        <f>BU12*FU$3</f>
        <v>0.412893807778132</v>
      </c>
      <c r="FV12" s="13">
        <f>CI12*FV$3</f>
        <v>0.18760714285714286</v>
      </c>
      <c r="FW12" s="13">
        <f>CV12</f>
        <v>0</v>
      </c>
      <c r="FX12" s="13">
        <f>SUM(FR12:FW12)*(1+DU12)</f>
        <v>6.5616728902531278</v>
      </c>
      <c r="GA12" s="13">
        <f>U12*GA$3</f>
        <v>24.966532063999999</v>
      </c>
      <c r="GB12" s="13">
        <f>AH12*GB$3</f>
        <v>2.6476552941176474</v>
      </c>
      <c r="GC12" s="13">
        <f>AW12*GC$3</f>
        <v>6.6140479225490276</v>
      </c>
      <c r="GD12" s="13">
        <f>BJ12*GD$3</f>
        <v>1.8274772949502232</v>
      </c>
      <c r="GE12" s="13">
        <f>BX12*GE$3</f>
        <v>0.89458753507708288</v>
      </c>
      <c r="GF12" s="13">
        <f>CK12*GF$3</f>
        <v>0.51662076450830707</v>
      </c>
      <c r="GG12" s="13">
        <f>CX12</f>
        <v>3.7007415254237286E-2</v>
      </c>
      <c r="GH12" s="13">
        <f>SUM(GB12:GG12)*(1+DZ12)</f>
        <v>12.619879686850931</v>
      </c>
      <c r="GI12" s="13"/>
      <c r="GJ12" s="13"/>
      <c r="GK12" s="13">
        <f>V12*GK$3</f>
        <v>27.398592015999998</v>
      </c>
      <c r="GL12" s="13">
        <f>AJ12*GL$3</f>
        <v>0.93784996971532408</v>
      </c>
      <c r="GM12" s="13">
        <f>AY12*GM$3</f>
        <v>7.2623587001650556</v>
      </c>
      <c r="GN12" s="13">
        <f>BL12*GN$3</f>
        <v>3.5159296957498327</v>
      </c>
      <c r="GO12" s="13">
        <f>BZ12*GO$3</f>
        <v>1.5295210710908176</v>
      </c>
      <c r="GP12" s="13">
        <f>CM12*GP$3</f>
        <v>0.83562012293493704</v>
      </c>
      <c r="GQ12" s="13">
        <f>CZ12</f>
        <v>0.16373078432612614</v>
      </c>
      <c r="GR12" s="13">
        <f>SUM(GL12:GQ12)*(1+EH12)</f>
        <v>14.261320347091559</v>
      </c>
      <c r="GT12">
        <f>[2]ALLFOS!AD10</f>
        <v>93.287000000000006</v>
      </c>
      <c r="GV12">
        <v>212112</v>
      </c>
      <c r="GW12" t="s">
        <v>5</v>
      </c>
      <c r="GY12" s="148">
        <f t="shared" si="1"/>
        <v>7646.9000000000005</v>
      </c>
      <c r="GZ12" s="148">
        <f t="shared" si="1"/>
        <v>7061.3190000000004</v>
      </c>
      <c r="HA12" s="148">
        <f t="shared" si="1"/>
        <v>6287.0720000000001</v>
      </c>
      <c r="HB12" s="149">
        <f t="shared" si="2"/>
        <v>7317.2719999999999</v>
      </c>
      <c r="HC12" s="149">
        <f t="shared" si="2"/>
        <v>8030.0680000000002</v>
      </c>
      <c r="HD12" s="149">
        <f>'Preliminary estimates - 2017'!AT9</f>
        <v>6793.6130000000003</v>
      </c>
      <c r="HF12" s="148">
        <f>EW12</f>
        <v>9.8436306120352697</v>
      </c>
      <c r="HG12" s="148">
        <f>FF12</f>
        <v>12.579507286555341</v>
      </c>
      <c r="HH12" s="148">
        <f>FO12</f>
        <v>8.9551835154102299</v>
      </c>
      <c r="HI12" s="148">
        <f>FX12</f>
        <v>6.5616728902531278</v>
      </c>
      <c r="HJ12" s="148">
        <f>GH12</f>
        <v>12.619879686850931</v>
      </c>
      <c r="HK12" s="148">
        <f t="shared" si="0"/>
        <v>14.261320347091559</v>
      </c>
      <c r="HL12" s="148">
        <f>'Preliminary estimates - 2017'!AL9</f>
        <v>15.436210942427874</v>
      </c>
      <c r="HO12">
        <f>Prices!D9</f>
        <v>1992</v>
      </c>
      <c r="HP12">
        <f>Prices!E9</f>
        <v>26.78</v>
      </c>
      <c r="HQ12" s="86">
        <f>Prices!F9</f>
        <v>0.94998226321390566</v>
      </c>
      <c r="HR12" s="79">
        <f>Prices!G9</f>
        <v>0.69424010791366897</v>
      </c>
      <c r="HS12" s="86">
        <f>Prices!H9</f>
        <v>1.1888185654008436</v>
      </c>
      <c r="HT12" s="79">
        <f>Prices!I9</f>
        <v>0.63698426323319024</v>
      </c>
      <c r="HU12" s="86">
        <f>Prices!J9</f>
        <v>1.187604690117253</v>
      </c>
      <c r="HV12" s="79">
        <f>Prices!K9</f>
        <v>0.35182758620689653</v>
      </c>
      <c r="HW12" s="86">
        <f>Prices!L9</f>
        <v>0.79720279720279719</v>
      </c>
      <c r="HX12">
        <f>Prices!M9</f>
        <v>2.84</v>
      </c>
      <c r="HY12" s="86">
        <f>Prices!N9</f>
        <v>0.96598639455782309</v>
      </c>
      <c r="HZ12">
        <f>Prices!O9</f>
        <v>0</v>
      </c>
    </row>
    <row r="13" spans="2:234" x14ac:dyDescent="0.2">
      <c r="C13">
        <v>212113</v>
      </c>
      <c r="D13" t="s">
        <v>16</v>
      </c>
      <c r="G13">
        <v>68</v>
      </c>
      <c r="H13" s="3">
        <v>1141</v>
      </c>
      <c r="I13">
        <v>63</v>
      </c>
      <c r="J13" s="3">
        <v>835</v>
      </c>
      <c r="K13" s="3"/>
      <c r="L13" s="3"/>
      <c r="M13" s="3"/>
      <c r="N13" s="3"/>
      <c r="O13" s="3"/>
      <c r="P13" s="3"/>
      <c r="Q13" s="3">
        <v>120900</v>
      </c>
      <c r="R13" s="3">
        <v>89914</v>
      </c>
      <c r="S13" s="3">
        <v>48854</v>
      </c>
      <c r="T13" s="78">
        <v>212113</v>
      </c>
      <c r="U13" s="91">
        <v>59512</v>
      </c>
      <c r="V13" s="91">
        <f>[3]Sheet1!D12</f>
        <v>97159</v>
      </c>
      <c r="W13" s="91"/>
      <c r="X13" s="23">
        <f>(R13+S13)/2</f>
        <v>69384</v>
      </c>
      <c r="Y13" s="33"/>
      <c r="Z13" s="33"/>
      <c r="AA13" s="33"/>
      <c r="AB13" s="3"/>
      <c r="AC13" s="3"/>
      <c r="AD13" s="6"/>
      <c r="AE13" s="6"/>
      <c r="AF13" s="6"/>
      <c r="AG13" s="6"/>
      <c r="AH13" s="6"/>
      <c r="AI13" s="6">
        <f>Pivot_Table_2012!C7</f>
        <v>0</v>
      </c>
      <c r="AJ13" s="94">
        <f>AI13/HO$16</f>
        <v>0</v>
      </c>
      <c r="AK13" s="94"/>
      <c r="AL13" s="94"/>
      <c r="AM13" s="16">
        <f>(AD13+AF13)/2</f>
        <v>0</v>
      </c>
      <c r="AN13" s="8">
        <v>2.5</v>
      </c>
      <c r="AO13" s="8">
        <v>95.8</v>
      </c>
      <c r="AP13" s="8">
        <v>2.2000000000000002</v>
      </c>
      <c r="AQ13" s="8">
        <v>76.3</v>
      </c>
      <c r="AR13" s="6">
        <v>3003</v>
      </c>
      <c r="AS13" s="6">
        <v>103.2</v>
      </c>
      <c r="AT13" s="59">
        <f>HT14*AU13/AS13*AR13</f>
        <v>422.43882352941182</v>
      </c>
      <c r="AU13" s="59">
        <f>0.12*AS13</f>
        <v>12.384</v>
      </c>
      <c r="AV13" s="58">
        <v>3787</v>
      </c>
      <c r="AW13" s="174">
        <f>AV13/(AT13*AW$4)*AU13</f>
        <v>39.574896653601925</v>
      </c>
      <c r="AX13" s="6">
        <f>Pivot_Table_2012!E7</f>
        <v>8353</v>
      </c>
      <c r="AY13" s="174">
        <f t="shared" si="3"/>
        <v>62.37859880324104</v>
      </c>
      <c r="AZ13" s="16">
        <f>(AS13+AU13)/2</f>
        <v>57.792000000000002</v>
      </c>
      <c r="BA13" s="6"/>
      <c r="BB13" s="6"/>
      <c r="BC13" s="6"/>
      <c r="BD13" s="6"/>
      <c r="BE13" s="6">
        <v>1190</v>
      </c>
      <c r="BF13" s="6">
        <v>34.9</v>
      </c>
      <c r="BG13" s="59">
        <f>HV14*BH13/BF13*BE13</f>
        <v>622.46153846153868</v>
      </c>
      <c r="BH13" s="59">
        <f>0.4*BF13</f>
        <v>13.96</v>
      </c>
      <c r="BI13" s="58">
        <v>1652</v>
      </c>
      <c r="BJ13" s="174">
        <f>BI13/(BG13*BJ$4)*BH13</f>
        <v>15.105230848153214</v>
      </c>
      <c r="BK13" s="6">
        <f>Pivot_Table_2012!I7</f>
        <v>3486</v>
      </c>
      <c r="BL13" s="174">
        <f>BK13/(BI13*BL$4)*BJ13</f>
        <v>16.764496443314165</v>
      </c>
      <c r="BM13" s="16">
        <f>(BF13+BH13)/2</f>
        <v>24.43</v>
      </c>
      <c r="BN13" s="8"/>
      <c r="BO13" s="8"/>
      <c r="BP13" s="8"/>
      <c r="BQ13" s="8"/>
      <c r="BR13" s="6"/>
      <c r="BS13" s="6"/>
      <c r="BT13" s="6"/>
      <c r="BU13" s="6"/>
      <c r="BV13" s="6"/>
      <c r="BW13" s="6"/>
      <c r="BX13" s="94"/>
      <c r="BY13" s="8">
        <f>Pivot_Table_2012!F7</f>
        <v>0</v>
      </c>
      <c r="BZ13" s="84"/>
      <c r="CA13" s="16"/>
      <c r="CB13" s="6">
        <v>0.7</v>
      </c>
      <c r="CC13" s="6">
        <v>0.9</v>
      </c>
      <c r="CD13" s="6">
        <v>1.2</v>
      </c>
      <c r="CE13" s="6">
        <v>1.2</v>
      </c>
      <c r="CF13" s="8">
        <v>342</v>
      </c>
      <c r="CG13" s="6">
        <v>0.3</v>
      </c>
      <c r="CH13" s="6"/>
      <c r="CI13" s="59">
        <v>0.1</v>
      </c>
      <c r="CJ13" s="58">
        <v>622</v>
      </c>
      <c r="CK13" s="175">
        <f>CJ13/HQ15*0.001</f>
        <v>0.27078798432738355</v>
      </c>
      <c r="CL13" s="8">
        <f>Pivot_Table_2012!G7</f>
        <v>812</v>
      </c>
      <c r="CM13" s="174">
        <f>(CL13/(CJ13*HT$16))*CK13</f>
        <v>0.25261764573123735</v>
      </c>
      <c r="CN13" s="16">
        <f>(CG13+CI13)/2</f>
        <v>0.2</v>
      </c>
      <c r="CO13" s="6"/>
      <c r="CP13" s="6"/>
      <c r="CQ13" s="6"/>
      <c r="CR13" s="6"/>
      <c r="CS13" s="6"/>
      <c r="CT13" s="6"/>
      <c r="CU13" s="6"/>
      <c r="CV13" s="6"/>
      <c r="CW13" s="92">
        <f>EB13</f>
        <v>170</v>
      </c>
      <c r="CX13" s="122">
        <f>HY$41*0.001*CW13</f>
        <v>8.2238700564971744E-3</v>
      </c>
      <c r="CY13" s="141">
        <f>EJ13</f>
        <v>121</v>
      </c>
      <c r="CZ13" s="122">
        <f>HO$42*0.001*CY13</f>
        <v>4.1225015142337972E-2</v>
      </c>
      <c r="DA13" s="110">
        <f>DF13/DD13-1</f>
        <v>1.2187499999999996</v>
      </c>
      <c r="DB13" s="131">
        <v>0</v>
      </c>
      <c r="DC13" s="131"/>
      <c r="DD13" s="116">
        <f>DE13</f>
        <v>3.2</v>
      </c>
      <c r="DE13" s="133">
        <f>AN13+BA13+BN13+CB13+CO13</f>
        <v>3.2</v>
      </c>
      <c r="DF13" s="131">
        <v>7.1</v>
      </c>
      <c r="DG13" s="131"/>
      <c r="DH13" s="110">
        <f>DM13/DK13-1</f>
        <v>0.97058823529411753</v>
      </c>
      <c r="DI13" s="131"/>
      <c r="DJ13" s="131"/>
      <c r="DK13" s="131">
        <f>DL13</f>
        <v>3.4000000000000004</v>
      </c>
      <c r="DL13" s="136">
        <f>AP13+BC13+BP13+CD13+CQ13</f>
        <v>3.4000000000000004</v>
      </c>
      <c r="DM13" s="131">
        <v>6.7</v>
      </c>
      <c r="DN13" s="131"/>
      <c r="DO13" s="110">
        <f>DT13/DR13-1</f>
        <v>0.3320837927232636</v>
      </c>
      <c r="DP13" s="116">
        <f>DT13-DS13</f>
        <v>1506</v>
      </c>
      <c r="DR13" s="33">
        <f>DS13</f>
        <v>4535</v>
      </c>
      <c r="DS13" s="33">
        <f>AC13+AR13+BE13+BR13+CF13</f>
        <v>4535</v>
      </c>
      <c r="DT13">
        <v>6041</v>
      </c>
      <c r="DU13" s="21">
        <f>DY13/DX13-1</f>
        <v>1.0901514435678941</v>
      </c>
      <c r="DV13" s="141">
        <v>1037</v>
      </c>
      <c r="DW13" s="110"/>
      <c r="DX13" s="33">
        <f>AT13+BG13+CH13+BT13+CU13</f>
        <v>1044.9003619909504</v>
      </c>
      <c r="DY13" s="27">
        <v>2184</v>
      </c>
      <c r="DZ13" s="21">
        <f>ED13/(EB13+EC13)-1</f>
        <v>0.10511956347295781</v>
      </c>
      <c r="EA13" s="27">
        <v>655</v>
      </c>
      <c r="EB13" s="27">
        <v>170</v>
      </c>
      <c r="EC13" s="27">
        <f>AG13+AV13+BI13+BW13+CJ13</f>
        <v>6061</v>
      </c>
      <c r="ED13" s="27">
        <v>6886</v>
      </c>
      <c r="EE13" s="27"/>
      <c r="EF13" s="27"/>
      <c r="EH13" s="21">
        <f t="shared" si="4"/>
        <v>1.7068587535233215E-2</v>
      </c>
      <c r="EI13">
        <f>Pivot_Table_2012!K7</f>
        <v>218</v>
      </c>
      <c r="EJ13" s="27">
        <f t="shared" si="5"/>
        <v>121</v>
      </c>
      <c r="EK13" s="27"/>
      <c r="EL13" s="27">
        <f>AI13+AX13+BK13+BY13+CL13</f>
        <v>12651</v>
      </c>
      <c r="EM13">
        <f>Pivot_Table_2012!J7</f>
        <v>12990</v>
      </c>
      <c r="EP13" s="13">
        <f>C13*EP$3</f>
        <v>0.72372955599999989</v>
      </c>
      <c r="EQ13" s="13">
        <f>Z13*EQ$3</f>
        <v>0</v>
      </c>
      <c r="ER13" s="13">
        <f>AO13*ER$3</f>
        <v>0.55803499999999995</v>
      </c>
      <c r="ES13" s="13">
        <f>BB13*ES$3</f>
        <v>0</v>
      </c>
      <c r="ET13" s="13">
        <f>BO13*ET$3</f>
        <v>0</v>
      </c>
      <c r="EU13" s="13">
        <f>CC13*EU$3</f>
        <v>0.11256428571428573</v>
      </c>
      <c r="EV13" s="13">
        <f>CP13</f>
        <v>0</v>
      </c>
      <c r="EW13" s="13">
        <f>SUM(EQ13:EV13)*(1+DA13)</f>
        <v>1.4878921651785713</v>
      </c>
      <c r="EY13" s="13">
        <f>C13*EY$3</f>
        <v>0.72372955599999989</v>
      </c>
      <c r="EZ13" s="13">
        <f>AB13*EZ$3</f>
        <v>0</v>
      </c>
      <c r="FA13" s="13">
        <f>AQ13*FA$3</f>
        <v>0.44444749999999994</v>
      </c>
      <c r="FB13" s="13">
        <f>BD13*FB$3</f>
        <v>0</v>
      </c>
      <c r="FC13" s="13">
        <f>BQ13*FC$3</f>
        <v>0</v>
      </c>
      <c r="FD13" s="13">
        <f>CE13*FD$3</f>
        <v>0.15008571428571429</v>
      </c>
      <c r="FE13" s="13">
        <f>CR13</f>
        <v>0</v>
      </c>
      <c r="FF13" s="13">
        <f>SUM(EZ13:FE13)*(1+DH13)</f>
        <v>1.1715801575630251</v>
      </c>
      <c r="FH13" s="13">
        <f>R13*FH$3</f>
        <v>0.30678656799999998</v>
      </c>
      <c r="FI13" s="13">
        <f>AD13*FI$3</f>
        <v>0</v>
      </c>
      <c r="FJ13" s="13">
        <f>AS13*FJ$3</f>
        <v>0.60114000000000001</v>
      </c>
      <c r="FK13" s="13">
        <f>BF13*FK$3</f>
        <v>0.21941629999999998</v>
      </c>
      <c r="FL13" s="13">
        <f>BS13*FL$3</f>
        <v>0</v>
      </c>
      <c r="FM13" s="13">
        <f>CG13*FM$3</f>
        <v>3.7521428571428574E-2</v>
      </c>
      <c r="FN13" s="13">
        <f>CT13</f>
        <v>0</v>
      </c>
      <c r="FO13" s="13">
        <f>SUM(FI13:FN13)*(1+DO13)</f>
        <v>1.1430314351267918</v>
      </c>
      <c r="FQ13" s="13">
        <f>S13*FQ$3</f>
        <v>0.16668984799999997</v>
      </c>
      <c r="FR13" s="13">
        <f>AF13*FR$3</f>
        <v>0</v>
      </c>
      <c r="FS13" s="13">
        <f>AU13*FS$3</f>
        <v>7.2136800000000001E-2</v>
      </c>
      <c r="FT13" s="13">
        <f>BH13*FT$3</f>
        <v>8.7766520000000001E-2</v>
      </c>
      <c r="FU13" s="13">
        <f>BU13*FU$3</f>
        <v>0</v>
      </c>
      <c r="FV13" s="13">
        <f>CI13*FV$3</f>
        <v>1.2507142857142859E-2</v>
      </c>
      <c r="FW13" s="13"/>
      <c r="FX13" s="13">
        <f>SUM(FR13:FW13)*(1+DU13)</f>
        <v>0.36036397782706597</v>
      </c>
      <c r="GA13" s="13">
        <f>U13*GA$3</f>
        <v>0.20305494399999999</v>
      </c>
      <c r="GB13" s="13">
        <f>AH13*GB$3</f>
        <v>0</v>
      </c>
      <c r="GC13" s="13">
        <f>AW13*GC$3</f>
        <v>0.2305237730072312</v>
      </c>
      <c r="GD13" s="13">
        <f>BJ13*GD$3</f>
        <v>9.496658634233926E-2</v>
      </c>
      <c r="GE13" s="13">
        <f>BX13*GE$3</f>
        <v>0</v>
      </c>
      <c r="GF13" s="13">
        <f>CK13*GF$3</f>
        <v>3.3867840039803476E-2</v>
      </c>
      <c r="GG13" s="13">
        <f>CX13</f>
        <v>8.2238700564971744E-3</v>
      </c>
      <c r="GH13" s="13">
        <f>SUM(GB13:GG13)*(1+DZ13)</f>
        <v>0.40622213612650754</v>
      </c>
      <c r="GI13" s="13"/>
      <c r="GJ13" s="13"/>
      <c r="GK13" s="13">
        <f>V13*GK$3</f>
        <v>0.33150650799999998</v>
      </c>
      <c r="GL13" s="13">
        <f>AJ13*GL$3</f>
        <v>0</v>
      </c>
      <c r="GM13" s="13">
        <f>AY13*GM$3</f>
        <v>0.36335533802887904</v>
      </c>
      <c r="GN13" s="13">
        <f>BL13*GN$3</f>
        <v>0.10539838913911616</v>
      </c>
      <c r="GO13" s="13">
        <f>BZ13*GO$3</f>
        <v>0</v>
      </c>
      <c r="GP13" s="13">
        <f>CM13*GP$3</f>
        <v>3.1595249833956902E-2</v>
      </c>
      <c r="GQ13" s="13">
        <f>CZ13</f>
        <v>4.1225015142337972E-2</v>
      </c>
      <c r="GR13" s="13">
        <f>SUM(GL13:GQ13)*(1+EH13)</f>
        <v>0.55081789523601066</v>
      </c>
      <c r="GV13">
        <v>212113</v>
      </c>
      <c r="GW13" t="s">
        <v>16</v>
      </c>
      <c r="GY13" s="148">
        <f t="shared" si="1"/>
        <v>120.9</v>
      </c>
      <c r="GZ13" s="148">
        <f t="shared" si="1"/>
        <v>89.914000000000001</v>
      </c>
      <c r="HA13" s="148">
        <f t="shared" si="1"/>
        <v>48.853999999999999</v>
      </c>
      <c r="HB13" s="149">
        <f t="shared" si="2"/>
        <v>59.512</v>
      </c>
      <c r="HC13" s="149">
        <f t="shared" si="2"/>
        <v>97.159000000000006</v>
      </c>
      <c r="HD13" s="149">
        <f>'Preliminary estimates - 2017'!AT10</f>
        <v>54.027000000000001</v>
      </c>
      <c r="HF13" s="148">
        <f>EW13</f>
        <v>1.4878921651785713</v>
      </c>
      <c r="HG13" s="148">
        <f>FF13</f>
        <v>1.1715801575630251</v>
      </c>
      <c r="HH13" s="148">
        <f>FO13</f>
        <v>1.1430314351267918</v>
      </c>
      <c r="HI13" s="148">
        <f>FX13</f>
        <v>0.36036397782706597</v>
      </c>
      <c r="HJ13" s="148">
        <f>GH13</f>
        <v>0.40622213612650754</v>
      </c>
      <c r="HK13" s="148">
        <f t="shared" si="0"/>
        <v>0.55081789523601066</v>
      </c>
      <c r="HL13" s="148">
        <f>'Preliminary estimates - 2017'!AL10</f>
        <v>0.65970012348652507</v>
      </c>
      <c r="HN13">
        <f>Prices!D10</f>
        <v>1997</v>
      </c>
      <c r="HO13">
        <f>Prices!E10</f>
        <v>24.64</v>
      </c>
      <c r="HP13" s="86">
        <f>Prices!F10</f>
        <v>0.92008961911874532</v>
      </c>
      <c r="HQ13" s="79">
        <f>Prices!G10</f>
        <v>0.78500000000000003</v>
      </c>
      <c r="HR13" s="86">
        <f>Prices!H10</f>
        <v>1.1307327119994302</v>
      </c>
      <c r="HS13" s="79">
        <f>Prices!I10</f>
        <v>0.71399999999999997</v>
      </c>
      <c r="HT13" s="86">
        <f>Prices!J10</f>
        <v>1.1209068123220109</v>
      </c>
      <c r="HU13" s="79">
        <f>Prices!K10</f>
        <v>0.42899999999999999</v>
      </c>
      <c r="HV13" s="86">
        <f>Prices!L10</f>
        <v>1.2193472508085859</v>
      </c>
      <c r="HW13">
        <f>Prices!M10</f>
        <v>3.59</v>
      </c>
      <c r="HX13" s="86">
        <f>Prices!N10</f>
        <v>1.2640845070422535</v>
      </c>
      <c r="HY13">
        <f>Prices!O10</f>
        <v>0.878</v>
      </c>
    </row>
    <row r="14" spans="2:234" x14ac:dyDescent="0.2">
      <c r="H14" s="3"/>
      <c r="J14" s="3"/>
      <c r="K14" s="3"/>
      <c r="L14" s="3"/>
      <c r="M14" s="3"/>
      <c r="N14" s="3"/>
      <c r="O14" s="3"/>
      <c r="P14" s="3"/>
      <c r="Q14" s="3"/>
      <c r="R14" s="3"/>
      <c r="S14" s="3"/>
      <c r="U14" s="3"/>
      <c r="V14" s="3"/>
      <c r="W14" s="3"/>
      <c r="X14" s="23"/>
      <c r="Y14" s="33"/>
      <c r="Z14" s="33"/>
      <c r="AA14" s="33"/>
      <c r="AB14" s="3"/>
      <c r="AC14" s="3"/>
      <c r="AD14" s="6"/>
      <c r="AE14" s="6"/>
      <c r="AF14" s="6"/>
      <c r="AG14" s="6"/>
      <c r="AH14" s="6"/>
      <c r="AI14" s="6"/>
      <c r="AJ14" s="6"/>
      <c r="AK14" s="6"/>
      <c r="AL14" s="6"/>
      <c r="AM14" s="16"/>
      <c r="AN14" s="6"/>
      <c r="AO14" s="6"/>
      <c r="AP14" s="6"/>
      <c r="AQ14" s="6"/>
      <c r="AR14" s="6"/>
      <c r="AS14" s="6"/>
      <c r="AT14" s="6"/>
      <c r="AU14" s="6"/>
      <c r="AV14" s="6"/>
      <c r="AW14" s="175"/>
      <c r="AX14" s="6"/>
      <c r="AY14" s="175"/>
      <c r="AZ14" s="16"/>
      <c r="BA14" s="6"/>
      <c r="BB14" s="6"/>
      <c r="BC14" s="6"/>
      <c r="BD14" s="6"/>
      <c r="BE14" s="6"/>
      <c r="BF14" s="6"/>
      <c r="BG14" s="6"/>
      <c r="BH14" s="6"/>
      <c r="BI14" s="6"/>
      <c r="BJ14" s="175"/>
      <c r="BK14" s="6"/>
      <c r="BL14" s="175"/>
      <c r="BM14" s="16"/>
      <c r="BN14" s="6"/>
      <c r="BO14" s="6"/>
      <c r="BP14" s="6"/>
      <c r="BQ14" s="6"/>
      <c r="BR14" s="6"/>
      <c r="BS14" s="6"/>
      <c r="BT14" s="6"/>
      <c r="BU14" s="6"/>
      <c r="BV14" s="6"/>
      <c r="BW14" s="6"/>
      <c r="BX14" s="94"/>
      <c r="BY14" s="8"/>
      <c r="BZ14" s="8"/>
      <c r="CA14" s="16"/>
      <c r="CB14" s="6"/>
      <c r="CC14" s="6"/>
      <c r="CD14" s="6"/>
      <c r="CE14" s="6"/>
      <c r="CF14" s="6"/>
      <c r="CG14" s="6"/>
      <c r="CH14" s="6"/>
      <c r="CI14" s="6"/>
      <c r="CJ14" s="6"/>
      <c r="CK14" s="175"/>
      <c r="CL14" s="8"/>
      <c r="CM14" s="148"/>
      <c r="CN14" s="16"/>
      <c r="CO14" s="6"/>
      <c r="CP14" s="6"/>
      <c r="CQ14" s="6"/>
      <c r="CR14" s="6"/>
      <c r="CS14" s="6"/>
      <c r="CT14" s="6"/>
      <c r="CU14" s="6"/>
      <c r="CV14" s="6"/>
      <c r="CW14" s="6"/>
      <c r="CX14" s="6"/>
      <c r="CY14" s="141"/>
      <c r="CZ14" s="115"/>
      <c r="DA14" s="8"/>
      <c r="DB14" s="8"/>
      <c r="DC14" s="8"/>
      <c r="DD14" s="8"/>
      <c r="DE14" s="8"/>
      <c r="DF14" s="8"/>
      <c r="DG14" s="8"/>
      <c r="DH14" s="8"/>
      <c r="DI14" s="8"/>
      <c r="DJ14" s="8"/>
      <c r="DK14" s="8"/>
      <c r="DL14" s="42"/>
      <c r="DM14" s="8"/>
      <c r="DN14" s="8"/>
      <c r="DU14" s="21"/>
      <c r="DV14" s="110"/>
      <c r="DW14" s="142">
        <f>AT12</f>
        <v>14840</v>
      </c>
      <c r="DX14" s="33"/>
      <c r="DY14" s="27"/>
      <c r="DZ14" s="27"/>
      <c r="EA14" s="27"/>
      <c r="EB14" s="27"/>
      <c r="EC14" s="27"/>
      <c r="ED14" s="27"/>
      <c r="EE14" s="27"/>
      <c r="EF14" s="27"/>
      <c r="EW14" s="13"/>
      <c r="FQ14" s="13"/>
      <c r="FR14" s="13"/>
      <c r="FS14" s="13"/>
      <c r="FT14" s="13"/>
      <c r="FU14" s="13"/>
      <c r="FV14" s="13"/>
      <c r="FW14" s="13"/>
      <c r="FX14" s="13"/>
      <c r="GY14" s="148"/>
      <c r="GZ14" s="148"/>
      <c r="HA14" s="148"/>
      <c r="HB14" s="149"/>
      <c r="HC14" s="149"/>
      <c r="HD14" s="149"/>
      <c r="HF14" s="148"/>
      <c r="HG14" s="148"/>
      <c r="HH14" s="148"/>
      <c r="HI14" s="148"/>
      <c r="HJ14" s="148"/>
      <c r="HK14" s="148"/>
      <c r="HL14" s="148">
        <f>'Preliminary estimates - 2017'!AL11</f>
        <v>0</v>
      </c>
      <c r="HN14">
        <f>Prices!D11</f>
        <v>2002</v>
      </c>
      <c r="HO14">
        <f>Prices!E11</f>
        <v>26.57</v>
      </c>
      <c r="HP14" s="86">
        <f>Prices!F11</f>
        <v>1.0783279220779221</v>
      </c>
      <c r="HQ14" s="79">
        <f>Prices!G11</f>
        <v>0.90100000000000002</v>
      </c>
      <c r="HR14" s="86">
        <f>Prices!H11</f>
        <v>1.1477707006369426</v>
      </c>
      <c r="HS14" s="79">
        <f>Prices!I11</f>
        <v>0.83699999999999997</v>
      </c>
      <c r="HT14" s="86">
        <f>Prices!J11</f>
        <v>1.1722689075630253</v>
      </c>
      <c r="HU14" s="79">
        <f>Prices!K11</f>
        <v>0.56100000000000005</v>
      </c>
      <c r="HV14" s="86">
        <f>Prices!L11</f>
        <v>1.3076923076923079</v>
      </c>
      <c r="HW14">
        <f>Prices!M11</f>
        <v>4.0199999999999996</v>
      </c>
      <c r="HX14" s="86">
        <f>Prices!N11</f>
        <v>1.1197771587743732</v>
      </c>
      <c r="HY14">
        <f>Prices!O11</f>
        <v>0.95799999999999996</v>
      </c>
      <c r="HZ14" s="86">
        <f>Prices!P11</f>
        <v>1.0911161731207288</v>
      </c>
    </row>
    <row r="15" spans="2:234" x14ac:dyDescent="0.2">
      <c r="B15">
        <v>212210</v>
      </c>
      <c r="C15">
        <v>212210</v>
      </c>
      <c r="D15" t="s">
        <v>18</v>
      </c>
      <c r="E15">
        <v>40</v>
      </c>
      <c r="F15">
        <v>7200</v>
      </c>
      <c r="G15">
        <v>32</v>
      </c>
      <c r="H15" s="3">
        <v>7920</v>
      </c>
      <c r="I15">
        <v>24</v>
      </c>
      <c r="J15" s="3">
        <v>5189</v>
      </c>
      <c r="K15" s="3"/>
      <c r="L15" s="3"/>
      <c r="M15" s="3">
        <f>[3]ECN_2012_US_21SG1_with_ann!$H$11</f>
        <v>21</v>
      </c>
      <c r="N15" s="3">
        <f>[3]ECN_2012_US_21SG1_with_ann!$L$11</f>
        <v>6021</v>
      </c>
      <c r="O15" s="3"/>
      <c r="P15" s="3"/>
      <c r="Q15" s="3">
        <v>7287500</v>
      </c>
      <c r="R15" s="3">
        <v>6233554</v>
      </c>
      <c r="S15" s="3">
        <v>7164253</v>
      </c>
      <c r="T15" s="78">
        <v>212210</v>
      </c>
      <c r="U15" s="91">
        <v>7182445</v>
      </c>
      <c r="V15" s="181">
        <v>7000000</v>
      </c>
      <c r="W15" s="181"/>
      <c r="X15" s="23">
        <f t="shared" ref="X15:X21" si="6">(R15+S15)/2</f>
        <v>6698903.5</v>
      </c>
      <c r="Y15">
        <v>3.6</v>
      </c>
      <c r="Z15" s="95">
        <f>Y15/HO$11*1000</f>
        <v>127.70485987938984</v>
      </c>
      <c r="AA15">
        <v>3.1</v>
      </c>
      <c r="AB15" s="95">
        <f>AA15/HP$12*1000</f>
        <v>115.75802837938761</v>
      </c>
      <c r="AC15" s="3"/>
      <c r="AD15" s="14">
        <v>90</v>
      </c>
      <c r="AE15" s="8">
        <v>3815</v>
      </c>
      <c r="AF15" s="6">
        <v>81</v>
      </c>
      <c r="AG15" s="6"/>
      <c r="AH15" s="6"/>
      <c r="AI15" s="6">
        <f>Pivot_Table_2012!C8</f>
        <v>0</v>
      </c>
      <c r="AJ15" s="6"/>
      <c r="AK15" s="6"/>
      <c r="AL15" s="6"/>
      <c r="AM15" s="16">
        <f t="shared" ref="AM15:AM22" si="7">(AD15+AF15)/2</f>
        <v>85.5</v>
      </c>
      <c r="AN15" s="33">
        <v>13.5</v>
      </c>
      <c r="AO15" s="33">
        <v>542.70000000000005</v>
      </c>
      <c r="AP15" s="33">
        <v>17.8</v>
      </c>
      <c r="AQ15" s="3">
        <v>669.6</v>
      </c>
      <c r="AR15" s="8">
        <v>24505</v>
      </c>
      <c r="AS15" s="6">
        <v>910.7</v>
      </c>
      <c r="AT15" s="8">
        <v>23886</v>
      </c>
      <c r="AU15" s="8">
        <v>597.70000000000005</v>
      </c>
      <c r="AV15" s="58">
        <v>93430</v>
      </c>
      <c r="AW15" s="174">
        <f>AV15/(AT15*AW$4)*AU15</f>
        <v>833.40008829204476</v>
      </c>
      <c r="AX15" s="6">
        <f>Pivot_Table_2012!E8</f>
        <v>111679</v>
      </c>
      <c r="AY15" s="174">
        <f t="shared" si="3"/>
        <v>711.8809300739282</v>
      </c>
      <c r="AZ15" s="16">
        <f>(AS15+AU15)/2</f>
        <v>754.2</v>
      </c>
      <c r="BA15" s="8"/>
      <c r="BB15" s="8"/>
      <c r="BC15" s="8"/>
      <c r="BD15" s="6"/>
      <c r="BE15" s="6"/>
      <c r="BF15" s="6"/>
      <c r="BG15" s="92"/>
      <c r="BH15" s="6"/>
      <c r="BI15" s="6"/>
      <c r="BJ15" s="175"/>
      <c r="BK15" s="6">
        <f>Pivot_Table_2012!I8</f>
        <v>0</v>
      </c>
      <c r="BL15" s="175"/>
      <c r="BM15" s="16">
        <f>(BF15+BH15)/2</f>
        <v>0</v>
      </c>
      <c r="BN15" s="6">
        <v>44.7</v>
      </c>
      <c r="BO15" s="6">
        <v>21</v>
      </c>
      <c r="BP15" s="6">
        <v>59.8</v>
      </c>
      <c r="BQ15" s="6">
        <v>29.7</v>
      </c>
      <c r="BR15" s="6">
        <v>80835</v>
      </c>
      <c r="BS15" s="6">
        <v>34.299999999999997</v>
      </c>
      <c r="BT15" s="6">
        <v>72998</v>
      </c>
      <c r="BU15" s="6">
        <v>22.1</v>
      </c>
      <c r="BV15" s="8">
        <f>BT15/BU15*0.001</f>
        <v>3.3030769230769228</v>
      </c>
      <c r="BW15" s="8">
        <v>182528</v>
      </c>
      <c r="BX15" s="169">
        <f>BW15/(BT15*BX$4)*BU15</f>
        <v>28.925151374010245</v>
      </c>
      <c r="BY15" s="8">
        <f>Pivot_Table_2012!F8</f>
        <v>103974</v>
      </c>
      <c r="BZ15" s="169">
        <f>BY15/(BW15*BZ$4)*BX15</f>
        <v>32.613724016729165</v>
      </c>
      <c r="CA15" s="16">
        <f>(BS15+BU15)/2</f>
        <v>28.2</v>
      </c>
      <c r="CB15" s="6">
        <v>0.8</v>
      </c>
      <c r="CC15" s="6">
        <v>1</v>
      </c>
      <c r="CD15" s="6">
        <v>1</v>
      </c>
      <c r="CE15" s="8">
        <v>1.1000000000000001</v>
      </c>
      <c r="CF15" s="8">
        <v>1296</v>
      </c>
      <c r="CG15" s="6">
        <v>1.4</v>
      </c>
      <c r="CH15" s="6">
        <f>$J15/$H15*CF15</f>
        <v>849.10909090909092</v>
      </c>
      <c r="CI15" s="6">
        <f>$J15/$H15*CG15</f>
        <v>0.9172474747474747</v>
      </c>
      <c r="CJ15" s="8">
        <v>2237</v>
      </c>
      <c r="CK15" s="174">
        <f>CJ15/(CH15*CK$4)*CI15</f>
        <v>0.94787880864466267</v>
      </c>
      <c r="CL15" s="8">
        <f>Pivot_Table_2012!G8</f>
        <v>4182</v>
      </c>
      <c r="CM15" s="174">
        <f>(CL15/(CJ15*HT$16))*CK15</f>
        <v>1.2663084583834601</v>
      </c>
      <c r="CN15" s="16">
        <f>(CG15+CI15)/2</f>
        <v>1.1586237373737374</v>
      </c>
      <c r="CO15" s="6">
        <v>2.4</v>
      </c>
      <c r="CP15" s="93">
        <f>HY$37*CO15</f>
        <v>0.30485488044876263</v>
      </c>
      <c r="CQ15" s="6">
        <v>4.5</v>
      </c>
      <c r="CR15" s="93">
        <f>HY$38*CQ15</f>
        <v>0.59172976354711415</v>
      </c>
      <c r="CS15" s="6">
        <v>5340</v>
      </c>
      <c r="CT15" s="93">
        <f>HY$39*0.001*CS15</f>
        <v>0.55548974943052398</v>
      </c>
      <c r="CU15" s="6">
        <v>4597</v>
      </c>
      <c r="CV15" s="93">
        <f>HY$40*0.001*CU15</f>
        <v>0.43826652748782186</v>
      </c>
      <c r="CW15" s="92">
        <f>EB15</f>
        <v>5000</v>
      </c>
      <c r="CX15" s="122">
        <f>HY$41*0.001*CW15</f>
        <v>0.24187853107344631</v>
      </c>
      <c r="CY15" s="141">
        <f>EJ15</f>
        <v>4000</v>
      </c>
      <c r="CZ15" s="122">
        <f>HY$42*0.001*CY15</f>
        <v>0.25296374557918289</v>
      </c>
      <c r="DA15" s="134">
        <f>DF15/DD15-1</f>
        <v>9.2307692307691536E-3</v>
      </c>
      <c r="DB15" s="131">
        <v>0.5</v>
      </c>
      <c r="DC15" s="131"/>
      <c r="DD15" s="116">
        <f>DE15</f>
        <v>65</v>
      </c>
      <c r="DE15" s="133">
        <f>Y15+AN15+BA15+BN15+CB15+CO15</f>
        <v>65</v>
      </c>
      <c r="DF15" s="131">
        <v>65.599999999999994</v>
      </c>
      <c r="DG15" s="131"/>
      <c r="DH15" s="110">
        <f>DM15/DK15-1</f>
        <v>0</v>
      </c>
      <c r="DI15" s="131">
        <v>0.5</v>
      </c>
      <c r="DJ15" s="131"/>
      <c r="DK15" s="131">
        <f>DL15</f>
        <v>86.6</v>
      </c>
      <c r="DL15" s="131">
        <f>DM15</f>
        <v>86.6</v>
      </c>
      <c r="DM15" s="131">
        <v>86.6</v>
      </c>
      <c r="DN15" s="131"/>
      <c r="DO15" s="110">
        <f>DT15/DR15-1</f>
        <v>4.4875687647353057E-2</v>
      </c>
      <c r="DP15" s="116">
        <f>DT15-DS15</f>
        <v>5025</v>
      </c>
      <c r="DQ15">
        <v>5340</v>
      </c>
      <c r="DR15" s="33">
        <f>DS15</f>
        <v>111976</v>
      </c>
      <c r="DS15" s="33">
        <f>AC15+AR15+BE15+BR15+CF15+CS15</f>
        <v>111976</v>
      </c>
      <c r="DT15">
        <v>117001</v>
      </c>
      <c r="DU15" s="21">
        <f>DY15/DX15-1</f>
        <v>1.9764367167347752E-2</v>
      </c>
      <c r="DV15" s="110"/>
      <c r="DW15" s="142">
        <f>BG12</f>
        <v>6638</v>
      </c>
      <c r="DX15" s="33">
        <f>AE15+AT15+BG15+CH15+BT15+CU15</f>
        <v>106145.1090909091</v>
      </c>
      <c r="DY15" s="27">
        <v>108243</v>
      </c>
      <c r="DZ15" s="21">
        <f>ED15/(EB15+EC15)-1</f>
        <v>0.11656279242218259</v>
      </c>
      <c r="EA15" s="27"/>
      <c r="EB15" s="97">
        <v>5000</v>
      </c>
      <c r="EC15" s="27">
        <f t="shared" ref="EC15:EC21" si="8">AG15+AV15+BI15+BW15+CJ15</f>
        <v>278195</v>
      </c>
      <c r="ED15" s="27">
        <v>316205</v>
      </c>
      <c r="EE15" s="27">
        <f>ED15-EC15-EB15</f>
        <v>33010</v>
      </c>
      <c r="EF15" s="27"/>
      <c r="EH15" s="21">
        <f t="shared" si="4"/>
        <v>1.7910514441441316E-2</v>
      </c>
      <c r="EI15">
        <f>Pivot_Table_2012!K8</f>
        <v>4009</v>
      </c>
      <c r="EJ15" s="97">
        <v>4000</v>
      </c>
      <c r="EK15" s="97"/>
      <c r="EL15" s="27">
        <f t="shared" ref="EL15:EL21" si="9">AI15+AX15+BK15+BY15+CL15</f>
        <v>219835</v>
      </c>
      <c r="EM15">
        <f>SUM(EI15:EL15)</f>
        <v>227844</v>
      </c>
      <c r="EP15" s="13">
        <f>C15*EP$3</f>
        <v>0.72406051999999999</v>
      </c>
      <c r="EQ15" s="13">
        <f>Z15*EQ$3</f>
        <v>2.648854203618304</v>
      </c>
      <c r="ER15" s="13">
        <f>AO15*ER$3</f>
        <v>3.1612274999999999</v>
      </c>
      <c r="ES15" s="13">
        <f>BB15*ES$3</f>
        <v>0</v>
      </c>
      <c r="ET15" s="13">
        <f>BO15*ET$3</f>
        <v>21.588000000000001</v>
      </c>
      <c r="EU15" s="13">
        <f>CC15*EU$3</f>
        <v>0.12507142857142858</v>
      </c>
      <c r="EV15" s="13">
        <f>CP15</f>
        <v>0.30485488044876263</v>
      </c>
      <c r="EW15" s="13">
        <f>SUM(EQ15:EV15)*(1+DA15)</f>
        <v>28.084881932755152</v>
      </c>
      <c r="EY15" s="13">
        <f>C15*EY$3</f>
        <v>0.72406051999999999</v>
      </c>
      <c r="EZ15" s="13">
        <f>AB15*EZ$3</f>
        <v>2.4010530246452579</v>
      </c>
      <c r="FA15" s="13">
        <f>AQ15*FA$3</f>
        <v>3.9004199999999996</v>
      </c>
      <c r="FB15" s="13">
        <f>BD15*FB$3</f>
        <v>0</v>
      </c>
      <c r="FC15" s="13">
        <f>BQ15*FC$3</f>
        <v>30.531600000000001</v>
      </c>
      <c r="FD15" s="13">
        <f>CE15*FD$3</f>
        <v>0.13757857142857144</v>
      </c>
      <c r="FE15" s="13">
        <f>CR15</f>
        <v>0.59172976354711415</v>
      </c>
      <c r="FF15" s="13">
        <f>SUM(EZ15:FE15)*(1+DH15)</f>
        <v>37.562381359620943</v>
      </c>
      <c r="FH15" s="13">
        <f>R15*FH$3</f>
        <v>21.268886247999998</v>
      </c>
      <c r="FI15" s="13">
        <f>AD15*FI$3</f>
        <v>1.8667800000000001</v>
      </c>
      <c r="FJ15" s="13">
        <f>AS15*FJ$3</f>
        <v>5.3048275</v>
      </c>
      <c r="FK15" s="13">
        <f>BF15*FK$3</f>
        <v>0</v>
      </c>
      <c r="FL15" s="13">
        <f>BS15*FL$3</f>
        <v>35.260399999999997</v>
      </c>
      <c r="FM15" s="13">
        <f>CG15*FM$3</f>
        <v>0.17510000000000001</v>
      </c>
      <c r="FN15" s="13">
        <f>CT15</f>
        <v>0.55548974943052398</v>
      </c>
      <c r="FO15" s="13">
        <f>SUM(FI15:FN15)*(1+DO15)</f>
        <v>45.099548481644462</v>
      </c>
      <c r="FQ15" s="13">
        <f>S15*FQ$3</f>
        <v>24.444431235999996</v>
      </c>
      <c r="FR15" s="13">
        <f>AF15*FR$3</f>
        <v>1.680102</v>
      </c>
      <c r="FS15" s="13">
        <f>AU15*FS$3</f>
        <v>3.4816025000000002</v>
      </c>
      <c r="FT15" s="13">
        <f>BH15*FT$3</f>
        <v>0</v>
      </c>
      <c r="FU15" s="13">
        <f>BU15*FU$3</f>
        <v>22.718800000000002</v>
      </c>
      <c r="FV15" s="13">
        <f>CI15*FV$3</f>
        <v>0.11472145202020202</v>
      </c>
      <c r="FW15" s="13"/>
      <c r="FX15" s="13">
        <f>SUM(FR15:FW15)*(1+DU15)</f>
        <v>28.548533876668792</v>
      </c>
      <c r="GA15" s="13">
        <f t="shared" ref="GA15:GA21" si="10">U15*GA$3</f>
        <v>24.506502339999997</v>
      </c>
      <c r="GB15" s="13">
        <f t="shared" ref="GB15:GB21" si="11">AH15*GB$3</f>
        <v>0</v>
      </c>
      <c r="GC15" s="13">
        <f t="shared" ref="GC15:GC21" si="12">AW15*GC$3</f>
        <v>4.8545555143011603</v>
      </c>
      <c r="GD15" s="13">
        <f t="shared" ref="GD15:GD21" si="13">BJ15*GD$3</f>
        <v>0</v>
      </c>
      <c r="GE15" s="13">
        <f t="shared" ref="GE15:GE21" si="14">BX15*GE$3</f>
        <v>29.735055612482533</v>
      </c>
      <c r="GF15" s="13">
        <f t="shared" ref="GF15:GF21" si="15">CK15*GF$3</f>
        <v>0.11855255670977174</v>
      </c>
      <c r="GG15" s="13">
        <f t="shared" ref="GG15:GG21" si="16">CX15</f>
        <v>0.24187853107344631</v>
      </c>
      <c r="GH15" s="13">
        <f t="shared" ref="GH15:GH21" si="17">SUM(GB15:GG15)*(1+DZ15)</f>
        <v>39.023916730369997</v>
      </c>
      <c r="GI15" s="13"/>
      <c r="GJ15" s="13"/>
      <c r="GK15" s="13">
        <f>V15*GK$3</f>
        <v>23.883999999999997</v>
      </c>
      <c r="GL15" s="13">
        <f t="shared" ref="GL15:GL21" si="18">AJ15*GL$3</f>
        <v>0</v>
      </c>
      <c r="GM15" s="13">
        <f>AY15*GM$3</f>
        <v>4.1467064176806314</v>
      </c>
      <c r="GN15" s="13">
        <f>BL15*GN$3</f>
        <v>0</v>
      </c>
      <c r="GO15" s="13">
        <f>BZ15*GO$3</f>
        <v>33.526908289197586</v>
      </c>
      <c r="GP15" s="13">
        <f>CM15*GP$3</f>
        <v>0.15837900790210277</v>
      </c>
      <c r="GQ15" s="13">
        <f>CZ15</f>
        <v>0.25296374557918289</v>
      </c>
      <c r="GR15" s="13">
        <f>SUM(GL15:GQ15)*(1+EH15)</f>
        <v>38.767078640954949</v>
      </c>
      <c r="GT15">
        <f>[2]ALLFOS!AD6</f>
        <v>45.786999999999999</v>
      </c>
      <c r="GV15">
        <v>212210</v>
      </c>
      <c r="GW15" t="s">
        <v>18</v>
      </c>
      <c r="GY15" s="148">
        <f t="shared" ref="GY15:HA21" si="19">Q15*0.001</f>
        <v>7287.5</v>
      </c>
      <c r="GZ15" s="148">
        <f t="shared" si="19"/>
        <v>6233.5540000000001</v>
      </c>
      <c r="HA15" s="148">
        <f t="shared" si="19"/>
        <v>7164.2529999999997</v>
      </c>
      <c r="HB15" s="149">
        <f t="shared" ref="HB15:HC21" si="20">U15*0.001</f>
        <v>7182.4449999999997</v>
      </c>
      <c r="HC15" s="149">
        <f t="shared" si="20"/>
        <v>7000</v>
      </c>
      <c r="HD15" s="149">
        <f>'Preliminary estimates - 2017'!AT12</f>
        <v>6300.4440000000004</v>
      </c>
      <c r="HF15" s="148">
        <f t="shared" ref="HF15:HF21" si="21">EW15</f>
        <v>28.084881932755152</v>
      </c>
      <c r="HG15" s="148">
        <f t="shared" ref="HG15:HG21" si="22">FF15</f>
        <v>37.562381359620943</v>
      </c>
      <c r="HH15" s="148">
        <f t="shared" ref="HH15:HH21" si="23">FO15</f>
        <v>45.099548481644462</v>
      </c>
      <c r="HI15" s="148">
        <f t="shared" ref="HI15:HI21" si="24">FX15</f>
        <v>28.548533876668792</v>
      </c>
      <c r="HJ15" s="148">
        <f t="shared" ref="HJ15:HJ21" si="25">GH15</f>
        <v>39.023916730369997</v>
      </c>
      <c r="HK15" s="148">
        <f t="shared" si="0"/>
        <v>38.767078640954949</v>
      </c>
      <c r="HL15" s="148">
        <f>'Preliminary estimates - 2017'!AL12</f>
        <v>57.809371310954113</v>
      </c>
      <c r="HN15">
        <f>Prices!D12</f>
        <v>2007</v>
      </c>
      <c r="HO15">
        <f>Prices!E12</f>
        <v>40.799999999999997</v>
      </c>
      <c r="HP15" s="86">
        <f>Prices!F12</f>
        <v>1.5355664283025967</v>
      </c>
      <c r="HQ15" s="79">
        <f>Prices!G12</f>
        <v>2.2970000000000002</v>
      </c>
      <c r="HR15" s="86">
        <f>Prices!H12</f>
        <v>2.5493895671476139</v>
      </c>
      <c r="HS15" s="79">
        <f>Prices!I12</f>
        <v>2.3479999999999999</v>
      </c>
      <c r="HT15" s="86">
        <f>Prices!J12</f>
        <v>2.8052568697729989</v>
      </c>
      <c r="HU15" s="79">
        <f>Prices!K12</f>
        <v>1.3759999999999999</v>
      </c>
      <c r="HV15" s="86">
        <f>Prices!L12</f>
        <v>2.4527629233511581</v>
      </c>
      <c r="HW15">
        <f>Prices!M12</f>
        <v>7.68</v>
      </c>
      <c r="HX15" s="86">
        <f>Prices!N12</f>
        <v>1.91044776119403</v>
      </c>
      <c r="HY15" s="13">
        <f>Prices!O12</f>
        <v>1.8879999999999999</v>
      </c>
      <c r="HZ15" s="86">
        <f>Prices!P12</f>
        <v>1.9707724425887265</v>
      </c>
    </row>
    <row r="16" spans="2:234" x14ac:dyDescent="0.2">
      <c r="B16">
        <v>212221</v>
      </c>
      <c r="C16">
        <v>212221</v>
      </c>
      <c r="D16" t="s">
        <v>19</v>
      </c>
      <c r="E16">
        <v>403</v>
      </c>
      <c r="F16" s="3">
        <v>18200</v>
      </c>
      <c r="G16">
        <v>300</v>
      </c>
      <c r="H16" s="3">
        <v>17512</v>
      </c>
      <c r="I16">
        <v>180</v>
      </c>
      <c r="J16" s="3">
        <v>9265</v>
      </c>
      <c r="K16" s="3"/>
      <c r="L16" s="3"/>
      <c r="M16" s="3"/>
      <c r="N16" s="3"/>
      <c r="O16" s="3"/>
      <c r="P16" s="3"/>
      <c r="Q16" s="3">
        <v>3146800</v>
      </c>
      <c r="R16" s="3">
        <v>4479792</v>
      </c>
      <c r="S16" s="30">
        <v>2692819</v>
      </c>
      <c r="T16" s="78">
        <v>212221</v>
      </c>
      <c r="U16" s="91">
        <v>4225193</v>
      </c>
      <c r="V16" s="91">
        <f>[3]Sheet1!D14</f>
        <v>7154628</v>
      </c>
      <c r="W16" s="91"/>
      <c r="X16" s="23">
        <f t="shared" si="6"/>
        <v>3586305.5</v>
      </c>
      <c r="Y16" s="33"/>
      <c r="Z16" s="33"/>
      <c r="AA16" s="33"/>
      <c r="AB16" s="3"/>
      <c r="AC16" s="3"/>
      <c r="AD16" s="6"/>
      <c r="AE16" s="6"/>
      <c r="AF16" s="6"/>
      <c r="AG16" s="6"/>
      <c r="AH16" s="6"/>
      <c r="AI16" s="6">
        <f>Pivot_Table_2012!C9</f>
        <v>17219</v>
      </c>
      <c r="AJ16" s="94">
        <f>AI16/HO$16</f>
        <v>260.7359176256814</v>
      </c>
      <c r="AK16" s="94"/>
      <c r="AL16" s="94"/>
      <c r="AM16" s="16">
        <f t="shared" si="7"/>
        <v>0</v>
      </c>
      <c r="AN16" s="6">
        <v>21.6</v>
      </c>
      <c r="AO16" s="6">
        <v>783.2</v>
      </c>
      <c r="AP16" s="6">
        <v>72.305000000000007</v>
      </c>
      <c r="AQ16" s="6">
        <v>2360</v>
      </c>
      <c r="AR16" s="8">
        <v>103489</v>
      </c>
      <c r="AS16" s="6">
        <v>3130.5</v>
      </c>
      <c r="AT16" s="8">
        <v>79253</v>
      </c>
      <c r="AU16" s="6">
        <v>1914.7</v>
      </c>
      <c r="AV16" s="58">
        <v>218878</v>
      </c>
      <c r="AW16" s="174">
        <f>AV16/(AT16*AW$4)*AU16</f>
        <v>1885.0136683232411</v>
      </c>
      <c r="AX16" s="6">
        <f>Pivot_Table_2012!E9</f>
        <v>326273</v>
      </c>
      <c r="AY16" s="174">
        <f t="shared" si="3"/>
        <v>2007.9929215210666</v>
      </c>
      <c r="AZ16" s="16">
        <f>(AS16+AU16)/2</f>
        <v>2522.6</v>
      </c>
      <c r="BA16" s="8">
        <v>1.9</v>
      </c>
      <c r="BB16">
        <v>66</v>
      </c>
      <c r="BC16">
        <v>8.4369999999999994</v>
      </c>
      <c r="BD16">
        <v>279.5</v>
      </c>
      <c r="BE16" s="8"/>
      <c r="BF16" s="118">
        <f>BE16/(HU$13*42)</f>
        <v>0</v>
      </c>
      <c r="BG16" s="14"/>
      <c r="BH16" s="14"/>
      <c r="BI16" s="14">
        <v>105267</v>
      </c>
      <c r="BJ16" s="177">
        <f>BI16/BI$4*0.001</f>
        <v>76.50218023255816</v>
      </c>
      <c r="BK16" s="6">
        <f>Pivot_Table_2012!I9</f>
        <v>0</v>
      </c>
      <c r="BL16" s="174">
        <f t="shared" ref="BL16:BL37" si="26">BK16/(BI16*BL$4)*BJ16</f>
        <v>0</v>
      </c>
      <c r="BM16" s="16">
        <f>(BF16+BH16)/2</f>
        <v>0</v>
      </c>
      <c r="BN16" s="6">
        <v>1.2</v>
      </c>
      <c r="BO16" s="6">
        <v>0.3</v>
      </c>
      <c r="BP16" s="8">
        <v>3.2</v>
      </c>
      <c r="BQ16" s="84">
        <f>BP16/(BN16*HY$12)*BO16</f>
        <v>0.82816901408450716</v>
      </c>
      <c r="BR16" s="6"/>
      <c r="BS16" s="6"/>
      <c r="BT16" s="6"/>
      <c r="BU16" s="6"/>
      <c r="BV16" s="6"/>
      <c r="BW16" s="6"/>
      <c r="BX16" s="94"/>
      <c r="BY16" s="8">
        <f>Pivot_Table_2012!F9</f>
        <v>69435</v>
      </c>
      <c r="BZ16" s="169">
        <f>BY16/(HW16*1000)</f>
        <v>17.895618556701031</v>
      </c>
      <c r="CA16" s="16"/>
      <c r="CB16" s="59">
        <v>1.8</v>
      </c>
      <c r="CC16" s="59">
        <v>1.8</v>
      </c>
      <c r="CD16" s="6">
        <v>5.84</v>
      </c>
      <c r="CE16" s="6">
        <v>5.3</v>
      </c>
      <c r="CF16" s="6">
        <v>14297</v>
      </c>
      <c r="CG16" s="6">
        <v>13.1</v>
      </c>
      <c r="CH16" s="8">
        <v>5103</v>
      </c>
      <c r="CI16" s="6">
        <f>$J16/$H16*CG16</f>
        <v>6.9307617633622653</v>
      </c>
      <c r="CJ16" s="8">
        <v>12386</v>
      </c>
      <c r="CK16" s="174">
        <f>CJ16/(CH16*CK$4)*CI16</f>
        <v>6.5985767713705012</v>
      </c>
      <c r="CL16" s="8">
        <f>Pivot_Table_2012!G9</f>
        <v>19119</v>
      </c>
      <c r="CM16" s="174">
        <f>(CL16/(CJ16*HT$16))*CK16</f>
        <v>7.2786866084221922</v>
      </c>
      <c r="CN16" s="16">
        <f>(CG16+CI16)/2</f>
        <v>10.015380881681132</v>
      </c>
      <c r="CO16" s="6">
        <v>2.4</v>
      </c>
      <c r="CP16" s="93">
        <f>HY$37*CO16</f>
        <v>0.30485488044876263</v>
      </c>
      <c r="CQ16" s="6">
        <v>11.1</v>
      </c>
      <c r="CR16" s="93">
        <f>HY$38*CQ16</f>
        <v>1.4596000834162148</v>
      </c>
      <c r="CS16" s="6">
        <v>22411</v>
      </c>
      <c r="CT16" s="93">
        <f>HY$39*0.001*CS16</f>
        <v>2.3312885345482157</v>
      </c>
      <c r="CU16" s="59">
        <v>25000</v>
      </c>
      <c r="CV16" s="93">
        <f>HY$40*0.001*CU16</f>
        <v>2.3834377174669448</v>
      </c>
      <c r="CW16" s="92">
        <f>EB16</f>
        <v>9401</v>
      </c>
      <c r="CX16" s="122">
        <f>HY$41*0.001*CW16</f>
        <v>0.45478001412429375</v>
      </c>
      <c r="CY16" s="141">
        <f t="shared" ref="CY16:CY37" si="27">EJ16</f>
        <v>274588</v>
      </c>
      <c r="CZ16" s="122">
        <f>HO$42*0.001*CY16</f>
        <v>93.552846759539662</v>
      </c>
      <c r="DA16" s="134">
        <f>DF16/DD16-1</f>
        <v>0.26643598615916964</v>
      </c>
      <c r="DB16" s="131">
        <v>7.7</v>
      </c>
      <c r="DC16" s="131"/>
      <c r="DD16" s="116">
        <f>DE16</f>
        <v>28.9</v>
      </c>
      <c r="DE16" s="133">
        <f>Y16+AN16+BA16+BN16+CB16+CO16</f>
        <v>28.9</v>
      </c>
      <c r="DF16" s="131">
        <v>36.6</v>
      </c>
      <c r="DG16" s="131"/>
      <c r="DH16" s="110">
        <f>DM16/DK16-1</f>
        <v>8.9391566384488863E-2</v>
      </c>
      <c r="DI16" s="131">
        <v>8.6999999999999993</v>
      </c>
      <c r="DJ16" s="131"/>
      <c r="DK16" s="131">
        <f>DL16</f>
        <v>100.88200000000001</v>
      </c>
      <c r="DL16" s="136">
        <f>AA16+AP16+BC16+BP16+CD16+CQ16</f>
        <v>100.88200000000001</v>
      </c>
      <c r="DM16" s="131">
        <v>109.9</v>
      </c>
      <c r="DN16" s="131"/>
      <c r="DO16" s="110">
        <f>DT16/(DR16-DP16)-1</f>
        <v>0.25514480281373952</v>
      </c>
      <c r="DP16">
        <v>6567</v>
      </c>
      <c r="DR16" s="33">
        <f>DS16</f>
        <v>140197</v>
      </c>
      <c r="DS16" s="33">
        <f>AC16+AR16+BE16+BR16+CF16+CS16</f>
        <v>140197</v>
      </c>
      <c r="DT16">
        <v>167725</v>
      </c>
      <c r="DU16" s="21">
        <f>DY16/DX16-1</f>
        <v>9.9948791104283341E-2</v>
      </c>
      <c r="DV16" s="141">
        <v>10929</v>
      </c>
      <c r="DW16" s="142">
        <f>CH12</f>
        <v>1720</v>
      </c>
      <c r="DX16" s="33">
        <f>AE16+AT16+BG16+CH16+BT16+CU16</f>
        <v>109356</v>
      </c>
      <c r="DY16" s="27">
        <v>120286</v>
      </c>
      <c r="DZ16" s="21">
        <f>ED16/(EB16+EC16)-1</f>
        <v>0.21174681729357214</v>
      </c>
      <c r="EA16" s="27"/>
      <c r="EB16" s="27">
        <v>9401</v>
      </c>
      <c r="EC16" s="27">
        <f t="shared" si="8"/>
        <v>336531</v>
      </c>
      <c r="ED16" s="27">
        <v>419182</v>
      </c>
      <c r="EE16" s="27"/>
      <c r="EF16" s="27"/>
      <c r="EG16" s="60"/>
      <c r="EH16" s="21">
        <f t="shared" si="4"/>
        <v>0</v>
      </c>
      <c r="EI16" s="60">
        <f>Pivot_Table_2012!K9</f>
        <v>0</v>
      </c>
      <c r="EJ16" s="27">
        <f t="shared" si="5"/>
        <v>274588</v>
      </c>
      <c r="EK16" s="27"/>
      <c r="EL16" s="27">
        <f t="shared" si="9"/>
        <v>432046</v>
      </c>
      <c r="EM16" s="60">
        <f>Pivot_Table_2012!J9</f>
        <v>706634</v>
      </c>
      <c r="EN16" s="60"/>
      <c r="EO16" s="60"/>
      <c r="EP16" s="13">
        <f>C16*EP$3</f>
        <v>0.72409805199999988</v>
      </c>
      <c r="EQ16" s="13">
        <f>Z16*EQ$3</f>
        <v>0</v>
      </c>
      <c r="ER16" s="13">
        <f>AO16*ER$3</f>
        <v>4.5621399999999994</v>
      </c>
      <c r="ES16" s="13">
        <f>BB16*ES$3</f>
        <v>0.41494199999999998</v>
      </c>
      <c r="ET16" s="13">
        <f>BO16*ET$3</f>
        <v>0.30840000000000001</v>
      </c>
      <c r="EU16" s="13">
        <f>CC16*EU$3</f>
        <v>0.22512857142857146</v>
      </c>
      <c r="EV16" s="13">
        <f>CP16</f>
        <v>0.30485488044876263</v>
      </c>
      <c r="EW16" s="13">
        <f>SUM(EQ16:EV16)*(1+DA16)</f>
        <v>7.3649147245228521</v>
      </c>
      <c r="EX16" s="60"/>
      <c r="EY16" s="13">
        <f>C16*EY$3</f>
        <v>0.72409805199999988</v>
      </c>
      <c r="EZ16" s="13">
        <f>AB16*EZ$3</f>
        <v>0</v>
      </c>
      <c r="FA16" s="13">
        <f>AQ16*FA$3</f>
        <v>13.746999999999998</v>
      </c>
      <c r="FB16" s="13">
        <f>BD16*FB$3</f>
        <v>1.7572165</v>
      </c>
      <c r="FC16" s="13">
        <f>BQ16*FC$3</f>
        <v>0.85135774647887341</v>
      </c>
      <c r="FD16" s="13">
        <f>CE16*FD$3</f>
        <v>0.66287857142857143</v>
      </c>
      <c r="FE16" s="13">
        <f>CR16</f>
        <v>1.4596000834162148</v>
      </c>
      <c r="FF16" s="13">
        <f>SUM(EZ16:FE16)*(1+DH16)</f>
        <v>20.129834993908428</v>
      </c>
      <c r="FG16" s="60"/>
      <c r="FH16" s="13">
        <f>R16*FH$3</f>
        <v>15.285050303999999</v>
      </c>
      <c r="FI16" s="13">
        <f>AD16*FI$3</f>
        <v>0</v>
      </c>
      <c r="FJ16" s="13">
        <f>AS16*FJ$3</f>
        <v>18.235162499999998</v>
      </c>
      <c r="FK16" s="13">
        <f>BF16*FK$3</f>
        <v>0</v>
      </c>
      <c r="FL16" s="13">
        <f>BS16*FL$3</f>
        <v>0</v>
      </c>
      <c r="FM16" s="13">
        <f>CG16*FM$3</f>
        <v>1.6384357142857144</v>
      </c>
      <c r="FN16" s="13">
        <f>CT16</f>
        <v>2.3312885345482157</v>
      </c>
      <c r="FO16" s="13">
        <f>SUM(FI16:FN16)*(1+DO16)</f>
        <v>27.87034819986658</v>
      </c>
      <c r="FP16" s="60"/>
      <c r="FQ16" s="13">
        <f>S16*FQ$3</f>
        <v>9.1878984279999987</v>
      </c>
      <c r="FR16" s="13">
        <f>AF16*FR$3</f>
        <v>0</v>
      </c>
      <c r="FS16" s="13">
        <f>AU16*FS$3</f>
        <v>11.1531275</v>
      </c>
      <c r="FT16" s="13">
        <f>BH16*FT$3</f>
        <v>0</v>
      </c>
      <c r="FU16" s="13">
        <f>BU16*FU$3</f>
        <v>0</v>
      </c>
      <c r="FV16" s="13">
        <f>CI16*FV$3</f>
        <v>0.86684027483195203</v>
      </c>
      <c r="FW16" s="13">
        <f>CV16</f>
        <v>2.3834377174669448</v>
      </c>
      <c r="FX16" s="13">
        <f>SUM(FR16:FW16)*(1+DU16)</f>
        <v>15.843008459038968</v>
      </c>
      <c r="GA16" s="13">
        <f t="shared" si="10"/>
        <v>14.416358515999999</v>
      </c>
      <c r="GB16" s="13">
        <f t="shared" si="11"/>
        <v>0</v>
      </c>
      <c r="GC16" s="13">
        <f t="shared" si="12"/>
        <v>10.980204617982878</v>
      </c>
      <c r="GD16" s="13">
        <f t="shared" si="13"/>
        <v>0.48096920712209318</v>
      </c>
      <c r="GE16" s="13">
        <f t="shared" si="14"/>
        <v>0</v>
      </c>
      <c r="GF16" s="13">
        <f t="shared" si="15"/>
        <v>0.82529342333355349</v>
      </c>
      <c r="GG16" s="13">
        <f t="shared" si="16"/>
        <v>0.45478001412429375</v>
      </c>
      <c r="GH16" s="13">
        <f t="shared" si="17"/>
        <v>15.439165818760934</v>
      </c>
      <c r="GI16" s="13"/>
      <c r="GJ16" s="13"/>
      <c r="GK16" s="13">
        <f>V16*GK$3</f>
        <v>24.411590735999997</v>
      </c>
      <c r="GL16" s="13">
        <f t="shared" si="18"/>
        <v>5.4081844033918838</v>
      </c>
      <c r="GM16" s="13">
        <f t="shared" ref="GM16:GM21" si="28">AY16*GM$3</f>
        <v>11.696558767860212</v>
      </c>
      <c r="GN16" s="13">
        <f t="shared" ref="GN16:GN21" si="29">BL16*GN$3</f>
        <v>0</v>
      </c>
      <c r="GO16" s="13">
        <f t="shared" ref="GO16:GO21" si="30">BZ16*GO$3</f>
        <v>18.396695876288661</v>
      </c>
      <c r="GP16" s="13">
        <f t="shared" ref="GP16:GP21" si="31">CM16*GP$3</f>
        <v>0.91035573223908994</v>
      </c>
      <c r="GQ16" s="13">
        <f t="shared" ref="GQ16:GQ21" si="32">CZ16</f>
        <v>93.552846759539662</v>
      </c>
      <c r="GR16" s="13">
        <f t="shared" ref="GR16:GR21" si="33">SUM(GL16:GQ16)*(1+EH16)</f>
        <v>129.9646415393195</v>
      </c>
      <c r="GT16">
        <f>[2]ALLFOS!AD7</f>
        <v>2.25</v>
      </c>
      <c r="GV16">
        <v>212221</v>
      </c>
      <c r="GW16" t="s">
        <v>19</v>
      </c>
      <c r="GY16" s="148">
        <f t="shared" si="19"/>
        <v>3146.8</v>
      </c>
      <c r="GZ16" s="148">
        <f t="shared" si="19"/>
        <v>4479.7920000000004</v>
      </c>
      <c r="HA16" s="148">
        <f t="shared" si="19"/>
        <v>2692.819</v>
      </c>
      <c r="HB16" s="149">
        <f t="shared" si="20"/>
        <v>4225.1930000000002</v>
      </c>
      <c r="HC16" s="149">
        <f t="shared" si="20"/>
        <v>7154.6279999999997</v>
      </c>
      <c r="HD16" s="149">
        <f>'Preliminary estimates - 2017'!AT13</f>
        <v>7776.0330000000004</v>
      </c>
      <c r="HF16" s="148">
        <f t="shared" si="21"/>
        <v>7.3649147245228521</v>
      </c>
      <c r="HG16" s="148">
        <f t="shared" si="22"/>
        <v>20.129834993908428</v>
      </c>
      <c r="HH16" s="148">
        <f t="shared" si="23"/>
        <v>27.87034819986658</v>
      </c>
      <c r="HI16" s="148">
        <f t="shared" si="24"/>
        <v>15.843008459038968</v>
      </c>
      <c r="HJ16" s="148">
        <f t="shared" si="25"/>
        <v>15.439165818760934</v>
      </c>
      <c r="HK16" s="148">
        <f t="shared" si="0"/>
        <v>129.9646415393195</v>
      </c>
      <c r="HL16" s="148">
        <f>'Preliminary estimates - 2017'!AL13</f>
        <v>142.96110569325145</v>
      </c>
      <c r="HN16">
        <v>2012</v>
      </c>
      <c r="HO16">
        <f>Prices!E13</f>
        <v>66.040000000000006</v>
      </c>
      <c r="HP16" s="86">
        <f>Prices!F13</f>
        <v>1.6186274509803924</v>
      </c>
      <c r="HQ16" s="79">
        <f>Prices!G13</f>
        <v>3.0894405117270787</v>
      </c>
      <c r="HR16" s="86">
        <f>Prices!H13</f>
        <v>1.3449893390191896</v>
      </c>
      <c r="HS16" s="79">
        <f>Prices!I13</f>
        <v>3.2857116165718931</v>
      </c>
      <c r="HT16" s="86">
        <f>Prices!J13</f>
        <v>1.3993661058653719</v>
      </c>
      <c r="HU16" s="79">
        <f>Prices!K13</f>
        <v>2.6162101576182137</v>
      </c>
      <c r="HV16" s="86">
        <f>Prices!L13</f>
        <v>1.9013155215248647</v>
      </c>
      <c r="HW16">
        <f>Prices!M13</f>
        <v>3.88</v>
      </c>
      <c r="HX16" s="86">
        <f>Prices!N13</f>
        <v>0.50520833333333337</v>
      </c>
      <c r="HY16" s="13">
        <f>Prices!O13</f>
        <v>1.4442122229684351</v>
      </c>
      <c r="HZ16" s="86">
        <f>Prices!P13</f>
        <v>0.76494291470785758</v>
      </c>
    </row>
    <row r="17" spans="2:233" x14ac:dyDescent="0.2">
      <c r="B17">
        <v>212222</v>
      </c>
      <c r="C17">
        <v>212222</v>
      </c>
      <c r="D17" t="s">
        <v>20</v>
      </c>
      <c r="E17">
        <v>24</v>
      </c>
      <c r="F17">
        <v>1000</v>
      </c>
      <c r="G17">
        <v>16</v>
      </c>
      <c r="H17" s="3">
        <v>780</v>
      </c>
      <c r="I17">
        <v>11</v>
      </c>
      <c r="J17" s="3">
        <v>575</v>
      </c>
      <c r="K17" s="3"/>
      <c r="L17" s="3"/>
      <c r="M17" s="3"/>
      <c r="N17" s="3"/>
      <c r="O17" s="3"/>
      <c r="P17" s="3"/>
      <c r="Q17" s="3">
        <v>103800</v>
      </c>
      <c r="R17" s="3">
        <v>167511</v>
      </c>
      <c r="S17" s="30">
        <v>111535</v>
      </c>
      <c r="T17" s="78">
        <v>212222</v>
      </c>
      <c r="U17" s="91">
        <v>128535</v>
      </c>
      <c r="V17" s="91">
        <f>[3]Sheet1!D15</f>
        <v>321784</v>
      </c>
      <c r="W17" s="91"/>
      <c r="X17" s="23">
        <f t="shared" si="6"/>
        <v>139523</v>
      </c>
      <c r="Y17" s="33"/>
      <c r="Z17" s="33"/>
      <c r="AA17" s="33"/>
      <c r="AB17" s="3"/>
      <c r="AC17" s="3"/>
      <c r="AD17" s="6"/>
      <c r="AE17" s="6"/>
      <c r="AF17" s="6"/>
      <c r="AG17" s="6"/>
      <c r="AH17" s="6"/>
      <c r="AI17" s="6">
        <f>Pivot_Table_2012!C10</f>
        <v>0</v>
      </c>
      <c r="AJ17" s="6"/>
      <c r="AK17" s="6"/>
      <c r="AL17" s="6"/>
      <c r="AM17" s="16">
        <f t="shared" si="7"/>
        <v>0</v>
      </c>
      <c r="AN17" s="6">
        <v>4.4000000000000004</v>
      </c>
      <c r="AO17" s="6">
        <v>147.9</v>
      </c>
      <c r="AP17" s="6"/>
      <c r="AS17" s="6"/>
      <c r="AT17" s="6"/>
      <c r="AU17" s="6"/>
      <c r="AV17" s="58">
        <v>4691</v>
      </c>
      <c r="AW17" s="99">
        <f>AV17/(HS$15*42)</f>
        <v>47.568345907357831</v>
      </c>
      <c r="AX17" s="6">
        <f>Pivot_Table_2012!E10</f>
        <v>20323</v>
      </c>
      <c r="AY17" s="174">
        <f t="shared" si="3"/>
        <v>147.26823557503917</v>
      </c>
      <c r="AZ17" s="16"/>
      <c r="BA17" s="6"/>
      <c r="BB17" s="6"/>
      <c r="BC17" s="6"/>
      <c r="BD17" s="6"/>
      <c r="BE17" s="6"/>
      <c r="BF17" s="6"/>
      <c r="BG17" s="6"/>
      <c r="BH17" s="6"/>
      <c r="BI17" s="6"/>
      <c r="BJ17" s="175"/>
      <c r="BK17" s="6">
        <f>Pivot_Table_2012!I10</f>
        <v>0</v>
      </c>
      <c r="BL17" s="174"/>
      <c r="BM17" s="16"/>
      <c r="BN17" s="6">
        <v>0.3</v>
      </c>
      <c r="BO17" s="6">
        <v>0.1</v>
      </c>
      <c r="BP17" s="6"/>
      <c r="BS17" s="6"/>
      <c r="BT17" s="6"/>
      <c r="BU17" s="6"/>
      <c r="BV17" s="6"/>
      <c r="BW17" s="6">
        <v>701</v>
      </c>
      <c r="BX17" s="122">
        <f>BW17/HW$15*0.001</f>
        <v>9.1276041666666669E-2</v>
      </c>
      <c r="BY17" s="8">
        <f>Pivot_Table_2012!F10</f>
        <v>909</v>
      </c>
      <c r="BZ17" s="169">
        <f t="shared" ref="BZ17:BZ37" si="34">BY17/(BW17*BZ$4)*BX17</f>
        <v>0.23427835051546392</v>
      </c>
      <c r="CA17" s="16"/>
      <c r="CB17" s="6">
        <v>0.2</v>
      </c>
      <c r="CC17" s="6">
        <v>0.2</v>
      </c>
      <c r="CD17" s="6"/>
      <c r="CE17" s="6"/>
      <c r="CF17" s="6"/>
      <c r="CG17" s="6"/>
      <c r="CH17" s="6"/>
      <c r="CI17" s="6"/>
      <c r="CJ17" s="8">
        <v>0.1</v>
      </c>
      <c r="CK17" s="175"/>
      <c r="CL17" s="8">
        <f>Pivot_Table_2012!G10</f>
        <v>544</v>
      </c>
      <c r="CM17" s="99">
        <v>0.2</v>
      </c>
      <c r="CN17" s="16"/>
      <c r="CO17" s="6">
        <v>0.3</v>
      </c>
      <c r="CP17" s="93">
        <f>HY$37*CO17</f>
        <v>3.8106860056095329E-2</v>
      </c>
      <c r="CQ17" s="6"/>
      <c r="CR17" s="6"/>
      <c r="CS17" s="6"/>
      <c r="CT17" s="6"/>
      <c r="CW17" s="92">
        <f>EA17+EB17</f>
        <v>893.89999999999964</v>
      </c>
      <c r="CX17" s="122">
        <f>IA$41*0.001*CW17</f>
        <v>8.6133420384782333E-2</v>
      </c>
      <c r="CY17" s="141">
        <f t="shared" si="27"/>
        <v>1410</v>
      </c>
      <c r="CZ17" s="122">
        <f>HY$42*0.001*CY17</f>
        <v>8.9169720316661968E-2</v>
      </c>
      <c r="DA17" s="134">
        <f>DF17/DD17-1</f>
        <v>0.15384615384615374</v>
      </c>
      <c r="DB17" s="131">
        <v>0.8</v>
      </c>
      <c r="DC17" s="131"/>
      <c r="DD17" s="116">
        <f>DE17</f>
        <v>5.2</v>
      </c>
      <c r="DE17" s="133">
        <f>Y17+AN17+BA17+BN17+CB17+CO17</f>
        <v>5.2</v>
      </c>
      <c r="DF17" s="131">
        <v>6</v>
      </c>
      <c r="DG17" s="131"/>
      <c r="DH17" s="131"/>
      <c r="DI17" s="131"/>
      <c r="DJ17" s="131"/>
      <c r="DK17" s="131"/>
      <c r="DL17" s="137"/>
      <c r="DM17" s="131"/>
      <c r="DN17" s="131"/>
      <c r="DT17">
        <v>2824</v>
      </c>
      <c r="DU17" s="21"/>
      <c r="DV17" s="110"/>
      <c r="DW17" s="142">
        <f>BT12</f>
        <v>1300</v>
      </c>
      <c r="DX17" s="33"/>
      <c r="DY17" s="27"/>
      <c r="DZ17" s="21">
        <f>ED17/(EB17+EC17)-1</f>
        <v>1.0286081645773049E-2</v>
      </c>
      <c r="EA17" s="27">
        <v>64</v>
      </c>
      <c r="EB17" s="100">
        <f>ED17-EC17-EA17</f>
        <v>829.89999999999964</v>
      </c>
      <c r="EC17" s="27">
        <f t="shared" si="8"/>
        <v>5392.1</v>
      </c>
      <c r="ED17" s="27">
        <v>6286</v>
      </c>
      <c r="EE17" s="27"/>
      <c r="EF17" s="27"/>
      <c r="EH17" s="21">
        <f t="shared" si="4"/>
        <v>4.3129474682990221E-4</v>
      </c>
      <c r="EI17">
        <f>Pivot_Table_2012!K10</f>
        <v>10</v>
      </c>
      <c r="EJ17" s="27">
        <f t="shared" si="5"/>
        <v>1410</v>
      </c>
      <c r="EK17" s="27"/>
      <c r="EL17" s="27">
        <f t="shared" si="9"/>
        <v>21776</v>
      </c>
      <c r="EM17">
        <f>Pivot_Table_2012!J10</f>
        <v>23196</v>
      </c>
      <c r="EP17" s="13">
        <f>C17*EP$3</f>
        <v>0.72410146399999997</v>
      </c>
      <c r="EQ17" s="13">
        <f>Z17*EQ$3</f>
        <v>0</v>
      </c>
      <c r="ER17" s="13">
        <f>AO17*ER$3</f>
        <v>0.86151749999999994</v>
      </c>
      <c r="ES17" s="13">
        <f>BB17*ES$3</f>
        <v>0</v>
      </c>
      <c r="ET17" s="13">
        <f>BO17*ET$3</f>
        <v>0.1028</v>
      </c>
      <c r="EU17" s="13">
        <f>CC17*EU$3</f>
        <v>2.5014285714285718E-2</v>
      </c>
      <c r="EV17" s="13">
        <f>CP17</f>
        <v>3.8106860056095329E-2</v>
      </c>
      <c r="EW17" s="13">
        <f>SUM(EQ17:EV17)*(1+DA17)</f>
        <v>1.1855061297350549</v>
      </c>
      <c r="FF17" s="119">
        <f>4.5/6/1.15</f>
        <v>0.65217391304347827</v>
      </c>
      <c r="FO17" s="119">
        <f>1624/1101*FX17</f>
        <v>0.7860433527163565</v>
      </c>
      <c r="FP17" s="108" t="s">
        <v>339</v>
      </c>
      <c r="FQ17" s="13">
        <f>X17*FQ$3</f>
        <v>0.47605247599999995</v>
      </c>
      <c r="FR17" s="13"/>
      <c r="FS17" s="13"/>
      <c r="FT17" s="13"/>
      <c r="FU17" s="13"/>
      <c r="FV17" s="13"/>
      <c r="FW17" s="13"/>
      <c r="FX17" s="19">
        <f>1101/954*GH17</f>
        <v>0.53290254392900771</v>
      </c>
      <c r="GA17" s="13">
        <f t="shared" si="10"/>
        <v>0.43856141999999998</v>
      </c>
      <c r="GB17" s="13">
        <f t="shared" si="11"/>
        <v>0</v>
      </c>
      <c r="GC17" s="13">
        <f t="shared" si="12"/>
        <v>0.27708561491035932</v>
      </c>
      <c r="GD17" s="13">
        <f t="shared" si="13"/>
        <v>0</v>
      </c>
      <c r="GE17" s="13">
        <f t="shared" si="14"/>
        <v>9.3831770833333342E-2</v>
      </c>
      <c r="GF17" s="13">
        <f t="shared" si="15"/>
        <v>0</v>
      </c>
      <c r="GG17" s="13">
        <f t="shared" si="16"/>
        <v>8.6133420384782333E-2</v>
      </c>
      <c r="GH17" s="13">
        <f t="shared" si="17"/>
        <v>0.46175206803657887</v>
      </c>
      <c r="GI17" s="13"/>
      <c r="GJ17" s="13"/>
      <c r="GK17" s="13">
        <f>V17*GK$3</f>
        <v>1.0979270079999999</v>
      </c>
      <c r="GL17" s="13">
        <f t="shared" si="18"/>
        <v>0</v>
      </c>
      <c r="GM17" s="13">
        <f t="shared" si="28"/>
        <v>0.85783747222460305</v>
      </c>
      <c r="GN17" s="13">
        <f t="shared" si="29"/>
        <v>0</v>
      </c>
      <c r="GO17" s="13">
        <f t="shared" si="30"/>
        <v>0.24083814432989692</v>
      </c>
      <c r="GP17" s="13">
        <f t="shared" si="31"/>
        <v>2.5014285714285718E-2</v>
      </c>
      <c r="GQ17" s="13">
        <f t="shared" si="32"/>
        <v>8.9169720316661968E-2</v>
      </c>
      <c r="GR17" s="13">
        <f t="shared" si="33"/>
        <v>1.2133827225693108</v>
      </c>
      <c r="GT17">
        <f>[2]ALLFOS!AD8</f>
        <v>19.489000000000001</v>
      </c>
      <c r="GV17">
        <v>212222</v>
      </c>
      <c r="GW17" t="s">
        <v>20</v>
      </c>
      <c r="GY17" s="148">
        <f t="shared" si="19"/>
        <v>103.8</v>
      </c>
      <c r="GZ17" s="148">
        <f t="shared" si="19"/>
        <v>167.511</v>
      </c>
      <c r="HA17" s="148">
        <f t="shared" si="19"/>
        <v>111.535</v>
      </c>
      <c r="HB17" s="149">
        <f t="shared" si="20"/>
        <v>128.535</v>
      </c>
      <c r="HC17" s="149">
        <f t="shared" si="20"/>
        <v>321.78399999999999</v>
      </c>
      <c r="HD17" s="149">
        <f>'Preliminary estimates - 2017'!AT14</f>
        <v>134.80199999999999</v>
      </c>
      <c r="HF17" s="148">
        <f t="shared" si="21"/>
        <v>1.1855061297350549</v>
      </c>
      <c r="HG17" s="148">
        <f t="shared" si="22"/>
        <v>0.65217391304347827</v>
      </c>
      <c r="HH17" s="148">
        <f t="shared" si="23"/>
        <v>0.7860433527163565</v>
      </c>
      <c r="HI17" s="148">
        <f t="shared" si="24"/>
        <v>0.53290254392900771</v>
      </c>
      <c r="HJ17" s="148">
        <f t="shared" si="25"/>
        <v>0.46175206803657887</v>
      </c>
      <c r="HK17" s="148">
        <f t="shared" si="0"/>
        <v>1.2133827225693108</v>
      </c>
      <c r="HL17" s="148">
        <f>'Preliminary estimates - 2017'!AL14</f>
        <v>0.60669136128465539</v>
      </c>
      <c r="HP17" s="16"/>
      <c r="HR17" s="16"/>
      <c r="HT17" s="16"/>
      <c r="HV17" s="16"/>
      <c r="HX17" s="16"/>
    </row>
    <row r="18" spans="2:233" x14ac:dyDescent="0.2">
      <c r="B18">
        <v>212231</v>
      </c>
      <c r="C18">
        <v>212231</v>
      </c>
      <c r="D18" t="s">
        <v>22</v>
      </c>
      <c r="E18">
        <v>44</v>
      </c>
      <c r="F18">
        <v>2800</v>
      </c>
      <c r="G18">
        <v>31</v>
      </c>
      <c r="H18" s="3">
        <v>2127</v>
      </c>
      <c r="I18">
        <v>22</v>
      </c>
      <c r="J18" s="3">
        <v>1442</v>
      </c>
      <c r="K18" s="3"/>
      <c r="L18" s="3"/>
      <c r="M18" s="3"/>
      <c r="N18" s="3"/>
      <c r="O18" s="3"/>
      <c r="P18" s="3"/>
      <c r="Q18" s="3">
        <v>552800</v>
      </c>
      <c r="R18" s="3">
        <v>461747</v>
      </c>
      <c r="S18" s="3">
        <v>437091</v>
      </c>
      <c r="T18" s="78">
        <v>212231</v>
      </c>
      <c r="U18" s="91">
        <v>1401103</v>
      </c>
      <c r="V18" s="91">
        <f>[3]Sheet1!D16</f>
        <v>889520</v>
      </c>
      <c r="W18" s="91"/>
      <c r="X18" s="23">
        <f t="shared" si="6"/>
        <v>449419</v>
      </c>
      <c r="Y18" s="33"/>
      <c r="Z18" s="33"/>
      <c r="AA18" s="33"/>
      <c r="AB18" s="3"/>
      <c r="AC18" s="3"/>
      <c r="AD18" s="6"/>
      <c r="AE18" s="6"/>
      <c r="AF18" s="6"/>
      <c r="AG18" s="6">
        <v>4546</v>
      </c>
      <c r="AH18" s="95">
        <f>AG18/HO$15</f>
        <v>111.42156862745099</v>
      </c>
      <c r="AI18" s="6">
        <f>Pivot_Table_2012!C11</f>
        <v>0</v>
      </c>
      <c r="AJ18" s="6"/>
      <c r="AK18" s="6"/>
      <c r="AL18" s="6"/>
      <c r="AM18" s="16">
        <f t="shared" si="7"/>
        <v>0</v>
      </c>
      <c r="AN18" s="6"/>
      <c r="AO18" s="6"/>
      <c r="AP18" s="6"/>
      <c r="AQ18" s="6">
        <v>88.3</v>
      </c>
      <c r="AR18" s="6"/>
      <c r="AS18" s="14">
        <v>65</v>
      </c>
      <c r="AT18" s="14"/>
      <c r="AU18" s="14">
        <v>45</v>
      </c>
      <c r="AV18" s="14">
        <v>47852</v>
      </c>
      <c r="AW18" s="99">
        <f>AV18/(HS$15*42)</f>
        <v>485.23566155593414</v>
      </c>
      <c r="AX18" s="6">
        <f>Pivot_Table_2012!E11</f>
        <v>0</v>
      </c>
      <c r="AY18" s="174">
        <f t="shared" si="3"/>
        <v>0</v>
      </c>
      <c r="AZ18" s="16">
        <f>(AS18+AU18)/2</f>
        <v>55</v>
      </c>
      <c r="BA18" s="6"/>
      <c r="BB18" s="6"/>
      <c r="BC18" s="6"/>
      <c r="BD18" s="6"/>
      <c r="BE18" s="6"/>
      <c r="BF18" s="6"/>
      <c r="BG18" s="6"/>
      <c r="BH18" s="6"/>
      <c r="BI18" s="6"/>
      <c r="BJ18" s="175"/>
      <c r="BK18" s="6">
        <f>Pivot_Table_2012!I11</f>
        <v>0</v>
      </c>
      <c r="BL18" s="174"/>
      <c r="BM18" s="16">
        <f>(BF18+BH18)/2</f>
        <v>0</v>
      </c>
      <c r="BN18" s="6"/>
      <c r="BO18" s="6"/>
      <c r="BP18" s="6"/>
      <c r="BQ18" s="6"/>
      <c r="BR18" s="6"/>
      <c r="BS18" s="6"/>
      <c r="BT18" s="6"/>
      <c r="BU18" s="6"/>
      <c r="BV18" s="6"/>
      <c r="BW18">
        <v>0.1</v>
      </c>
      <c r="BX18" s="94"/>
      <c r="BY18" s="8">
        <f>Pivot_Table_2012!F11</f>
        <v>0</v>
      </c>
      <c r="BZ18" s="169"/>
      <c r="CA18" s="16"/>
      <c r="CB18" s="6"/>
      <c r="CC18" s="6"/>
      <c r="CD18" s="6"/>
      <c r="CE18" s="6"/>
      <c r="CF18" s="6"/>
      <c r="CG18" s="6"/>
      <c r="CH18" s="6"/>
      <c r="CI18" s="6"/>
      <c r="CJ18" s="8">
        <v>3790</v>
      </c>
      <c r="CK18" s="99">
        <f>CJ18/HQ$15*0.001</f>
        <v>1.6499782324771441</v>
      </c>
      <c r="CL18" s="8">
        <f>Pivot_Table_2012!G11</f>
        <v>0</v>
      </c>
      <c r="CM18" s="174">
        <f>(CL18/(CJ18*HT$16))*CK18</f>
        <v>0</v>
      </c>
      <c r="CN18" s="16"/>
      <c r="CO18" s="6"/>
      <c r="CP18" s="6"/>
      <c r="CQ18" s="6"/>
      <c r="CR18" s="6"/>
      <c r="CS18" s="6"/>
      <c r="CT18" s="6"/>
      <c r="CU18" s="6"/>
      <c r="CV18" s="6"/>
      <c r="CW18" s="92">
        <f>EA18+EB18</f>
        <v>745.90000000000146</v>
      </c>
      <c r="CX18" s="122">
        <f>HY$41*0.001*CW18</f>
        <v>3.6083439265536789E-2</v>
      </c>
      <c r="CY18" s="141">
        <f t="shared" si="27"/>
        <v>72890</v>
      </c>
      <c r="CZ18" s="122">
        <f>HY$42*0.001*CY18</f>
        <v>4.6096318538166603</v>
      </c>
      <c r="DA18" s="131"/>
      <c r="DB18" s="131"/>
      <c r="DC18" s="131"/>
      <c r="DD18" s="131"/>
      <c r="DE18" s="131"/>
      <c r="DF18" s="131">
        <v>2900</v>
      </c>
      <c r="DG18" s="131"/>
      <c r="DH18" s="131"/>
      <c r="DI18" s="131"/>
      <c r="DJ18" s="131"/>
      <c r="DK18" s="131"/>
      <c r="DL18" s="137"/>
      <c r="DM18" s="131">
        <v>10200</v>
      </c>
      <c r="DN18" s="131"/>
      <c r="DT18">
        <v>9287</v>
      </c>
      <c r="DU18" s="21"/>
      <c r="DV18" s="110"/>
      <c r="DW18" s="142">
        <f>CU12</f>
        <v>300</v>
      </c>
      <c r="DX18" s="33"/>
      <c r="DY18" s="27">
        <v>13171</v>
      </c>
      <c r="DZ18" s="27"/>
      <c r="EA18" s="62"/>
      <c r="EB18" s="100">
        <f>ED18-EC18-EA18</f>
        <v>745.90000000000146</v>
      </c>
      <c r="EC18" s="27">
        <f t="shared" si="8"/>
        <v>56188.1</v>
      </c>
      <c r="ED18" s="27">
        <v>56934</v>
      </c>
      <c r="EE18" s="27"/>
      <c r="EF18" s="27"/>
      <c r="EH18" s="21">
        <f t="shared" si="4"/>
        <v>0</v>
      </c>
      <c r="EI18">
        <f>Pivot_Table_2012!K11</f>
        <v>0</v>
      </c>
      <c r="EJ18" s="27">
        <f t="shared" si="5"/>
        <v>72890</v>
      </c>
      <c r="EK18" s="27"/>
      <c r="EL18" s="27">
        <f t="shared" si="9"/>
        <v>0</v>
      </c>
      <c r="EM18">
        <f>Pivot_Table_2012!J11</f>
        <v>72890</v>
      </c>
      <c r="EW18" s="19">
        <f>DF18/DM18/1.15*FF18</f>
        <v>0.8617450839055163</v>
      </c>
      <c r="FF18" s="19">
        <f>DM18/DT18/1.15*FO18</f>
        <v>3.4856102876592088</v>
      </c>
      <c r="FO18" s="19">
        <f>3575/2576*FX18</f>
        <v>3.6496560934034048</v>
      </c>
      <c r="FP18" s="108" t="s">
        <v>339</v>
      </c>
      <c r="FQ18" s="13">
        <f>X18*FQ$3</f>
        <v>1.5334176279999998</v>
      </c>
      <c r="FR18" s="13"/>
      <c r="FS18" s="13">
        <f>AZ18*FS$3</f>
        <v>0.32037499999999997</v>
      </c>
      <c r="FT18" s="13">
        <f>BM18*FT$3</f>
        <v>0</v>
      </c>
      <c r="FU18" s="13"/>
      <c r="FV18" s="13"/>
      <c r="FW18" s="13"/>
      <c r="FX18" s="19">
        <f>2576/5270*GH18</f>
        <v>2.6297941528971109</v>
      </c>
      <c r="GA18" s="13">
        <f t="shared" si="10"/>
        <v>4.7805634359999996</v>
      </c>
      <c r="GB18" s="13">
        <f t="shared" si="11"/>
        <v>2.3111061764705885</v>
      </c>
      <c r="GC18" s="13">
        <f t="shared" si="12"/>
        <v>2.8264977285633162</v>
      </c>
      <c r="GD18" s="13">
        <f t="shared" si="13"/>
        <v>0</v>
      </c>
      <c r="GE18" s="13">
        <f t="shared" si="14"/>
        <v>0</v>
      </c>
      <c r="GF18" s="13">
        <f t="shared" si="15"/>
        <v>0.20636513464767711</v>
      </c>
      <c r="GG18" s="13">
        <f t="shared" si="16"/>
        <v>3.6083439265536789E-2</v>
      </c>
      <c r="GH18" s="13">
        <f t="shared" si="17"/>
        <v>5.3800524789471176</v>
      </c>
      <c r="GI18" s="13"/>
      <c r="GJ18" s="13"/>
      <c r="GK18" s="13">
        <f>V18*GK$3</f>
        <v>3.0350422399999997</v>
      </c>
      <c r="GL18" s="13">
        <f t="shared" si="18"/>
        <v>0</v>
      </c>
      <c r="GM18" s="13">
        <f t="shared" si="28"/>
        <v>0</v>
      </c>
      <c r="GN18" s="13">
        <f t="shared" si="29"/>
        <v>0</v>
      </c>
      <c r="GO18" s="13">
        <f t="shared" si="30"/>
        <v>0</v>
      </c>
      <c r="GP18" s="13">
        <f t="shared" si="31"/>
        <v>0</v>
      </c>
      <c r="GQ18" s="13">
        <f t="shared" si="32"/>
        <v>4.6096318538166603</v>
      </c>
      <c r="GR18" s="13">
        <f>(GK18/GA18)*GH18</f>
        <v>3.4156405924996522</v>
      </c>
      <c r="GV18">
        <v>212231</v>
      </c>
      <c r="GW18" t="s">
        <v>22</v>
      </c>
      <c r="GY18" s="148">
        <f t="shared" si="19"/>
        <v>552.80000000000007</v>
      </c>
      <c r="GZ18" s="148">
        <f t="shared" si="19"/>
        <v>461.74700000000001</v>
      </c>
      <c r="HA18" s="148">
        <f t="shared" si="19"/>
        <v>437.09100000000001</v>
      </c>
      <c r="HB18" s="149">
        <f t="shared" si="20"/>
        <v>1401.1030000000001</v>
      </c>
      <c r="HC18" s="149">
        <f t="shared" si="20"/>
        <v>889.52</v>
      </c>
      <c r="HD18" s="149">
        <f>'Preliminary estimates - 2017'!AT15</f>
        <v>980.4592540308123</v>
      </c>
      <c r="HF18" s="148">
        <f t="shared" si="21"/>
        <v>0.8617450839055163</v>
      </c>
      <c r="HG18" s="148">
        <f t="shared" si="22"/>
        <v>3.4856102876592088</v>
      </c>
      <c r="HH18" s="148">
        <f t="shared" si="23"/>
        <v>3.6496560934034048</v>
      </c>
      <c r="HI18" s="148">
        <f t="shared" si="24"/>
        <v>2.6297941528971109</v>
      </c>
      <c r="HJ18" s="148">
        <f t="shared" si="25"/>
        <v>5.3800524789471176</v>
      </c>
      <c r="HK18" s="148">
        <f t="shared" si="0"/>
        <v>3.4156405924996522</v>
      </c>
      <c r="HL18" s="148">
        <f>'Preliminary estimates - 2017'!AL15</f>
        <v>5.0975787438686693</v>
      </c>
    </row>
    <row r="19" spans="2:233" x14ac:dyDescent="0.2">
      <c r="B19">
        <v>212234</v>
      </c>
      <c r="C19">
        <v>212234</v>
      </c>
      <c r="D19" t="s">
        <v>17</v>
      </c>
      <c r="E19">
        <v>62</v>
      </c>
      <c r="F19" s="3">
        <v>14900</v>
      </c>
      <c r="G19">
        <v>49</v>
      </c>
      <c r="H19" s="3">
        <v>13745</v>
      </c>
      <c r="I19">
        <v>33</v>
      </c>
      <c r="J19" s="3">
        <v>7288</v>
      </c>
      <c r="K19" s="3"/>
      <c r="L19" s="3"/>
      <c r="M19" s="3"/>
      <c r="N19" s="3"/>
      <c r="O19" s="3"/>
      <c r="P19" s="3"/>
      <c r="Q19" s="3">
        <v>6594900</v>
      </c>
      <c r="R19" s="3">
        <v>7779128</v>
      </c>
      <c r="S19" s="3">
        <v>4775100</v>
      </c>
      <c r="T19" s="78">
        <v>212234</v>
      </c>
      <c r="U19" s="91">
        <v>5169637</v>
      </c>
      <c r="V19" s="91">
        <f>[3]Sheet1!D17</f>
        <v>5246712</v>
      </c>
      <c r="W19" s="91"/>
      <c r="X19" s="23">
        <f t="shared" si="6"/>
        <v>6277114</v>
      </c>
      <c r="Y19" s="33"/>
      <c r="Z19" s="33"/>
      <c r="AA19" s="33"/>
      <c r="AB19" s="3"/>
      <c r="AC19" s="3"/>
      <c r="AD19" s="6"/>
      <c r="AE19" s="6"/>
      <c r="AF19" s="6"/>
      <c r="AG19" s="6"/>
      <c r="AH19" s="6"/>
      <c r="AI19" s="6">
        <f>Pivot_Table_2012!C12</f>
        <v>0</v>
      </c>
      <c r="AJ19" s="6"/>
      <c r="AK19" s="6"/>
      <c r="AL19" s="6"/>
      <c r="AM19" s="16">
        <f t="shared" si="7"/>
        <v>0</v>
      </c>
      <c r="AN19" s="6">
        <v>36.1</v>
      </c>
      <c r="AO19" s="6">
        <v>1525</v>
      </c>
      <c r="AP19" s="8">
        <v>40.9</v>
      </c>
      <c r="AQ19" s="8">
        <v>1501.4</v>
      </c>
      <c r="AR19" s="6">
        <v>95634</v>
      </c>
      <c r="AS19" s="6">
        <v>3057.9</v>
      </c>
      <c r="AT19" s="6"/>
      <c r="AU19" s="6">
        <f>$J19/$H19*AS19</f>
        <v>1621.3877919243359</v>
      </c>
      <c r="AV19" s="107">
        <f>0.95*EE19</f>
        <v>292684.55</v>
      </c>
      <c r="AW19" s="99">
        <f>AV19/(HS$15*42)</f>
        <v>2967.9215340309888</v>
      </c>
      <c r="AX19" s="6">
        <f>Pivot_Table_2012!E12</f>
        <v>347501</v>
      </c>
      <c r="AY19" s="174">
        <f t="shared" si="3"/>
        <v>2518.1252339990006</v>
      </c>
      <c r="AZ19" s="16">
        <f>(AS19+AU19)/2</f>
        <v>2339.6438959621682</v>
      </c>
      <c r="BA19" s="6"/>
      <c r="BB19" s="6"/>
      <c r="BC19" s="6"/>
      <c r="BD19" s="6"/>
      <c r="BE19" s="6"/>
      <c r="BF19" s="6"/>
      <c r="BG19" s="6"/>
      <c r="BH19" s="6"/>
      <c r="BI19" s="6">
        <v>0.1</v>
      </c>
      <c r="BJ19" s="175"/>
      <c r="BK19" s="6">
        <f>Pivot_Table_2012!I12</f>
        <v>106873</v>
      </c>
      <c r="BL19" s="174">
        <f>BK19/(HU$16*42)</f>
        <v>972.62646530347024</v>
      </c>
      <c r="BM19" s="16">
        <f>(BF19+BH19)/2</f>
        <v>0</v>
      </c>
      <c r="BN19" s="8">
        <v>20.100000000000001</v>
      </c>
      <c r="BO19" s="8">
        <v>9.4</v>
      </c>
      <c r="BP19" s="6">
        <v>6</v>
      </c>
      <c r="BQ19" s="6">
        <v>2.4</v>
      </c>
      <c r="BR19" s="6">
        <v>4085</v>
      </c>
      <c r="BS19" s="6">
        <v>1.8</v>
      </c>
      <c r="BT19" s="6"/>
      <c r="BU19" s="6">
        <f>$J19/$H19*BS19</f>
        <v>0.95441251364132407</v>
      </c>
      <c r="BV19" s="6"/>
      <c r="BW19" s="103">
        <f>0.05*EE19</f>
        <v>15404.45</v>
      </c>
      <c r="BX19" s="122">
        <f>BW19/HW$15*0.001</f>
        <v>2.0057877604166667</v>
      </c>
      <c r="BY19" s="8">
        <f>Pivot_Table_2012!F12</f>
        <v>0</v>
      </c>
      <c r="BZ19" s="169"/>
      <c r="CA19" s="16">
        <f>(BS19+BU19)/2</f>
        <v>1.377206256820662</v>
      </c>
      <c r="CB19" s="6"/>
      <c r="CC19" s="6"/>
      <c r="CD19" s="6"/>
      <c r="CE19" s="6"/>
      <c r="CF19" s="6">
        <v>3037</v>
      </c>
      <c r="CG19" s="6">
        <v>3.1</v>
      </c>
      <c r="CH19" s="6">
        <v>2133</v>
      </c>
      <c r="CI19" s="6">
        <v>1.7</v>
      </c>
      <c r="CJ19" s="8">
        <v>21174</v>
      </c>
      <c r="CK19" s="174">
        <f>CJ19/(CH19*CK$4)*CI19</f>
        <v>6.6194936586399304</v>
      </c>
      <c r="CL19" s="8">
        <f>Pivot_Table_2012!G12</f>
        <v>32115</v>
      </c>
      <c r="CM19" s="174">
        <f>(CL19/(CJ19*HT$16))*CK19</f>
        <v>7.1746122949737261</v>
      </c>
      <c r="CN19" s="16">
        <f t="shared" ref="CN19:CN32" si="35">(CG19+CI19)/2</f>
        <v>2.4</v>
      </c>
      <c r="CO19" s="8">
        <v>0.8</v>
      </c>
      <c r="CP19" s="6"/>
      <c r="CQ19" s="6">
        <v>0.3</v>
      </c>
      <c r="CR19" s="6"/>
      <c r="CS19" s="8">
        <v>357</v>
      </c>
      <c r="CT19" s="93">
        <f>HY$39*0.001*CS19</f>
        <v>3.7136674259681098E-2</v>
      </c>
      <c r="CU19" s="6"/>
      <c r="CV19" s="6"/>
      <c r="CW19" s="92">
        <f>EA19+EB19</f>
        <v>1173</v>
      </c>
      <c r="CX19" s="122">
        <f>HY$41*0.001*CW19</f>
        <v>5.6744703389830509E-2</v>
      </c>
      <c r="CY19" s="141">
        <f t="shared" si="27"/>
        <v>15192</v>
      </c>
      <c r="CZ19" s="122">
        <f>HY$42*0.001*CY19</f>
        <v>0.96075630570973669</v>
      </c>
      <c r="DA19" s="134">
        <f>DF19/DD19-1</f>
        <v>0.23333333333333339</v>
      </c>
      <c r="DB19" s="131">
        <v>0.6</v>
      </c>
      <c r="DC19" s="131"/>
      <c r="DD19" s="116">
        <f>DE19</f>
        <v>57</v>
      </c>
      <c r="DE19" s="133">
        <f>Y19+AN19+BA19+BN19+CB19+CO19</f>
        <v>57</v>
      </c>
      <c r="DF19" s="131">
        <v>70.3</v>
      </c>
      <c r="DG19" s="131"/>
      <c r="DH19" s="110">
        <f>DM19/DK19-1</f>
        <v>0.30084745762711873</v>
      </c>
      <c r="DI19" s="131">
        <v>0.5</v>
      </c>
      <c r="DJ19" s="131"/>
      <c r="DK19" s="131">
        <f>DL19</f>
        <v>47.199999999999996</v>
      </c>
      <c r="DL19" s="136">
        <f>AA19+AP19+BC19+BP19+CD19+CQ19</f>
        <v>47.199999999999996</v>
      </c>
      <c r="DM19" s="131">
        <v>61.4</v>
      </c>
      <c r="DN19" s="131"/>
      <c r="DO19" s="110">
        <f>DT19/(DT19-DP19)-1</f>
        <v>1.2714206744057543E-2</v>
      </c>
      <c r="DP19" s="116">
        <f>DT19-DS19</f>
        <v>1311</v>
      </c>
      <c r="DR19" s="33">
        <f>DS19</f>
        <v>103113</v>
      </c>
      <c r="DS19" s="33">
        <f>AC19+AR19+BE19+BR19+CF19+CS19</f>
        <v>103113</v>
      </c>
      <c r="DT19">
        <v>104424</v>
      </c>
      <c r="DU19" s="21">
        <v>0.05</v>
      </c>
      <c r="DV19" s="110"/>
      <c r="DW19" s="142"/>
      <c r="DX19" s="33"/>
      <c r="DY19" s="27">
        <v>86214</v>
      </c>
      <c r="DZ19" s="27"/>
      <c r="EA19" s="27"/>
      <c r="EB19" s="27">
        <v>1173</v>
      </c>
      <c r="EC19" s="27">
        <f t="shared" si="8"/>
        <v>329263.09999999998</v>
      </c>
      <c r="ED19" s="27">
        <v>330436</v>
      </c>
      <c r="EE19" s="27">
        <f>ED19-EB19-CJ19</f>
        <v>308089</v>
      </c>
      <c r="EF19" s="27"/>
      <c r="EH19" s="21">
        <f t="shared" si="4"/>
        <v>0</v>
      </c>
      <c r="EI19">
        <f>Pivot_Table_2012!K12</f>
        <v>0</v>
      </c>
      <c r="EJ19" s="27">
        <f t="shared" si="5"/>
        <v>15192</v>
      </c>
      <c r="EK19" s="27"/>
      <c r="EL19" s="27">
        <f t="shared" si="9"/>
        <v>486489</v>
      </c>
      <c r="EM19">
        <f>Pivot_Table_2012!J12</f>
        <v>501681</v>
      </c>
      <c r="EP19" s="13">
        <f>C19*EP$3</f>
        <v>0.72414240799999996</v>
      </c>
      <c r="EQ19" s="13">
        <f>Z19*EQ$3</f>
        <v>0</v>
      </c>
      <c r="ER19" s="13">
        <f>AO19*ER$3</f>
        <v>8.8831249999999997</v>
      </c>
      <c r="ES19" s="13">
        <f>BB19*ES$3</f>
        <v>0</v>
      </c>
      <c r="ET19" s="13">
        <f>BO19*ET$3</f>
        <v>9.6631999999999998</v>
      </c>
      <c r="EU19" s="13">
        <f>CC19*EU$3</f>
        <v>0</v>
      </c>
      <c r="EV19" s="13">
        <f>CP19</f>
        <v>0</v>
      </c>
      <c r="EW19" s="13">
        <f>SUM(EQ19:EV19)*(1+DA19)</f>
        <v>22.873800833333334</v>
      </c>
      <c r="EY19" s="13">
        <f>C19*EY$3</f>
        <v>0.72414240799999996</v>
      </c>
      <c r="EZ19" s="13">
        <f>AB19*EZ$3</f>
        <v>0</v>
      </c>
      <c r="FA19" s="13">
        <f>AQ19*FA$3</f>
        <v>8.7456549999999993</v>
      </c>
      <c r="FB19" s="13">
        <f>BD19*FB$3</f>
        <v>0</v>
      </c>
      <c r="FC19" s="13">
        <f>BQ19*FC$3</f>
        <v>2.4672000000000001</v>
      </c>
      <c r="FD19" s="13">
        <f>CE19*FD$3</f>
        <v>0</v>
      </c>
      <c r="FE19" s="13">
        <f>CR19</f>
        <v>0</v>
      </c>
      <c r="FF19" s="13">
        <f>SUM(EZ19:FE19)*(1+DH19)</f>
        <v>14.586213919491525</v>
      </c>
      <c r="FH19" s="13">
        <f>R19*FH$3</f>
        <v>26.542384735999999</v>
      </c>
      <c r="FI19" s="13">
        <f>AD19*FI$3</f>
        <v>0</v>
      </c>
      <c r="FJ19" s="13">
        <f>AS19*FJ$3</f>
        <v>17.812267499999997</v>
      </c>
      <c r="FK19" s="13">
        <f>BF19*FK$3</f>
        <v>0</v>
      </c>
      <c r="FL19" s="13">
        <f>BS19*FL$3</f>
        <v>1.8504</v>
      </c>
      <c r="FM19" s="13">
        <f>CG19*FM$3</f>
        <v>0.38772142857142861</v>
      </c>
      <c r="FN19" s="13">
        <f>CT19</f>
        <v>3.7136674259681098E-2</v>
      </c>
      <c r="FO19" s="13">
        <f>SUM(FI19:FN19)*(1+DO19)</f>
        <v>20.342922556322051</v>
      </c>
      <c r="FQ19" s="13">
        <f>X19*FQ$3</f>
        <v>21.417512967999997</v>
      </c>
      <c r="FR19" s="13">
        <f>AM19*FR$3</f>
        <v>0</v>
      </c>
      <c r="FS19" s="13">
        <f>AZ19*FS$3</f>
        <v>13.628425693979629</v>
      </c>
      <c r="FT19" s="13">
        <f>BM19*FT$3</f>
        <v>0</v>
      </c>
      <c r="FU19" s="13">
        <f>CA19*FU$3</f>
        <v>1.4157680320116406</v>
      </c>
      <c r="FV19" s="13">
        <f>CN19*FV$3</f>
        <v>0.30017142857142859</v>
      </c>
      <c r="FW19" s="13"/>
      <c r="FX19" s="13">
        <f>SUM(FR19:FW19)*(1+DU19)</f>
        <v>16.111583412290834</v>
      </c>
      <c r="GA19" s="13">
        <f t="shared" si="10"/>
        <v>17.638801443999998</v>
      </c>
      <c r="GB19" s="13">
        <f t="shared" si="11"/>
        <v>0</v>
      </c>
      <c r="GC19" s="13">
        <f t="shared" si="12"/>
        <v>17.288142935730509</v>
      </c>
      <c r="GD19" s="13">
        <f t="shared" si="13"/>
        <v>0</v>
      </c>
      <c r="GE19" s="13">
        <f t="shared" si="14"/>
        <v>2.0619498177083333</v>
      </c>
      <c r="GF19" s="13">
        <f t="shared" si="15"/>
        <v>0.82790952830560849</v>
      </c>
      <c r="GG19" s="13">
        <f t="shared" si="16"/>
        <v>5.6744703389830509E-2</v>
      </c>
      <c r="GH19" s="13">
        <f t="shared" si="17"/>
        <v>20.234746985134283</v>
      </c>
      <c r="GI19" s="13"/>
      <c r="GJ19" s="13"/>
      <c r="GK19" s="13">
        <f>V19*GK$3</f>
        <v>17.901781344</v>
      </c>
      <c r="GL19" s="13">
        <f t="shared" si="18"/>
        <v>0</v>
      </c>
      <c r="GM19" s="13">
        <f t="shared" si="28"/>
        <v>14.668079488044176</v>
      </c>
      <c r="GN19" s="13">
        <f t="shared" si="29"/>
        <v>6.1149025873629173</v>
      </c>
      <c r="GO19" s="13">
        <f t="shared" si="30"/>
        <v>0</v>
      </c>
      <c r="GP19" s="13">
        <f t="shared" si="31"/>
        <v>0.89733900917849974</v>
      </c>
      <c r="GQ19" s="13">
        <f t="shared" si="32"/>
        <v>0.96075630570973669</v>
      </c>
      <c r="GR19" s="13">
        <f t="shared" si="33"/>
        <v>22.64107739029533</v>
      </c>
      <c r="GV19">
        <v>212234</v>
      </c>
      <c r="GW19" t="s">
        <v>17</v>
      </c>
      <c r="GY19" s="148">
        <f t="shared" si="19"/>
        <v>6594.9000000000005</v>
      </c>
      <c r="GZ19" s="148">
        <f t="shared" si="19"/>
        <v>7779.1280000000006</v>
      </c>
      <c r="HA19" s="148">
        <f t="shared" si="19"/>
        <v>4775.1000000000004</v>
      </c>
      <c r="HB19" s="149">
        <f t="shared" si="20"/>
        <v>5169.6369999999997</v>
      </c>
      <c r="HC19" s="149">
        <f t="shared" si="20"/>
        <v>5246.7120000000004</v>
      </c>
      <c r="HD19" s="149">
        <f>'Preliminary estimates - 2017'!AT16</f>
        <v>5783.1047459691872</v>
      </c>
      <c r="HF19" s="148">
        <f t="shared" si="21"/>
        <v>22.873800833333334</v>
      </c>
      <c r="HG19" s="148">
        <f t="shared" si="22"/>
        <v>14.586213919491525</v>
      </c>
      <c r="HH19" s="148">
        <f t="shared" si="23"/>
        <v>20.342922556322051</v>
      </c>
      <c r="HI19" s="148">
        <f t="shared" si="24"/>
        <v>16.111583412290834</v>
      </c>
      <c r="HJ19" s="148">
        <f t="shared" si="25"/>
        <v>20.234746985134283</v>
      </c>
      <c r="HK19" s="148">
        <f t="shared" si="0"/>
        <v>22.64107739029533</v>
      </c>
      <c r="HL19" s="148">
        <f>'Preliminary estimates - 2017'!AL16</f>
        <v>42.714196832744022</v>
      </c>
    </row>
    <row r="20" spans="2:233" x14ac:dyDescent="0.2">
      <c r="B20">
        <v>212291</v>
      </c>
      <c r="C20">
        <v>212291</v>
      </c>
      <c r="D20" t="s">
        <v>23</v>
      </c>
      <c r="G20">
        <v>29</v>
      </c>
      <c r="H20" s="3">
        <v>695</v>
      </c>
      <c r="I20">
        <v>17</v>
      </c>
      <c r="J20" s="3">
        <v>329</v>
      </c>
      <c r="K20" s="3"/>
      <c r="L20" s="3"/>
      <c r="M20" s="3">
        <v>30</v>
      </c>
      <c r="N20" s="3">
        <v>973</v>
      </c>
      <c r="O20" s="3"/>
      <c r="P20" s="3"/>
      <c r="Q20" s="3">
        <v>138000</v>
      </c>
      <c r="R20" s="3">
        <v>99045</v>
      </c>
      <c r="S20" s="3">
        <v>123476</v>
      </c>
      <c r="T20" s="78">
        <v>212291</v>
      </c>
      <c r="U20" s="91">
        <v>161873</v>
      </c>
      <c r="V20" s="181">
        <v>170000</v>
      </c>
      <c r="W20" s="181"/>
      <c r="X20" s="23">
        <f t="shared" si="6"/>
        <v>111260.5</v>
      </c>
      <c r="Y20" s="33"/>
      <c r="Z20" s="33"/>
      <c r="AA20" s="33"/>
      <c r="AB20" s="3"/>
      <c r="AC20" s="3"/>
      <c r="AD20" s="6"/>
      <c r="AE20" s="6"/>
      <c r="AF20" s="6"/>
      <c r="AG20" s="6"/>
      <c r="AH20" s="6"/>
      <c r="AI20" s="6">
        <f>Pivot_Table_2012!C13</f>
        <v>0</v>
      </c>
      <c r="AJ20" s="6"/>
      <c r="AK20" s="6"/>
      <c r="AL20" s="6"/>
      <c r="AM20" s="16">
        <f t="shared" si="7"/>
        <v>0</v>
      </c>
      <c r="AN20" s="8">
        <v>1.5</v>
      </c>
      <c r="AO20" s="8">
        <v>53.2</v>
      </c>
      <c r="AP20" s="59">
        <v>0.8</v>
      </c>
      <c r="AQ20" s="84">
        <f>AP20/(AN20*HU$12)*AO20</f>
        <v>23.891227080394923</v>
      </c>
      <c r="AR20" s="6">
        <v>59</v>
      </c>
      <c r="AS20" s="6">
        <v>1.5</v>
      </c>
      <c r="AT20" s="6">
        <v>116</v>
      </c>
      <c r="AU20" s="84">
        <f>AT20/(AR20*AU$4)*AS20</f>
        <v>2.5157645343539272</v>
      </c>
      <c r="AV20" s="58">
        <v>2108</v>
      </c>
      <c r="AW20" s="174">
        <f>AV20/(AT20*AW$4)*AU20</f>
        <v>16.297086593711196</v>
      </c>
      <c r="AX20" s="6">
        <f>Pivot_Table_2012!E13</f>
        <v>1913</v>
      </c>
      <c r="AY20" s="174">
        <f t="shared" si="3"/>
        <v>10.568734451367577</v>
      </c>
      <c r="AZ20" s="16">
        <f>(AS20+AU20)/2</f>
        <v>2.0078822671769636</v>
      </c>
      <c r="BA20" s="6"/>
      <c r="BB20" s="6"/>
      <c r="BC20" s="6"/>
      <c r="BD20" s="6"/>
      <c r="BE20" s="6"/>
      <c r="BF20" s="6"/>
      <c r="BG20" s="6"/>
      <c r="BH20" s="6"/>
      <c r="BI20" s="6"/>
      <c r="BJ20" s="175"/>
      <c r="BK20" s="6">
        <f>Pivot_Table_2012!I13</f>
        <v>0</v>
      </c>
      <c r="BL20" s="174"/>
      <c r="BM20" s="16">
        <f>(BF20+BH20)/2</f>
        <v>0</v>
      </c>
      <c r="BN20" s="8">
        <v>2.2000000000000002</v>
      </c>
      <c r="BO20" s="8">
        <v>0.7</v>
      </c>
      <c r="BP20" s="8">
        <v>1.1000000000000001</v>
      </c>
      <c r="BQ20" s="8">
        <v>0.5</v>
      </c>
      <c r="BR20" s="6">
        <v>834</v>
      </c>
      <c r="BS20" s="6">
        <v>0.3</v>
      </c>
      <c r="BT20" s="6"/>
      <c r="BU20" s="6">
        <f>$J20/$H20*BS20</f>
        <v>0.14201438848920861</v>
      </c>
      <c r="BV20" s="6"/>
      <c r="BW20" s="8">
        <v>841</v>
      </c>
      <c r="BX20" s="122">
        <f>BW20/HW$15*0.001</f>
        <v>0.10950520833333334</v>
      </c>
      <c r="BY20" s="8">
        <f>Pivot_Table_2012!F13</f>
        <v>0</v>
      </c>
      <c r="BZ20" s="169"/>
      <c r="CA20" s="16">
        <f>(BS20+BU20)/2</f>
        <v>0.2210071942446043</v>
      </c>
      <c r="CB20" s="8">
        <v>0.6</v>
      </c>
      <c r="CC20" s="8">
        <v>0.7</v>
      </c>
      <c r="CD20" s="8">
        <v>0.5</v>
      </c>
      <c r="CE20" s="8">
        <v>0.5</v>
      </c>
      <c r="CF20" s="8">
        <v>153</v>
      </c>
      <c r="CG20" s="6">
        <v>0.1</v>
      </c>
      <c r="CH20" s="6"/>
      <c r="CI20" s="6">
        <f>$J20/$H20*CG20</f>
        <v>4.7338129496402877E-2</v>
      </c>
      <c r="CJ20" s="8">
        <v>1610</v>
      </c>
      <c r="CK20" s="99">
        <f>CJ20/HQ$15*0.001</f>
        <v>0.70091423595994773</v>
      </c>
      <c r="CL20" s="8">
        <f>Pivot_Table_2012!G13</f>
        <v>1285</v>
      </c>
      <c r="CM20" s="174">
        <f>(CL20/(CJ20*HT$16))*CK20</f>
        <v>0.39977053542443353</v>
      </c>
      <c r="CN20" s="16">
        <f t="shared" si="35"/>
        <v>7.3669064748201438E-2</v>
      </c>
      <c r="CO20" s="59">
        <v>1</v>
      </c>
      <c r="CP20" s="93">
        <f>HY$37*CO20</f>
        <v>0.12702286685365111</v>
      </c>
      <c r="CQ20" s="59">
        <v>0.2</v>
      </c>
      <c r="CR20" s="93">
        <f>HY$38*CQ20</f>
        <v>2.6299100602093964E-2</v>
      </c>
      <c r="CS20" s="8">
        <v>135</v>
      </c>
      <c r="CT20" s="93">
        <f>HY$39*0.001*CS20</f>
        <v>1.4043280182232347E-2</v>
      </c>
      <c r="CU20" s="59">
        <v>200</v>
      </c>
      <c r="CV20" s="93">
        <f>HY$40*0.001*CU20</f>
        <v>1.9067501739735558E-2</v>
      </c>
      <c r="CW20" s="92">
        <f>EA20+EB20</f>
        <v>151</v>
      </c>
      <c r="CX20" s="122">
        <f>HY$41*0.001*CW20</f>
        <v>7.3047316384180789E-3</v>
      </c>
      <c r="CY20" s="141">
        <f t="shared" si="27"/>
        <v>0</v>
      </c>
      <c r="CZ20" s="122">
        <f>HY$42*0.001*CY20</f>
        <v>0</v>
      </c>
      <c r="DA20" s="134">
        <f>DF20/DD20-1</f>
        <v>0.22641509433962259</v>
      </c>
      <c r="DB20" s="131">
        <v>1.2</v>
      </c>
      <c r="DC20" s="131"/>
      <c r="DD20" s="116">
        <f>DE20</f>
        <v>5.3</v>
      </c>
      <c r="DE20" s="133">
        <f>Y20+AN20+BA20+BN20+CB20+CO20</f>
        <v>5.3</v>
      </c>
      <c r="DF20" s="131">
        <v>6.5</v>
      </c>
      <c r="DG20" s="131"/>
      <c r="DH20" s="110">
        <f>DM20/DK20-1</f>
        <v>0.69230769230769207</v>
      </c>
      <c r="DI20" s="131">
        <v>1.8</v>
      </c>
      <c r="DJ20" s="131"/>
      <c r="DK20" s="131">
        <f>DL20</f>
        <v>2.6000000000000005</v>
      </c>
      <c r="DL20" s="136">
        <f>AA20+AP20+BC20+BP20+CD20+CQ20</f>
        <v>2.6000000000000005</v>
      </c>
      <c r="DM20" s="131">
        <v>4.4000000000000004</v>
      </c>
      <c r="DN20" s="131"/>
      <c r="DO20" s="110">
        <f>DT20/(DT20-DP20)-1</f>
        <v>0.55969517358171039</v>
      </c>
      <c r="DP20">
        <v>661</v>
      </c>
      <c r="DS20" s="33">
        <f>AC20+AR20+BE20+BR20+CF20+CS20</f>
        <v>1181</v>
      </c>
      <c r="DT20">
        <v>1842</v>
      </c>
      <c r="DU20" s="21">
        <f>DY20/DX20-1</f>
        <v>0.63519313304721026</v>
      </c>
      <c r="DV20" s="110"/>
      <c r="DW20" s="142"/>
      <c r="DX20" s="33">
        <f>DY20-740</f>
        <v>1165</v>
      </c>
      <c r="DY20" s="27">
        <v>1905</v>
      </c>
      <c r="DZ20" s="21">
        <f>ED20/(EB20+EC20)-1</f>
        <v>3.3121298530379484E-2</v>
      </c>
      <c r="EA20" s="27">
        <f>ED20-EC20-EB20</f>
        <v>151</v>
      </c>
      <c r="EB20" s="27"/>
      <c r="EC20" s="27">
        <f t="shared" si="8"/>
        <v>4559</v>
      </c>
      <c r="ED20" s="27">
        <v>4710</v>
      </c>
      <c r="EE20" s="27"/>
      <c r="EF20" s="109">
        <v>1.6861598440545809</v>
      </c>
      <c r="EH20" s="21">
        <f t="shared" si="4"/>
        <v>0</v>
      </c>
      <c r="EI20">
        <f>Pivot_Table_2012!K13</f>
        <v>0</v>
      </c>
      <c r="EJ20" s="27"/>
      <c r="EK20" s="27"/>
      <c r="EL20" s="27">
        <f t="shared" si="9"/>
        <v>3198</v>
      </c>
      <c r="EM20">
        <f>SUM(EI20:EL20)</f>
        <v>3198</v>
      </c>
      <c r="EP20" s="13">
        <f>C20*EP$3</f>
        <v>0.72433689199999995</v>
      </c>
      <c r="EQ20" s="13">
        <f>Z20*EQ$3</f>
        <v>0</v>
      </c>
      <c r="ER20" s="13">
        <f>AO20*ER$3</f>
        <v>0.30989</v>
      </c>
      <c r="ES20" s="13">
        <f>BB20*ES$3</f>
        <v>0</v>
      </c>
      <c r="ET20" s="13">
        <f>BO20*ET$3</f>
        <v>0.71960000000000002</v>
      </c>
      <c r="EU20" s="13">
        <f>CC20*EU$3</f>
        <v>8.7550000000000003E-2</v>
      </c>
      <c r="EV20" s="13">
        <f>CP20</f>
        <v>0.12702286685365111</v>
      </c>
      <c r="EW20" s="13">
        <f>SUM(EQ20:EV20)*(1+DA20)</f>
        <v>1.5257374782167419</v>
      </c>
      <c r="EY20" s="13">
        <f>C20*EY$3</f>
        <v>0.72433689199999995</v>
      </c>
      <c r="EZ20" s="13">
        <f>AB20*EZ$3</f>
        <v>0</v>
      </c>
      <c r="FA20" s="13">
        <f>AQ20*FA$3</f>
        <v>0.13916639774330042</v>
      </c>
      <c r="FB20" s="13">
        <f>BD20*FB$3</f>
        <v>0</v>
      </c>
      <c r="FC20" s="13">
        <f>BQ20*FC$3</f>
        <v>0.51400000000000001</v>
      </c>
      <c r="FD20" s="13">
        <f>CE20*FD$3</f>
        <v>6.2535714285714292E-2</v>
      </c>
      <c r="FE20" s="13">
        <f>CR20</f>
        <v>2.6299100602093964E-2</v>
      </c>
      <c r="FF20" s="13">
        <f>SUM(EZ20:FE20)*(1+DH20)</f>
        <v>1.2556943598372605</v>
      </c>
      <c r="FH20" s="13">
        <f>R20*FH$3</f>
        <v>0.33794153999999998</v>
      </c>
      <c r="FI20" s="13">
        <f>AD20*FI$3</f>
        <v>0</v>
      </c>
      <c r="FJ20" s="13">
        <f>AS20*FJ$3</f>
        <v>8.7374999999999987E-3</v>
      </c>
      <c r="FK20" s="13">
        <f>BF20*FK$3</f>
        <v>0</v>
      </c>
      <c r="FL20" s="13">
        <f>BS20*FL$3</f>
        <v>0.30840000000000001</v>
      </c>
      <c r="FM20" s="13">
        <f>CG20*FM$3</f>
        <v>1.2507142857142859E-2</v>
      </c>
      <c r="FN20" s="13">
        <f>CT20</f>
        <v>1.4043280182232347E-2</v>
      </c>
      <c r="FO20" s="13">
        <f t="shared" ref="FO20:FO42" si="36">SUM(FI20:FN20)*(1+DO20)</f>
        <v>0.53604839478283584</v>
      </c>
      <c r="FQ20" s="13">
        <f>S20*FQ$3</f>
        <v>0.42130011199999995</v>
      </c>
      <c r="FR20" s="13">
        <f>AF20*FR$3</f>
        <v>0</v>
      </c>
      <c r="FS20" s="13">
        <f>AU20*FS$3</f>
        <v>1.4654328412611625E-2</v>
      </c>
      <c r="FT20" s="13">
        <f>BH20*FT$3</f>
        <v>0</v>
      </c>
      <c r="FU20" s="13">
        <f>BU20*FU$3</f>
        <v>0.14599079136690646</v>
      </c>
      <c r="FV20" s="13">
        <f>CI20*FV$3</f>
        <v>5.9206474820143887E-3</v>
      </c>
      <c r="FW20" s="13">
        <f>CV20</f>
        <v>1.9067501739735558E-2</v>
      </c>
      <c r="FX20" s="13">
        <f>SUM(FR20:FW20)*(1+DU20)</f>
        <v>0.30354624673597908</v>
      </c>
      <c r="GA20" s="13">
        <f t="shared" si="10"/>
        <v>0.55231067599999994</v>
      </c>
      <c r="GB20" s="13">
        <f t="shared" si="11"/>
        <v>0</v>
      </c>
      <c r="GC20" s="13">
        <f t="shared" si="12"/>
        <v>9.4930529408367714E-2</v>
      </c>
      <c r="GD20" s="13">
        <f t="shared" si="13"/>
        <v>0</v>
      </c>
      <c r="GE20" s="13">
        <f t="shared" si="14"/>
        <v>0.11257135416666668</v>
      </c>
      <c r="GF20" s="13">
        <f t="shared" si="15"/>
        <v>8.7664344797562035E-2</v>
      </c>
      <c r="GG20" s="13">
        <f t="shared" si="16"/>
        <v>7.3047316384180789E-3</v>
      </c>
      <c r="GH20" s="13">
        <f t="shared" si="17"/>
        <v>0.31248919097430983</v>
      </c>
      <c r="GI20" s="13"/>
      <c r="GJ20" s="13"/>
      <c r="GK20" s="119">
        <v>0.5</v>
      </c>
      <c r="GL20" s="13">
        <f t="shared" si="18"/>
        <v>0</v>
      </c>
      <c r="GM20" s="13">
        <f t="shared" si="28"/>
        <v>6.1562878179216129E-2</v>
      </c>
      <c r="GN20" s="13">
        <f t="shared" si="29"/>
        <v>0</v>
      </c>
      <c r="GO20" s="13">
        <f t="shared" si="30"/>
        <v>0</v>
      </c>
      <c r="GP20" s="13">
        <f t="shared" si="31"/>
        <v>4.9999871966298799E-2</v>
      </c>
      <c r="GQ20" s="13">
        <f t="shared" si="32"/>
        <v>0</v>
      </c>
      <c r="GR20" s="119">
        <v>0.3</v>
      </c>
      <c r="GV20">
        <v>212291</v>
      </c>
      <c r="GW20" t="s">
        <v>23</v>
      </c>
      <c r="GY20" s="148">
        <f t="shared" si="19"/>
        <v>138</v>
      </c>
      <c r="GZ20" s="148">
        <f t="shared" si="19"/>
        <v>99.045000000000002</v>
      </c>
      <c r="HA20" s="148">
        <f t="shared" si="19"/>
        <v>123.476</v>
      </c>
      <c r="HB20" s="149">
        <f t="shared" si="20"/>
        <v>161.87299999999999</v>
      </c>
      <c r="HC20" s="149">
        <f t="shared" si="20"/>
        <v>170</v>
      </c>
      <c r="HD20" s="149">
        <f>'Preliminary estimates - 2017'!AT17</f>
        <v>124.242</v>
      </c>
      <c r="HF20" s="148">
        <f t="shared" si="21"/>
        <v>1.5257374782167419</v>
      </c>
      <c r="HG20" s="148">
        <f t="shared" si="22"/>
        <v>1.2556943598372605</v>
      </c>
      <c r="HH20" s="148">
        <f t="shared" si="23"/>
        <v>0.53604839478283584</v>
      </c>
      <c r="HI20" s="148">
        <f t="shared" si="24"/>
        <v>0.30354624673597908</v>
      </c>
      <c r="HJ20" s="148">
        <f t="shared" si="25"/>
        <v>0.31248919097430983</v>
      </c>
      <c r="HK20" s="148">
        <f t="shared" si="0"/>
        <v>0.3</v>
      </c>
      <c r="HL20" s="148">
        <f>'Preliminary estimates - 2017'!AL17</f>
        <v>0.57314469338505203</v>
      </c>
      <c r="HO20" s="60" t="str">
        <f>Prices!E16</f>
        <v>MMBtu/ton</v>
      </c>
      <c r="HP20" s="16"/>
      <c r="HR20" s="16"/>
      <c r="HT20" s="16"/>
      <c r="HV20" s="16"/>
      <c r="HX20" s="16">
        <f>Prices!N16</f>
        <v>0</v>
      </c>
      <c r="HY20">
        <f>Prices!O16</f>
        <v>0</v>
      </c>
    </row>
    <row r="21" spans="2:233" x14ac:dyDescent="0.2">
      <c r="B21">
        <v>212299</v>
      </c>
      <c r="C21">
        <v>212299</v>
      </c>
      <c r="D21" t="s">
        <v>31</v>
      </c>
      <c r="G21">
        <v>35</v>
      </c>
      <c r="H21" s="3">
        <v>2688</v>
      </c>
      <c r="I21">
        <v>37</v>
      </c>
      <c r="J21" s="3">
        <v>2932</v>
      </c>
      <c r="K21" s="3"/>
      <c r="L21" s="3"/>
      <c r="M21" s="3"/>
      <c r="N21" s="3"/>
      <c r="O21" s="3"/>
      <c r="P21" s="3"/>
      <c r="Q21" s="3">
        <v>696100</v>
      </c>
      <c r="R21" s="3">
        <v>819210</v>
      </c>
      <c r="S21" s="3">
        <v>805199</v>
      </c>
      <c r="T21" s="78">
        <v>212299</v>
      </c>
      <c r="U21" s="91">
        <v>1690519</v>
      </c>
      <c r="V21" s="91">
        <f>[3]Sheet1!D19</f>
        <v>1139514</v>
      </c>
      <c r="W21" s="91"/>
      <c r="X21" s="23">
        <f t="shared" si="6"/>
        <v>812204.5</v>
      </c>
      <c r="Y21" s="33"/>
      <c r="Z21" s="33"/>
      <c r="AA21" s="33"/>
      <c r="AB21" s="3"/>
      <c r="AC21" s="3"/>
      <c r="AD21" s="6"/>
      <c r="AE21" s="6"/>
      <c r="AF21" s="6"/>
      <c r="AG21" s="6"/>
      <c r="AH21" s="6"/>
      <c r="AI21" s="6">
        <f>Pivot_Table_2012!C14</f>
        <v>0</v>
      </c>
      <c r="AJ21" s="6"/>
      <c r="AK21" s="6"/>
      <c r="AL21" s="6"/>
      <c r="AM21" s="16">
        <f t="shared" si="7"/>
        <v>0</v>
      </c>
      <c r="AN21" s="8">
        <v>3.6</v>
      </c>
      <c r="AO21" s="8">
        <v>121</v>
      </c>
      <c r="AP21" s="6"/>
      <c r="AQ21" s="6"/>
      <c r="AR21" s="6">
        <v>4081</v>
      </c>
      <c r="AS21" s="6">
        <v>123</v>
      </c>
      <c r="AT21" s="6">
        <v>2366</v>
      </c>
      <c r="AU21" s="6">
        <f>$J21/$H21*AS21</f>
        <v>134.16517857142858</v>
      </c>
      <c r="AV21" s="58">
        <v>27939</v>
      </c>
      <c r="AW21" s="174">
        <f>AV21/(AT21*AW$4)*AU21</f>
        <v>564.75917589576045</v>
      </c>
      <c r="AX21" s="6">
        <f>Pivot_Table_2012!E14</f>
        <v>19274</v>
      </c>
      <c r="AY21" s="174">
        <f t="shared" si="3"/>
        <v>278.41520025595349</v>
      </c>
      <c r="AZ21" s="16">
        <f>(AS21+AU21)/2</f>
        <v>128.58258928571428</v>
      </c>
      <c r="BA21" s="6"/>
      <c r="BB21" s="6"/>
      <c r="BC21" s="6"/>
      <c r="BD21" s="6"/>
      <c r="BE21" s="6">
        <v>3899</v>
      </c>
      <c r="BF21" s="6">
        <v>171.2</v>
      </c>
      <c r="BG21" s="6">
        <v>2156</v>
      </c>
      <c r="BH21" s="6">
        <v>83.3</v>
      </c>
      <c r="BI21" s="6">
        <v>7542</v>
      </c>
      <c r="BJ21" s="174">
        <f>BI21/(BG21*BJ$4)*BH21</f>
        <v>118.80294331395352</v>
      </c>
      <c r="BK21" s="6">
        <f>Pivot_Table_2012!I14</f>
        <v>9805</v>
      </c>
      <c r="BL21" s="174">
        <f t="shared" si="26"/>
        <v>81.233296331774966</v>
      </c>
      <c r="BM21" s="16">
        <f>(BF21+BH21)/2</f>
        <v>127.25</v>
      </c>
      <c r="BN21" s="6"/>
      <c r="BO21" s="6"/>
      <c r="BP21" s="6"/>
      <c r="BQ21" s="6"/>
      <c r="BR21" s="6">
        <v>1129</v>
      </c>
      <c r="BS21" s="6">
        <v>0.5</v>
      </c>
      <c r="BT21" s="6">
        <v>1322</v>
      </c>
      <c r="BU21" s="6">
        <v>0.5</v>
      </c>
      <c r="BV21" s="8">
        <f>BT21/BU21*0.001</f>
        <v>2.6440000000000001</v>
      </c>
      <c r="BW21" s="8">
        <v>6938</v>
      </c>
      <c r="BX21" s="169">
        <f>BW21/(BT21*BX$4)*BU21</f>
        <v>1.3735285079425112</v>
      </c>
      <c r="BY21" s="8">
        <f>Pivot_Table_2012!F14</f>
        <v>8760</v>
      </c>
      <c r="BZ21" s="169">
        <f t="shared" si="34"/>
        <v>3.4327089539435716</v>
      </c>
      <c r="CA21" s="16">
        <f>(BS21+BU21)/2</f>
        <v>0.5</v>
      </c>
      <c r="CB21" s="6"/>
      <c r="CC21" s="6"/>
      <c r="CD21" s="6"/>
      <c r="CE21" s="6"/>
      <c r="CF21" s="6">
        <v>423</v>
      </c>
      <c r="CG21" s="6">
        <v>0.4</v>
      </c>
      <c r="CH21" s="6"/>
      <c r="CI21" s="6">
        <f>$J21/$H21*CG21</f>
        <v>0.43630952380952381</v>
      </c>
      <c r="CJ21" s="8">
        <v>18450</v>
      </c>
      <c r="CK21" s="174">
        <f>(CJ21/(CF21*HR$14*HR$15))*CG21</f>
        <v>5.9624487073796537</v>
      </c>
      <c r="CL21" s="8">
        <f>Pivot_Table_2012!G14</f>
        <v>25386</v>
      </c>
      <c r="CM21" s="174">
        <f>(CL21/(CJ21*HT$16))*CK21</f>
        <v>5.8626127826206851</v>
      </c>
      <c r="CN21" s="16">
        <f t="shared" si="35"/>
        <v>0.41815476190476192</v>
      </c>
      <c r="CO21" s="6"/>
      <c r="CP21" s="6"/>
      <c r="CQ21" s="6"/>
      <c r="CR21" s="6"/>
      <c r="CS21" s="8">
        <v>666</v>
      </c>
      <c r="CT21" s="93">
        <f>HY$39*0.001*CS21</f>
        <v>6.9280182232346249E-2</v>
      </c>
      <c r="CU21" s="6"/>
      <c r="CV21" s="6"/>
      <c r="CW21" s="92">
        <f>EB21</f>
        <v>542</v>
      </c>
      <c r="CX21" s="122">
        <f>HY$41*0.001*CW21</f>
        <v>2.6219632768361582E-2</v>
      </c>
      <c r="CY21" s="141">
        <f t="shared" si="27"/>
        <v>0</v>
      </c>
      <c r="CZ21" s="122">
        <f>HY$42*0.001*CY21</f>
        <v>0</v>
      </c>
      <c r="DA21" s="131"/>
      <c r="DB21" s="131"/>
      <c r="DC21" s="131"/>
      <c r="DD21" s="131"/>
      <c r="DE21" s="131"/>
      <c r="DF21" s="131">
        <v>10600</v>
      </c>
      <c r="DG21" s="131"/>
      <c r="DH21" s="131"/>
      <c r="DI21" s="131"/>
      <c r="DJ21" s="131"/>
      <c r="DK21" s="131"/>
      <c r="DL21" s="137"/>
      <c r="DM21" s="131">
        <v>8800</v>
      </c>
      <c r="DN21" s="131"/>
      <c r="DO21" s="110">
        <f>DT21/(DT21-DP21)-1</f>
        <v>5.7383470426948691E-2</v>
      </c>
      <c r="DP21">
        <v>586</v>
      </c>
      <c r="DR21">
        <f>AR12</f>
        <v>20584</v>
      </c>
      <c r="DS21" s="33">
        <f>AC21+AR21+BE21+BR21+CF21+CS21</f>
        <v>10198</v>
      </c>
      <c r="DT21">
        <v>10798</v>
      </c>
      <c r="DU21" s="21">
        <v>0.1</v>
      </c>
      <c r="DV21" s="110"/>
      <c r="DW21" s="110"/>
      <c r="DX21" s="33"/>
      <c r="DY21" s="27"/>
      <c r="DZ21" s="27"/>
      <c r="EA21" s="27"/>
      <c r="EB21" s="100">
        <f>ED21-EC21-EA21</f>
        <v>542</v>
      </c>
      <c r="EC21" s="27">
        <f t="shared" si="8"/>
        <v>60869</v>
      </c>
      <c r="ED21" s="27">
        <v>61411</v>
      </c>
      <c r="EE21" s="27"/>
      <c r="EF21" s="27"/>
      <c r="EH21" s="21">
        <f t="shared" si="4"/>
        <v>3.3847370502175789E-3</v>
      </c>
      <c r="EI21">
        <f>Pivot_Table_2012!K14</f>
        <v>214</v>
      </c>
      <c r="EJ21" s="27"/>
      <c r="EK21" s="27"/>
      <c r="EL21" s="27">
        <f t="shared" si="9"/>
        <v>63225</v>
      </c>
      <c r="EM21">
        <f>SUM(EI21:EL21)</f>
        <v>63439</v>
      </c>
      <c r="EP21" s="13">
        <f>C21*EP$3</f>
        <v>0.72436418799999991</v>
      </c>
      <c r="EQ21" s="13" t="e">
        <f>D21*EQ$3</f>
        <v>#VALUE!</v>
      </c>
      <c r="ER21" s="13">
        <f>U21*ER$3</f>
        <v>9847.2731749999984</v>
      </c>
      <c r="ES21" s="13">
        <f>AH21*ES$3</f>
        <v>0</v>
      </c>
      <c r="ET21" s="13">
        <f>AW21*ET$3</f>
        <v>580.57243282084175</v>
      </c>
      <c r="EU21" s="13">
        <f>BM21*EU$3</f>
        <v>15.915339285714287</v>
      </c>
      <c r="EV21" s="13">
        <f>BX21</f>
        <v>1.3735285079425112</v>
      </c>
      <c r="EW21" s="19">
        <f>DF21/DM21/1.15*FF21</f>
        <v>1.9041945854727214</v>
      </c>
      <c r="EY21" s="13">
        <f>C21*EY$3</f>
        <v>0.72436418799999991</v>
      </c>
      <c r="EZ21" s="13">
        <f>S21*EZ$3</f>
        <v>16701.437657999999</v>
      </c>
      <c r="FA21" s="13">
        <f>AF21*FA$3</f>
        <v>0</v>
      </c>
      <c r="FB21" s="13">
        <f>AU21*FB$3</f>
        <v>0.8434964776785715</v>
      </c>
      <c r="FC21" s="13">
        <f>BH21*FC$3</f>
        <v>85.632400000000004</v>
      </c>
      <c r="FD21" s="13">
        <f>BV21*FD$3</f>
        <v>0.33068885714285717</v>
      </c>
      <c r="FE21" s="13">
        <f>CI21</f>
        <v>0.43630952380952381</v>
      </c>
      <c r="FF21" s="19">
        <f>DM21/DT21/1.15*FO21</f>
        <v>1.8179669061305601</v>
      </c>
      <c r="FH21" s="13">
        <f>R21*FH$3</f>
        <v>2.7951445199999996</v>
      </c>
      <c r="FI21" s="13">
        <f>AD21*FI$3</f>
        <v>0</v>
      </c>
      <c r="FJ21" s="13">
        <f>AS21*FJ$3</f>
        <v>0.71647499999999997</v>
      </c>
      <c r="FK21" s="13">
        <f>BF21*FK$3</f>
        <v>1.0763343999999999</v>
      </c>
      <c r="FL21" s="13">
        <f>BS21*FL$3</f>
        <v>0.51400000000000001</v>
      </c>
      <c r="FM21" s="13">
        <f>CG21*FM$3</f>
        <v>5.0028571428571436E-2</v>
      </c>
      <c r="FN21" s="13">
        <f>CT21</f>
        <v>6.9280182232346249E-2</v>
      </c>
      <c r="FO21" s="13">
        <f t="shared" si="36"/>
        <v>2.5653372329838016</v>
      </c>
      <c r="FQ21" s="13">
        <f>S21*FQ$3</f>
        <v>2.7473389879999996</v>
      </c>
      <c r="FR21" s="13">
        <f>AF21*FR$3</f>
        <v>0</v>
      </c>
      <c r="FS21" s="13">
        <f>AU21*FS$3</f>
        <v>0.78151216517857147</v>
      </c>
      <c r="FT21" s="13">
        <f>BH21*FT$3</f>
        <v>0.52370709999999998</v>
      </c>
      <c r="FU21" s="13">
        <f>BU21*FU$3</f>
        <v>0.51400000000000001</v>
      </c>
      <c r="FV21" s="13">
        <f>CI21*FV$3</f>
        <v>5.4569855442176879E-2</v>
      </c>
      <c r="FW21" s="13">
        <f>CV21</f>
        <v>0</v>
      </c>
      <c r="FX21" s="13">
        <f>SUM(FR21:FW21)*(1+DU21)</f>
        <v>2.0611680326828234</v>
      </c>
      <c r="GA21" s="13">
        <f t="shared" si="10"/>
        <v>5.7680508279999998</v>
      </c>
      <c r="GB21" s="13">
        <f t="shared" si="11"/>
        <v>0</v>
      </c>
      <c r="GC21" s="13">
        <f t="shared" si="12"/>
        <v>3.2897221995928043</v>
      </c>
      <c r="GD21" s="13">
        <f t="shared" si="13"/>
        <v>0.74691410461482577</v>
      </c>
      <c r="GE21" s="13">
        <f t="shared" si="14"/>
        <v>1.4119873061649015</v>
      </c>
      <c r="GF21" s="13">
        <f t="shared" si="15"/>
        <v>0.74573197761584109</v>
      </c>
      <c r="GG21" s="13">
        <f t="shared" si="16"/>
        <v>2.6219632768361582E-2</v>
      </c>
      <c r="GH21" s="13">
        <f t="shared" si="17"/>
        <v>6.220575220756734</v>
      </c>
      <c r="GI21" s="13"/>
      <c r="GJ21" s="13"/>
      <c r="GK21" s="13">
        <f>V21*GK$3</f>
        <v>3.8880217679999998</v>
      </c>
      <c r="GL21" s="13">
        <f t="shared" si="18"/>
        <v>0</v>
      </c>
      <c r="GM21" s="13">
        <f t="shared" si="28"/>
        <v>1.6217685414909289</v>
      </c>
      <c r="GN21" s="13">
        <f t="shared" si="29"/>
        <v>0.51071373403786924</v>
      </c>
      <c r="GO21" s="13">
        <f t="shared" si="30"/>
        <v>3.5288248046539916</v>
      </c>
      <c r="GP21" s="13">
        <f t="shared" si="31"/>
        <v>0.73324535588348716</v>
      </c>
      <c r="GQ21" s="13">
        <f t="shared" si="32"/>
        <v>0</v>
      </c>
      <c r="GR21" s="13">
        <f t="shared" si="33"/>
        <v>6.4161963146161893</v>
      </c>
      <c r="GV21">
        <v>212299</v>
      </c>
      <c r="GW21" t="s">
        <v>31</v>
      </c>
      <c r="GY21" s="148">
        <f t="shared" si="19"/>
        <v>696.1</v>
      </c>
      <c r="GZ21" s="148">
        <f t="shared" si="19"/>
        <v>819.21</v>
      </c>
      <c r="HA21" s="148">
        <f t="shared" si="19"/>
        <v>805.19900000000007</v>
      </c>
      <c r="HB21" s="149">
        <f t="shared" si="20"/>
        <v>1690.519</v>
      </c>
      <c r="HC21" s="149">
        <f t="shared" si="20"/>
        <v>1139.5140000000001</v>
      </c>
      <c r="HD21" s="149">
        <f>'Preliminary estimates - 2017'!AT18</f>
        <v>469.47</v>
      </c>
      <c r="HF21" s="148">
        <f t="shared" si="21"/>
        <v>1.9041945854727214</v>
      </c>
      <c r="HG21" s="148">
        <f t="shared" si="22"/>
        <v>1.8179669061305601</v>
      </c>
      <c r="HH21" s="148">
        <f t="shared" si="23"/>
        <v>2.5653372329838016</v>
      </c>
      <c r="HI21" s="148">
        <f t="shared" si="24"/>
        <v>2.0611680326828234</v>
      </c>
      <c r="HJ21" s="148">
        <f t="shared" si="25"/>
        <v>6.220575220756734</v>
      </c>
      <c r="HK21" s="148">
        <f t="shared" si="0"/>
        <v>6.4161963146161893</v>
      </c>
      <c r="HL21" s="148">
        <f>'Preliminary estimates - 2017'!AL18</f>
        <v>3.8313001025991498</v>
      </c>
      <c r="HO21">
        <f>Prices!E17</f>
        <v>22.5</v>
      </c>
      <c r="HP21" s="16">
        <f>Prices!F17</f>
        <v>0</v>
      </c>
      <c r="HQ21">
        <f>Prices!G17</f>
        <v>5.23</v>
      </c>
      <c r="HR21" s="16">
        <f>Prices!H17</f>
        <v>0</v>
      </c>
      <c r="HS21">
        <f>Prices!I17</f>
        <v>5.8250000000000002</v>
      </c>
      <c r="HT21" s="16">
        <f>Prices!J17</f>
        <v>0</v>
      </c>
      <c r="HU21">
        <f>Prices!K17</f>
        <v>6.2869999999999999</v>
      </c>
      <c r="HV21" s="16">
        <f>Prices!L17</f>
        <v>0</v>
      </c>
      <c r="HW21" s="60">
        <f>Prices!M17</f>
        <v>1.028</v>
      </c>
      <c r="HX21" s="16">
        <f>Prices!N17</f>
        <v>0</v>
      </c>
      <c r="HY21">
        <f>Prices!O17</f>
        <v>3.8359999999999999</v>
      </c>
    </row>
    <row r="22" spans="2:233" x14ac:dyDescent="0.2">
      <c r="H22" s="3"/>
      <c r="J22" s="3"/>
      <c r="K22" s="3"/>
      <c r="L22" s="3"/>
      <c r="M22" s="3"/>
      <c r="N22" s="3"/>
      <c r="O22" s="3"/>
      <c r="P22" s="3"/>
      <c r="Q22" s="3"/>
      <c r="R22" s="3"/>
      <c r="S22" s="3"/>
      <c r="U22" s="3"/>
      <c r="V22" s="3"/>
      <c r="W22" s="3"/>
      <c r="X22" s="23"/>
      <c r="Y22" s="33"/>
      <c r="Z22" s="33"/>
      <c r="AA22" s="33"/>
      <c r="AB22" s="3"/>
      <c r="AC22" s="3"/>
      <c r="AD22" s="6"/>
      <c r="AE22" s="6"/>
      <c r="AF22" s="6"/>
      <c r="AG22" s="6"/>
      <c r="AH22" s="6"/>
      <c r="AI22" s="6"/>
      <c r="AJ22" s="6"/>
      <c r="AK22" s="6"/>
      <c r="AL22" s="6"/>
      <c r="AM22" s="16">
        <f t="shared" si="7"/>
        <v>0</v>
      </c>
      <c r="AN22" s="6"/>
      <c r="AO22" s="6"/>
      <c r="AP22" s="6"/>
      <c r="AQ22" s="6"/>
      <c r="AR22" s="6"/>
      <c r="AS22" s="6"/>
      <c r="AT22" s="6"/>
      <c r="AU22" s="6"/>
      <c r="AV22" s="6"/>
      <c r="AW22" s="175"/>
      <c r="AX22" s="6"/>
      <c r="AY22" s="175"/>
      <c r="AZ22" s="16"/>
      <c r="BA22" s="6"/>
      <c r="BB22" s="6"/>
      <c r="BC22" s="6"/>
      <c r="BD22" s="6"/>
      <c r="BE22" s="6"/>
      <c r="BF22" s="6"/>
      <c r="BG22" s="6"/>
      <c r="BH22" s="6"/>
      <c r="BI22" s="6"/>
      <c r="BJ22" s="175"/>
      <c r="BK22" s="6"/>
      <c r="BL22" s="175"/>
      <c r="BM22" s="16"/>
      <c r="BN22" s="6"/>
      <c r="BO22" s="6"/>
      <c r="BP22" s="6"/>
      <c r="BQ22" s="6"/>
      <c r="BR22" s="6"/>
      <c r="BS22" s="6"/>
      <c r="BT22" s="6"/>
      <c r="BU22" s="6"/>
      <c r="BV22" s="6"/>
      <c r="BW22" s="6"/>
      <c r="BX22" s="94"/>
      <c r="BY22" s="8"/>
      <c r="BZ22" s="131"/>
      <c r="CA22" s="16"/>
      <c r="CB22" s="6"/>
      <c r="CC22" s="6"/>
      <c r="CD22" s="6"/>
      <c r="CE22" s="6"/>
      <c r="CF22" s="6"/>
      <c r="CG22" s="6"/>
      <c r="CH22" s="6"/>
      <c r="CI22" s="6"/>
      <c r="CJ22" s="6"/>
      <c r="CK22" s="175"/>
      <c r="CL22" s="8"/>
      <c r="CM22" s="148"/>
      <c r="CN22" s="16"/>
      <c r="CO22" s="6"/>
      <c r="CP22" s="6"/>
      <c r="CQ22" s="6"/>
      <c r="CR22" s="6"/>
      <c r="CS22" s="6"/>
      <c r="CT22" s="6"/>
      <c r="CU22" s="6"/>
      <c r="CV22" s="6"/>
      <c r="CW22" s="6"/>
      <c r="CX22" s="6"/>
      <c r="CY22" s="141"/>
      <c r="CZ22" s="115"/>
      <c r="DA22" s="8"/>
      <c r="DB22" s="8"/>
      <c r="DC22" s="8"/>
      <c r="DD22" s="8"/>
      <c r="DE22" s="8"/>
      <c r="DF22" s="8"/>
      <c r="DG22" s="8"/>
      <c r="DH22" s="8"/>
      <c r="DI22" s="8"/>
      <c r="DJ22" s="8"/>
      <c r="DK22" s="8"/>
      <c r="DL22" s="137"/>
      <c r="DM22" s="8"/>
      <c r="DN22" s="8"/>
      <c r="DR22">
        <f>BE12</f>
        <v>4051</v>
      </c>
      <c r="DU22" s="21"/>
      <c r="DV22" s="110"/>
      <c r="DW22" s="110"/>
      <c r="DX22" s="33"/>
      <c r="DY22" s="27"/>
      <c r="DZ22" s="27"/>
      <c r="EA22" s="27"/>
      <c r="EB22" s="27"/>
      <c r="EC22" s="27"/>
      <c r="ED22" s="27"/>
      <c r="EE22" s="27"/>
      <c r="EF22" s="27"/>
      <c r="EW22" s="13"/>
      <c r="FQ22" s="13"/>
      <c r="FR22" s="13"/>
      <c r="FS22" s="13"/>
      <c r="FT22" s="13"/>
      <c r="FU22" s="13"/>
      <c r="FV22" s="13"/>
      <c r="FW22" s="13"/>
      <c r="FX22" s="13"/>
      <c r="GY22" s="148"/>
      <c r="GZ22" s="148"/>
      <c r="HA22" s="148"/>
      <c r="HB22" s="149"/>
      <c r="HC22" s="149"/>
      <c r="HD22" s="149"/>
      <c r="HF22" s="148"/>
      <c r="HG22" s="148"/>
      <c r="HH22" s="148"/>
      <c r="HI22" s="148"/>
      <c r="HJ22" s="148"/>
      <c r="HK22" s="148"/>
      <c r="HL22" s="148"/>
      <c r="HP22" s="16"/>
      <c r="HR22" s="16"/>
      <c r="HT22" s="16"/>
      <c r="HV22" s="16"/>
      <c r="HX22" s="16" t="e">
        <f>Prices!#REF!</f>
        <v>#REF!</v>
      </c>
      <c r="HY22" t="e">
        <f>Prices!#REF!</f>
        <v>#REF!</v>
      </c>
    </row>
    <row r="23" spans="2:233" x14ac:dyDescent="0.2">
      <c r="C23">
        <v>212311</v>
      </c>
      <c r="D23" t="s">
        <v>25</v>
      </c>
      <c r="E23">
        <v>166</v>
      </c>
      <c r="F23">
        <v>400</v>
      </c>
      <c r="G23">
        <v>178</v>
      </c>
      <c r="H23" s="3">
        <v>1658</v>
      </c>
      <c r="I23">
        <v>177</v>
      </c>
      <c r="J23" s="3">
        <v>2675</v>
      </c>
      <c r="K23" s="3"/>
      <c r="L23" s="3"/>
      <c r="M23" s="3"/>
      <c r="N23" s="3"/>
      <c r="O23" s="3"/>
      <c r="P23" s="3"/>
      <c r="Q23" s="3">
        <v>43000</v>
      </c>
      <c r="R23" s="3">
        <v>76335</v>
      </c>
      <c r="S23" s="30">
        <v>150868</v>
      </c>
      <c r="T23" s="78">
        <v>212311</v>
      </c>
      <c r="U23" s="91">
        <v>90605</v>
      </c>
      <c r="V23" s="91">
        <f>[3]Sheet1!D20</f>
        <v>61809</v>
      </c>
      <c r="W23" s="91"/>
      <c r="X23" s="23">
        <f t="shared" ref="X23:X33" si="37">(R23+S23)/2</f>
        <v>113601.5</v>
      </c>
      <c r="Y23" s="33"/>
      <c r="Z23" s="33"/>
      <c r="AA23" s="33"/>
      <c r="AB23" s="3"/>
      <c r="AC23" s="3"/>
      <c r="AD23" s="6"/>
      <c r="AE23" s="6"/>
      <c r="AF23" s="6"/>
      <c r="AG23" s="6"/>
      <c r="AH23" s="6"/>
      <c r="AI23" s="6">
        <f>Pivot_Table_2012!C15</f>
        <v>0</v>
      </c>
      <c r="AJ23" s="6"/>
      <c r="AK23" s="6"/>
      <c r="AL23" s="6"/>
      <c r="AM23" s="16"/>
      <c r="AN23" s="8">
        <v>1.2</v>
      </c>
      <c r="AO23" s="8">
        <v>38.4</v>
      </c>
      <c r="AP23" s="6">
        <v>0.4</v>
      </c>
      <c r="AQ23" s="8">
        <v>12.2</v>
      </c>
      <c r="AR23" s="8">
        <v>972</v>
      </c>
      <c r="AS23" s="6">
        <v>27.5</v>
      </c>
      <c r="AT23" s="6">
        <v>1572</v>
      </c>
      <c r="AU23" s="6">
        <f>$J23/$H23*AS23</f>
        <v>44.368214716525934</v>
      </c>
      <c r="AV23" s="58">
        <v>7686</v>
      </c>
      <c r="AW23" s="174">
        <f t="shared" ref="AW23:AW28" si="38">AV23/(AT23*AW$4)*AU23</f>
        <v>77.329848229474095</v>
      </c>
      <c r="AX23" s="6">
        <f>Pivot_Table_2012!E15</f>
        <v>8287</v>
      </c>
      <c r="AY23" s="174">
        <f t="shared" si="3"/>
        <v>59.581682912324595</v>
      </c>
      <c r="AZ23" s="16">
        <f t="shared" ref="AZ23:AZ29" si="39">(AS23+AU23)/2</f>
        <v>35.934107358262963</v>
      </c>
      <c r="BA23" s="6">
        <v>0.1</v>
      </c>
      <c r="BB23" s="6">
        <v>2.7</v>
      </c>
      <c r="BC23" s="59">
        <v>0.2</v>
      </c>
      <c r="BD23" s="59">
        <v>4</v>
      </c>
      <c r="BE23" s="6">
        <v>176</v>
      </c>
      <c r="BF23" s="6">
        <v>6</v>
      </c>
      <c r="BG23" s="6">
        <v>429</v>
      </c>
      <c r="BH23" s="6">
        <f>$J23/$H23*BF23</f>
        <v>9.680337756332932</v>
      </c>
      <c r="BI23" s="6">
        <v>2013</v>
      </c>
      <c r="BJ23" s="174">
        <f t="shared" ref="BJ23:BJ30" si="40">BI23/(BG23*BJ$4)*BH23</f>
        <v>18.519165829576774</v>
      </c>
      <c r="BK23" s="6">
        <f>Pivot_Table_2012!I15</f>
        <v>3428</v>
      </c>
      <c r="BL23" s="174">
        <f t="shared" si="26"/>
        <v>16.586863295817675</v>
      </c>
      <c r="BM23" s="16">
        <f t="shared" ref="BM23:BM28" si="41">(BF23+BH23)/2</f>
        <v>7.840168878166466</v>
      </c>
      <c r="BN23" s="6"/>
      <c r="BO23" s="6"/>
      <c r="BP23" s="6"/>
      <c r="BQ23" s="6"/>
      <c r="BR23" s="8">
        <v>16</v>
      </c>
      <c r="BS23" s="6"/>
      <c r="BT23" s="6"/>
      <c r="BU23" s="6"/>
      <c r="BV23" s="6"/>
      <c r="BW23" s="6">
        <v>134</v>
      </c>
      <c r="BX23" s="122">
        <f>BW23/HW$15*0.001</f>
        <v>1.7447916666666667E-2</v>
      </c>
      <c r="BY23" s="8">
        <f>Pivot_Table_2012!F15</f>
        <v>100</v>
      </c>
      <c r="BZ23" s="169">
        <f t="shared" si="34"/>
        <v>2.5773195876288658E-2</v>
      </c>
      <c r="CA23" s="16"/>
      <c r="CB23" s="6">
        <v>0.2</v>
      </c>
      <c r="CC23" s="6">
        <v>0.2</v>
      </c>
      <c r="CD23" s="8">
        <v>0.2</v>
      </c>
      <c r="CE23" s="8">
        <v>0.2</v>
      </c>
      <c r="CF23" s="6">
        <v>352</v>
      </c>
      <c r="CG23" s="6">
        <v>0.3</v>
      </c>
      <c r="CH23" s="6">
        <v>1213</v>
      </c>
      <c r="CI23" s="66">
        <v>1</v>
      </c>
      <c r="CJ23" s="8">
        <v>3287</v>
      </c>
      <c r="CK23" s="174">
        <f>CJ23/(CH23*CK$4)*CI23</f>
        <v>1.0629251889898326</v>
      </c>
      <c r="CL23" s="8">
        <f>Pivot_Table_2012!G15</f>
        <v>2320</v>
      </c>
      <c r="CM23" s="174">
        <f t="shared" ref="CM23:CM32" si="42">(CL23/(CJ23*HT$16))*CK23</f>
        <v>0.53611706231031642</v>
      </c>
      <c r="CN23" s="16">
        <f t="shared" si="35"/>
        <v>0.65</v>
      </c>
      <c r="CO23" s="6"/>
      <c r="CP23" s="6"/>
      <c r="CQ23" s="6"/>
      <c r="CR23" s="6"/>
      <c r="CS23" s="8">
        <v>32</v>
      </c>
      <c r="CT23" s="93">
        <f t="shared" ref="CT23:CT30" si="43">HY$39*0.001*CS23</f>
        <v>3.328777524677297E-3</v>
      </c>
      <c r="CU23" s="59">
        <v>300</v>
      </c>
      <c r="CV23" s="93">
        <f>HY$40*0.001*CU23</f>
        <v>2.8601252609603341E-2</v>
      </c>
      <c r="CW23" s="92"/>
      <c r="CX23" s="6"/>
      <c r="CY23" s="141">
        <f t="shared" si="27"/>
        <v>297</v>
      </c>
      <c r="CZ23" s="122">
        <f t="shared" ref="CZ23:CZ34" si="44">HY$42*0.001*CY23</f>
        <v>1.8782558109254329E-2</v>
      </c>
      <c r="DA23" s="121">
        <f t="shared" ref="DA23:DA34" si="45">DF23/(DF23-DB23)-1</f>
        <v>1.5333333333333332</v>
      </c>
      <c r="DB23" s="8">
        <v>2.2999999999999998</v>
      </c>
      <c r="DC23" s="8"/>
      <c r="DD23" s="116">
        <f t="shared" ref="DD23:DD34" si="46">DE23</f>
        <v>1.5</v>
      </c>
      <c r="DE23" s="133">
        <f t="shared" ref="DE23:DE34" si="47">Y23+AN23+BA23+BN23+CB23+CO23</f>
        <v>1.5</v>
      </c>
      <c r="DF23" s="131">
        <v>3.8</v>
      </c>
      <c r="DG23" s="8"/>
      <c r="DH23" s="140">
        <f t="shared" ref="DH23:DH34" si="48">DM23/(DM23-DI23)-1</f>
        <v>2.8888888888888893</v>
      </c>
      <c r="DI23" s="8">
        <v>2.6</v>
      </c>
      <c r="DJ23" s="8"/>
      <c r="DK23" s="131">
        <f t="shared" ref="DK23:DK34" si="49">DL23</f>
        <v>0.8</v>
      </c>
      <c r="DL23" s="136">
        <f t="shared" ref="DL23:DL34" si="50">AA23+AP23+BC23+BP23+CD23+CQ23</f>
        <v>0.8</v>
      </c>
      <c r="DM23" s="131">
        <v>3.5</v>
      </c>
      <c r="DN23" s="8"/>
      <c r="DO23" s="110">
        <f t="shared" ref="DO23:DO31" si="51">DT23/(DT23-DP23)-1</f>
        <v>1.4147435897435896</v>
      </c>
      <c r="DP23">
        <v>2207</v>
      </c>
      <c r="DQ23" s="120">
        <v>300</v>
      </c>
      <c r="DR23">
        <f>BR12</f>
        <v>2552</v>
      </c>
      <c r="DS23" s="33">
        <f t="shared" ref="DS23:DS32" si="52">AC23+AR23+BE23+BR23+CF23+CS23</f>
        <v>1548</v>
      </c>
      <c r="DT23">
        <v>3767</v>
      </c>
      <c r="DU23" s="21">
        <f>DY23/DX23-1</f>
        <v>0.8062037564029596</v>
      </c>
      <c r="DV23">
        <v>2853</v>
      </c>
      <c r="DX23" s="33">
        <f>AE23+AT23+BG23+CH23+BT23+CU23</f>
        <v>3514</v>
      </c>
      <c r="DY23" s="27">
        <v>6347</v>
      </c>
      <c r="DZ23" s="21">
        <f t="shared" ref="DZ23:DZ31" si="53">ED23/(EB23+EC23)-1</f>
        <v>3.3079268292682817E-2</v>
      </c>
      <c r="EA23" s="27">
        <v>332</v>
      </c>
      <c r="EB23" s="27"/>
      <c r="EC23" s="27">
        <f t="shared" ref="EC23:EC31" si="54">AG23+AV23+BI23+BW23+CJ23</f>
        <v>13120</v>
      </c>
      <c r="ED23" s="27">
        <v>13554</v>
      </c>
      <c r="EE23" s="27"/>
      <c r="EF23" s="27"/>
      <c r="EH23" s="21">
        <f t="shared" si="4"/>
        <v>4.2336474501108556E-2</v>
      </c>
      <c r="EI23">
        <f>Pivot_Table_2012!K15</f>
        <v>611</v>
      </c>
      <c r="EJ23" s="27">
        <f t="shared" si="5"/>
        <v>297</v>
      </c>
      <c r="EK23" s="27"/>
      <c r="EL23" s="27">
        <f t="shared" ref="EL23:EL34" si="55">AI23+AX23+BK23+BY23+CL23</f>
        <v>14135</v>
      </c>
      <c r="EM23">
        <f>Pivot_Table_2012!J15</f>
        <v>15043</v>
      </c>
      <c r="EP23" s="13">
        <f t="shared" ref="EP23:EP34" si="56">C23*EP$3</f>
        <v>0.7244051319999999</v>
      </c>
      <c r="EQ23" s="13">
        <f t="shared" ref="EQ23:EQ34" si="57">Z23*EQ$3</f>
        <v>0</v>
      </c>
      <c r="ER23" s="13">
        <f t="shared" ref="ER23:ER34" si="58">AO23*ER$3</f>
        <v>0.22367999999999996</v>
      </c>
      <c r="ES23" s="13">
        <f t="shared" ref="ES23:ES34" si="59">BB23*ES$3</f>
        <v>1.6974900000000001E-2</v>
      </c>
      <c r="ET23" s="13">
        <f t="shared" ref="ET23:ET34" si="60">BO23*ET$3</f>
        <v>0</v>
      </c>
      <c r="EU23" s="13">
        <f t="shared" ref="EU23:EU34" si="61">CC23*EU$3</f>
        <v>2.5014285714285718E-2</v>
      </c>
      <c r="EV23" s="13">
        <f t="shared" ref="EV23:EV34" si="62">CP23</f>
        <v>0</v>
      </c>
      <c r="EW23" s="13">
        <f t="shared" ref="EW23:EW34" si="63">SUM(EQ23:EV23)*(1+DA23)</f>
        <v>0.67302860380952367</v>
      </c>
      <c r="EY23" s="13">
        <f t="shared" ref="EY23:EY34" si="64">C23*EY$3</f>
        <v>0.7244051319999999</v>
      </c>
      <c r="EZ23" s="13">
        <f t="shared" ref="EZ23:EZ34" si="65">AB23*EZ$3</f>
        <v>0</v>
      </c>
      <c r="FA23" s="13">
        <f t="shared" ref="FA23:FA34" si="66">AQ23*FA$3</f>
        <v>7.1064999999999989E-2</v>
      </c>
      <c r="FB23" s="13">
        <f t="shared" ref="FB23:FB34" si="67">BD23*FB$3</f>
        <v>2.5148E-2</v>
      </c>
      <c r="FC23" s="13">
        <f t="shared" ref="FC23:FC34" si="68">BQ23*FC$3</f>
        <v>0</v>
      </c>
      <c r="FD23" s="13">
        <f t="shared" ref="FD23:FD34" si="69">CE23*FD$3</f>
        <v>2.5014285714285718E-2</v>
      </c>
      <c r="FE23" s="13">
        <f t="shared" ref="FE23:FE34" si="70">CR23</f>
        <v>0</v>
      </c>
      <c r="FF23" s="13">
        <f t="shared" ref="FF23:FF34" si="71">SUM(EZ23:FE23)*(1+DH23)</f>
        <v>0.47143944444444447</v>
      </c>
      <c r="FH23" s="13">
        <f t="shared" ref="FH23:FH32" si="72">R23*FH$3</f>
        <v>0.26045501999999998</v>
      </c>
      <c r="FI23" s="13">
        <f t="shared" ref="FI23:FI32" si="73">AD23*FI$3</f>
        <v>0</v>
      </c>
      <c r="FJ23" s="13">
        <f t="shared" ref="FJ23:FJ32" si="74">AS23*FJ$3</f>
        <v>0.16018749999999998</v>
      </c>
      <c r="FK23" s="13">
        <f t="shared" ref="FK23:FK32" si="75">BF23*FK$3</f>
        <v>3.7721999999999999E-2</v>
      </c>
      <c r="FL23" s="13">
        <f t="shared" ref="FL23:FL32" si="76">BS23*FL$3</f>
        <v>0</v>
      </c>
      <c r="FM23" s="13">
        <f t="shared" ref="FM23:FM32" si="77">CG23*FM$3</f>
        <v>3.7521428571428574E-2</v>
      </c>
      <c r="FN23" s="13">
        <f t="shared" ref="FN23:FN32" si="78">CT23</f>
        <v>3.328777524677297E-3</v>
      </c>
      <c r="FO23" s="13">
        <f t="shared" si="36"/>
        <v>0.57654346978463511</v>
      </c>
      <c r="FQ23" s="13">
        <f t="shared" ref="FQ23:FQ34" si="79">S23*FQ$3</f>
        <v>0.51476161599999992</v>
      </c>
      <c r="FR23" s="13">
        <f t="shared" ref="FR23:FR34" si="80">AF23*FR$3</f>
        <v>0</v>
      </c>
      <c r="FS23" s="13">
        <f t="shared" ref="FS23:FS34" si="81">AU23*FS$3</f>
        <v>0.25844485072376355</v>
      </c>
      <c r="FT23" s="13">
        <f t="shared" ref="FT23:FT34" si="82">BH23*FT$3</f>
        <v>6.0860283474065142E-2</v>
      </c>
      <c r="FU23" s="13">
        <f t="shared" ref="FU23:FU34" si="83">BU23*FU$3</f>
        <v>0</v>
      </c>
      <c r="FV23" s="13">
        <f t="shared" ref="FV23:FV34" si="84">CI23*FV$3</f>
        <v>0.12507142857142858</v>
      </c>
      <c r="FW23" s="13">
        <f t="shared" ref="FW23:FW34" si="85">CV23</f>
        <v>2.8601252609603341E-2</v>
      </c>
      <c r="FX23" s="13">
        <f>SUM(FR23:FW23)*(1+DU23)</f>
        <v>0.85429430683256358</v>
      </c>
      <c r="GA23" s="13">
        <f t="shared" ref="GA23:GA31" si="86">U23*GA$3</f>
        <v>0.30914425999999995</v>
      </c>
      <c r="GB23" s="13">
        <f t="shared" ref="GB23:GB31" si="87">AH23*GB$3</f>
        <v>0</v>
      </c>
      <c r="GC23" s="13">
        <f t="shared" ref="GC23:GC31" si="88">AW23*GC$3</f>
        <v>0.45044636593668658</v>
      </c>
      <c r="GD23" s="13">
        <f t="shared" ref="GD23:GD31" si="89">BJ23*GD$3</f>
        <v>0.11642999557054919</v>
      </c>
      <c r="GE23" s="13">
        <f t="shared" ref="GE23:GE31" si="90">BX23*GE$3</f>
        <v>1.7936458333333336E-2</v>
      </c>
      <c r="GF23" s="13">
        <f t="shared" ref="GF23:GF31" si="91">CK23*GF$3</f>
        <v>0.13294157185151406</v>
      </c>
      <c r="GG23" s="13">
        <f t="shared" ref="GG23:GG31" si="92">CX23</f>
        <v>0</v>
      </c>
      <c r="GH23" s="13">
        <f t="shared" ref="GH23:GH30" si="93">SUM(GB23:GG23)*(1+DZ23)</f>
        <v>0.74149718178311697</v>
      </c>
      <c r="GI23" s="13"/>
      <c r="GJ23" s="13"/>
      <c r="GK23" s="13">
        <f t="shared" ref="GK23:GK34" si="94">V23*GK$3</f>
        <v>0.21089230799999997</v>
      </c>
      <c r="GL23" s="13">
        <f t="shared" ref="GL23:GL34" si="95">AJ23*GL$3</f>
        <v>0</v>
      </c>
      <c r="GM23" s="13">
        <f>AY23*GM$3</f>
        <v>0.34706330296429072</v>
      </c>
      <c r="GN23" s="13">
        <f>BL23*GN$3</f>
        <v>0.10428160954080573</v>
      </c>
      <c r="GO23" s="13">
        <f>BZ23*GO$3</f>
        <v>2.6494845360824741E-2</v>
      </c>
      <c r="GP23" s="13">
        <f>CM23*GP$3</f>
        <v>6.7052926864668863E-2</v>
      </c>
      <c r="GQ23" s="13">
        <f>CZ23</f>
        <v>1.8782558109254329E-2</v>
      </c>
      <c r="GR23" s="13">
        <f>SUM(GL23:GQ23)*(1+EH23)</f>
        <v>0.5875392653852396</v>
      </c>
      <c r="GT23">
        <f>[2]ALLFOS!AD14</f>
        <v>85.91</v>
      </c>
      <c r="GV23">
        <v>212311</v>
      </c>
      <c r="GW23" t="s">
        <v>25</v>
      </c>
      <c r="GY23" s="148">
        <f t="shared" ref="GY23:GY34" si="96">Q23*0.001</f>
        <v>43</v>
      </c>
      <c r="GZ23" s="148">
        <f t="shared" ref="GZ23:GZ34" si="97">R23*0.001</f>
        <v>76.335000000000008</v>
      </c>
      <c r="HA23" s="148">
        <f t="shared" ref="HA23:HA34" si="98">S23*0.001</f>
        <v>150.86799999999999</v>
      </c>
      <c r="HB23" s="149">
        <f t="shared" ref="HB23:HB31" si="99">U23*0.001</f>
        <v>90.605000000000004</v>
      </c>
      <c r="HC23" s="149">
        <f t="shared" ref="HC23:HC31" si="100">V23*0.001</f>
        <v>61.809000000000005</v>
      </c>
      <c r="HD23" s="149">
        <f>'Preliminary estimates - 2017'!AT20</f>
        <v>128.006</v>
      </c>
      <c r="HF23" s="148">
        <f t="shared" ref="HF23:HF34" si="101">EW23</f>
        <v>0.67302860380952367</v>
      </c>
      <c r="HG23" s="148">
        <f t="shared" ref="HG23:HG34" si="102">FF23</f>
        <v>0.47143944444444447</v>
      </c>
      <c r="HH23" s="148">
        <f t="shared" ref="HH23:HH34" si="103">FO23</f>
        <v>0.57654346978463511</v>
      </c>
      <c r="HI23" s="148">
        <f t="shared" ref="HI23:HI34" si="104">FX23</f>
        <v>0.85429430683256358</v>
      </c>
      <c r="HJ23" s="148">
        <f t="shared" ref="HJ23:HJ34" si="105">GH23</f>
        <v>0.74149718178311697</v>
      </c>
      <c r="HK23" s="148">
        <f t="shared" si="0"/>
        <v>0.5875392653852396</v>
      </c>
      <c r="HL23" s="148">
        <f>'Preliminary estimates - 2017'!AL20</f>
        <v>1.0495014474780893</v>
      </c>
      <c r="HP23" s="16"/>
      <c r="HR23" s="16"/>
      <c r="HT23" s="16"/>
      <c r="HV23" s="16"/>
      <c r="HX23" s="16">
        <f>Prices!N18</f>
        <v>0</v>
      </c>
      <c r="HY23">
        <f>Prices!O18</f>
        <v>0</v>
      </c>
    </row>
    <row r="24" spans="2:233" x14ac:dyDescent="0.2">
      <c r="C24">
        <v>212312</v>
      </c>
      <c r="D24" t="s">
        <v>26</v>
      </c>
      <c r="E24">
        <v>1432</v>
      </c>
      <c r="F24">
        <v>27700</v>
      </c>
      <c r="G24">
        <v>1435</v>
      </c>
      <c r="H24" s="3">
        <v>27563</v>
      </c>
      <c r="I24">
        <v>1518</v>
      </c>
      <c r="J24" s="3">
        <v>28945</v>
      </c>
      <c r="K24" s="3"/>
      <c r="L24" s="3"/>
      <c r="M24" s="3"/>
      <c r="N24" s="3"/>
      <c r="O24" s="3"/>
      <c r="P24" s="3"/>
      <c r="Q24" s="3">
        <v>2332800</v>
      </c>
      <c r="R24" s="3">
        <v>3156910</v>
      </c>
      <c r="S24" s="30">
        <v>3554863</v>
      </c>
      <c r="T24" s="78">
        <v>212312</v>
      </c>
      <c r="U24" s="91">
        <v>4675962</v>
      </c>
      <c r="V24" s="91">
        <f>[3]Sheet1!D21</f>
        <v>2947122</v>
      </c>
      <c r="W24" s="91"/>
      <c r="X24" s="23">
        <f t="shared" si="37"/>
        <v>3355886.5</v>
      </c>
      <c r="Y24" s="33">
        <v>9</v>
      </c>
      <c r="Z24" s="95">
        <f>Y24/HO$11*1000</f>
        <v>319.26214969847462</v>
      </c>
      <c r="AA24" s="139">
        <v>2.4</v>
      </c>
      <c r="AB24" s="3">
        <v>78.5</v>
      </c>
      <c r="AC24" s="3">
        <v>1569</v>
      </c>
      <c r="AD24" s="6">
        <v>43</v>
      </c>
      <c r="AE24" s="6"/>
      <c r="AF24" s="6">
        <f>$J24/$H24*AD24</f>
        <v>45.15600624024961</v>
      </c>
      <c r="AG24" s="6">
        <v>5416</v>
      </c>
      <c r="AH24" s="95">
        <f>AG24/HO$15</f>
        <v>132.74509803921569</v>
      </c>
      <c r="AI24" s="6">
        <f>Pivot_Table_2012!C16</f>
        <v>0</v>
      </c>
      <c r="AJ24" s="8"/>
      <c r="AK24" s="8"/>
      <c r="AL24" s="8"/>
      <c r="AM24" s="16">
        <f>(AD24+AF24)/2</f>
        <v>44.078003120124805</v>
      </c>
      <c r="AN24" s="8">
        <v>66.099999999999994</v>
      </c>
      <c r="AO24" s="8">
        <v>2489.6</v>
      </c>
      <c r="AP24" s="8">
        <v>65.8</v>
      </c>
      <c r="AQ24" s="8">
        <v>2143.5</v>
      </c>
      <c r="AR24" s="8">
        <v>75817</v>
      </c>
      <c r="AS24" s="6">
        <v>2312.4</v>
      </c>
      <c r="AT24" s="8">
        <v>82924</v>
      </c>
      <c r="AU24" s="6">
        <f>$J24/$H24*AS24</f>
        <v>2428.3429960454232</v>
      </c>
      <c r="AV24" s="58">
        <v>320689</v>
      </c>
      <c r="AW24" s="174">
        <f t="shared" si="38"/>
        <v>3347.659015230467</v>
      </c>
      <c r="AX24" s="6">
        <f>Pivot_Table_2012!E16</f>
        <v>266054</v>
      </c>
      <c r="AY24" s="174">
        <f t="shared" si="3"/>
        <v>1984.7033103174106</v>
      </c>
      <c r="AZ24" s="16">
        <f t="shared" si="39"/>
        <v>2370.3714980227114</v>
      </c>
      <c r="BA24" s="6">
        <v>4</v>
      </c>
      <c r="BB24" s="6">
        <v>149.69999999999999</v>
      </c>
      <c r="BC24" s="6">
        <v>6.4</v>
      </c>
      <c r="BD24">
        <v>202</v>
      </c>
      <c r="BE24" s="6">
        <v>8807</v>
      </c>
      <c r="BF24" s="6">
        <v>240.4</v>
      </c>
      <c r="BG24" s="6">
        <v>8896</v>
      </c>
      <c r="BH24" s="6">
        <v>308.39999999999998</v>
      </c>
      <c r="BI24" s="6">
        <v>37093</v>
      </c>
      <c r="BJ24" s="174">
        <f t="shared" si="40"/>
        <v>524.27117697920153</v>
      </c>
      <c r="BK24" s="6">
        <f>Pivot_Table_2012!I16</f>
        <v>71761</v>
      </c>
      <c r="BL24" s="174">
        <f t="shared" si="26"/>
        <v>533.45563978500172</v>
      </c>
      <c r="BM24" s="16">
        <f t="shared" si="41"/>
        <v>274.39999999999998</v>
      </c>
      <c r="BN24" s="6">
        <v>4.8</v>
      </c>
      <c r="BO24" s="6">
        <v>1.5</v>
      </c>
      <c r="BP24" s="6">
        <v>6.9</v>
      </c>
      <c r="BQ24" s="6">
        <v>3.2</v>
      </c>
      <c r="BR24" s="8">
        <v>6595</v>
      </c>
      <c r="BS24" s="6">
        <v>2.2999999999999998</v>
      </c>
      <c r="BT24" s="6">
        <v>7887</v>
      </c>
      <c r="BU24" s="6">
        <f>$J24/$H24*BS24</f>
        <v>2.4153212640133512</v>
      </c>
      <c r="BV24" s="6"/>
      <c r="BW24" s="8">
        <v>26707</v>
      </c>
      <c r="BX24" s="169">
        <f>BW24/(BT24*BX$4)*BU24</f>
        <v>4.2810766479514406</v>
      </c>
      <c r="BY24" s="8">
        <f>Pivot_Table_2012!F16</f>
        <v>15136</v>
      </c>
      <c r="BZ24" s="169">
        <f t="shared" si="34"/>
        <v>4.8025125732631411</v>
      </c>
      <c r="CA24" s="16">
        <f>(BS24+BU24)/2</f>
        <v>2.3576606320066755</v>
      </c>
      <c r="CB24" s="6">
        <v>7.6</v>
      </c>
      <c r="CC24" s="6">
        <v>8.3000000000000007</v>
      </c>
      <c r="CD24" s="6">
        <v>11.1</v>
      </c>
      <c r="CE24" s="6">
        <v>12.4</v>
      </c>
      <c r="CF24" s="8">
        <v>12149</v>
      </c>
      <c r="CG24" s="6">
        <v>11.3</v>
      </c>
      <c r="CH24" s="6">
        <v>12384</v>
      </c>
      <c r="CI24" s="6">
        <f>$J24/$H24*CG24</f>
        <v>11.866578384065596</v>
      </c>
      <c r="CJ24" s="6">
        <v>67373</v>
      </c>
      <c r="CK24" s="174">
        <f>CJ24/(CH24*CK$4)*CI24</f>
        <v>25.322947282805536</v>
      </c>
      <c r="CL24" s="8">
        <f>Pivot_Table_2012!G16</f>
        <v>52669</v>
      </c>
      <c r="CM24" s="174">
        <f t="shared" si="42"/>
        <v>14.146600421183624</v>
      </c>
      <c r="CN24" s="16">
        <f t="shared" si="35"/>
        <v>11.583289192032797</v>
      </c>
      <c r="CO24" s="6">
        <v>1</v>
      </c>
      <c r="CP24" s="93">
        <f>HY$37*CO24</f>
        <v>0.12702286685365111</v>
      </c>
      <c r="CQ24" s="6">
        <v>0.9</v>
      </c>
      <c r="CR24" s="93">
        <f>HY$38*CQ24</f>
        <v>0.11834595270942283</v>
      </c>
      <c r="CS24" s="8">
        <v>2458</v>
      </c>
      <c r="CT24" s="93">
        <f t="shared" si="43"/>
        <v>0.25569172361427489</v>
      </c>
      <c r="CU24" s="6"/>
      <c r="CV24" s="6"/>
      <c r="CW24" s="92">
        <f>EB24</f>
        <v>3651</v>
      </c>
      <c r="CX24" s="122">
        <f>HY$41*0.001*CW24</f>
        <v>0.17661970338983049</v>
      </c>
      <c r="CY24" s="141">
        <f t="shared" si="27"/>
        <v>81294</v>
      </c>
      <c r="CZ24" s="122">
        <f t="shared" si="44"/>
        <v>5.1411086832785236</v>
      </c>
      <c r="DA24" s="121">
        <f t="shared" si="45"/>
        <v>0.40776699029126218</v>
      </c>
      <c r="DB24" s="131">
        <v>37.799999999999997</v>
      </c>
      <c r="DC24" s="137">
        <f t="shared" ref="DC24:DC34" si="106">DE24+DB24</f>
        <v>130.29999999999998</v>
      </c>
      <c r="DD24" s="116">
        <f t="shared" si="46"/>
        <v>92.499999999999986</v>
      </c>
      <c r="DE24" s="133">
        <f t="shared" si="47"/>
        <v>92.499999999999986</v>
      </c>
      <c r="DF24" s="131">
        <v>130.5</v>
      </c>
      <c r="DG24" s="131"/>
      <c r="DH24" s="140">
        <f t="shared" si="48"/>
        <v>0.56638115631691655</v>
      </c>
      <c r="DI24" s="131">
        <v>52.9</v>
      </c>
      <c r="DJ24" s="137">
        <f t="shared" ref="DJ24:DJ34" si="107">DL24+DI24</f>
        <v>146.4</v>
      </c>
      <c r="DK24" s="131">
        <f t="shared" si="49"/>
        <v>93.500000000000014</v>
      </c>
      <c r="DL24" s="136">
        <f t="shared" si="50"/>
        <v>93.500000000000014</v>
      </c>
      <c r="DM24" s="131">
        <v>146.30000000000001</v>
      </c>
      <c r="DN24" s="131"/>
      <c r="DO24" s="121">
        <f t="shared" si="51"/>
        <v>0.52735974276046438</v>
      </c>
      <c r="DP24">
        <v>56418</v>
      </c>
      <c r="DR24">
        <f>CF12</f>
        <v>4385</v>
      </c>
      <c r="DS24" s="33">
        <f t="shared" si="52"/>
        <v>107395</v>
      </c>
      <c r="DT24">
        <v>163400</v>
      </c>
      <c r="DU24" s="21">
        <f>DY24/DX24-1</f>
        <v>0.55868097554280216</v>
      </c>
      <c r="DV24" s="110"/>
      <c r="DW24" s="110"/>
      <c r="DX24" s="33">
        <f>1569+82924+8807+7887+12384+3000</f>
        <v>116571</v>
      </c>
      <c r="DY24" s="27">
        <v>181697</v>
      </c>
      <c r="DZ24" s="21">
        <f t="shared" si="53"/>
        <v>2.4094817206120611E-2</v>
      </c>
      <c r="EA24" s="27">
        <v>11106</v>
      </c>
      <c r="EB24" s="27">
        <v>3651</v>
      </c>
      <c r="EC24" s="27">
        <f t="shared" si="54"/>
        <v>457278</v>
      </c>
      <c r="ED24" s="27">
        <v>472035</v>
      </c>
      <c r="EE24" s="27"/>
      <c r="EF24" s="27"/>
      <c r="EH24" s="21">
        <f t="shared" si="4"/>
        <v>0</v>
      </c>
      <c r="EI24">
        <f>Pivot_Table_2012!K16</f>
        <v>0</v>
      </c>
      <c r="EJ24" s="27">
        <f t="shared" si="5"/>
        <v>81294</v>
      </c>
      <c r="EK24" s="27"/>
      <c r="EL24" s="27">
        <f t="shared" si="55"/>
        <v>405620</v>
      </c>
      <c r="EM24">
        <f>Pivot_Table_2012!J16</f>
        <v>486914</v>
      </c>
      <c r="EP24" s="13">
        <f t="shared" si="56"/>
        <v>0.72440854399999999</v>
      </c>
      <c r="EQ24" s="13">
        <f t="shared" si="57"/>
        <v>6.6221355090457603</v>
      </c>
      <c r="ER24" s="13">
        <f t="shared" si="58"/>
        <v>14.501919999999998</v>
      </c>
      <c r="ES24" s="13">
        <f t="shared" si="59"/>
        <v>0.94116389999999994</v>
      </c>
      <c r="ET24" s="13">
        <f t="shared" si="60"/>
        <v>1.542</v>
      </c>
      <c r="EU24" s="13">
        <f t="shared" si="61"/>
        <v>1.0380928571428574</v>
      </c>
      <c r="EV24" s="13">
        <f t="shared" si="62"/>
        <v>0.12702286685365111</v>
      </c>
      <c r="EW24" s="13">
        <f t="shared" si="63"/>
        <v>34.873675672729405</v>
      </c>
      <c r="EY24" s="13">
        <f t="shared" si="64"/>
        <v>0.72440854399999999</v>
      </c>
      <c r="EZ24" s="13">
        <f t="shared" si="65"/>
        <v>1.628247</v>
      </c>
      <c r="FA24" s="13">
        <f t="shared" si="66"/>
        <v>12.485887499999999</v>
      </c>
      <c r="FB24" s="13">
        <f t="shared" si="67"/>
        <v>1.2699739999999999</v>
      </c>
      <c r="FC24" s="13">
        <f t="shared" si="68"/>
        <v>3.2896000000000001</v>
      </c>
      <c r="FD24" s="13">
        <f t="shared" si="69"/>
        <v>1.5508857142857144</v>
      </c>
      <c r="FE24" s="13">
        <f t="shared" si="70"/>
        <v>0.11834595270942283</v>
      </c>
      <c r="FF24" s="13">
        <f t="shared" si="71"/>
        <v>31.864798141663687</v>
      </c>
      <c r="FH24" s="13">
        <f t="shared" si="72"/>
        <v>10.77137692</v>
      </c>
      <c r="FI24" s="13">
        <f t="shared" si="73"/>
        <v>0.89190599999999998</v>
      </c>
      <c r="FJ24" s="13">
        <f t="shared" si="74"/>
        <v>13.469729999999998</v>
      </c>
      <c r="FK24" s="13">
        <f t="shared" si="75"/>
        <v>1.5113948000000001</v>
      </c>
      <c r="FL24" s="13">
        <f t="shared" si="76"/>
        <v>2.3643999999999998</v>
      </c>
      <c r="FM24" s="13">
        <f t="shared" si="77"/>
        <v>1.4133071428571431</v>
      </c>
      <c r="FN24" s="13">
        <f t="shared" si="78"/>
        <v>0.25569172361427489</v>
      </c>
      <c r="FO24" s="13">
        <f t="shared" si="36"/>
        <v>30.404279294661062</v>
      </c>
      <c r="FQ24" s="13">
        <f t="shared" si="79"/>
        <v>12.129192556</v>
      </c>
      <c r="FR24" s="13">
        <f t="shared" si="80"/>
        <v>0.93662588143525738</v>
      </c>
      <c r="FS24" s="13">
        <f t="shared" si="81"/>
        <v>14.145097951964589</v>
      </c>
      <c r="FT24" s="13">
        <f t="shared" si="82"/>
        <v>1.9389107999999999</v>
      </c>
      <c r="FU24" s="13">
        <f t="shared" si="83"/>
        <v>2.4829502594057251</v>
      </c>
      <c r="FV24" s="13">
        <f t="shared" si="84"/>
        <v>1.4841699107499187</v>
      </c>
      <c r="FW24" s="13">
        <f t="shared" si="85"/>
        <v>0</v>
      </c>
      <c r="FX24" s="13">
        <f>SUM(FR24:FW24)*(1+DU24)</f>
        <v>32.713214131659001</v>
      </c>
      <c r="GA24" s="13">
        <f t="shared" si="86"/>
        <v>15.954382343999999</v>
      </c>
      <c r="GB24" s="13">
        <f t="shared" si="87"/>
        <v>2.753398823529412</v>
      </c>
      <c r="GC24" s="13">
        <f t="shared" si="88"/>
        <v>19.500113763717469</v>
      </c>
      <c r="GD24" s="13">
        <f t="shared" si="89"/>
        <v>3.2960928896682402</v>
      </c>
      <c r="GE24" s="13">
        <f t="shared" si="90"/>
        <v>4.4009467940940814</v>
      </c>
      <c r="GF24" s="13">
        <f t="shared" si="91"/>
        <v>3.167177192299464</v>
      </c>
      <c r="GG24" s="13">
        <f t="shared" si="92"/>
        <v>0.17661970338983049</v>
      </c>
      <c r="GH24" s="13">
        <f t="shared" si="93"/>
        <v>34.096570423866858</v>
      </c>
      <c r="GI24" s="13"/>
      <c r="GJ24" s="13"/>
      <c r="GK24" s="13">
        <f t="shared" si="94"/>
        <v>10.055580264</v>
      </c>
      <c r="GL24" s="13">
        <f t="shared" si="95"/>
        <v>0</v>
      </c>
      <c r="GM24" s="13">
        <f t="shared" ref="GM24:GM34" si="108">AY24*GM$3</f>
        <v>11.560896782598915</v>
      </c>
      <c r="GN24" s="13">
        <f t="shared" ref="GN24:GN34" si="109">BL24*GN$3</f>
        <v>3.353835607328306</v>
      </c>
      <c r="GO24" s="13">
        <f t="shared" ref="GO24:GO34" si="110">BZ24*GO$3</f>
        <v>4.936982925314509</v>
      </c>
      <c r="GP24" s="13">
        <f t="shared" ref="GP24:GP34" si="111">CM24*GP$3</f>
        <v>1.7693355241066091</v>
      </c>
      <c r="GQ24" s="13">
        <f t="shared" ref="GQ24:GQ34" si="112">CZ24</f>
        <v>5.1411086832785236</v>
      </c>
      <c r="GR24" s="13">
        <f t="shared" ref="GR24:GR34" si="113">SUM(GL24:GQ24)*(1+EH24)</f>
        <v>26.762159522626863</v>
      </c>
      <c r="GT24">
        <f>[2]ALLFOS!AD15</f>
        <v>131.37700000000001</v>
      </c>
      <c r="GV24">
        <v>212312</v>
      </c>
      <c r="GW24" t="s">
        <v>26</v>
      </c>
      <c r="GY24" s="148">
        <f t="shared" si="96"/>
        <v>2332.8000000000002</v>
      </c>
      <c r="GZ24" s="148">
        <f t="shared" si="97"/>
        <v>3156.91</v>
      </c>
      <c r="HA24" s="148">
        <f t="shared" si="98"/>
        <v>3554.8630000000003</v>
      </c>
      <c r="HB24" s="149">
        <f t="shared" si="99"/>
        <v>4675.9620000000004</v>
      </c>
      <c r="HC24" s="149">
        <f t="shared" si="100"/>
        <v>2947.1219999999998</v>
      </c>
      <c r="HD24" s="149">
        <f>'Preliminary estimates - 2017'!AT21</f>
        <v>3220.4180000000001</v>
      </c>
      <c r="HF24" s="148">
        <f t="shared" si="101"/>
        <v>34.873675672729405</v>
      </c>
      <c r="HG24" s="148">
        <f t="shared" si="102"/>
        <v>31.864798141663687</v>
      </c>
      <c r="HH24" s="148">
        <f t="shared" si="103"/>
        <v>30.404279294661062</v>
      </c>
      <c r="HI24" s="148">
        <f t="shared" si="104"/>
        <v>32.713214131659001</v>
      </c>
      <c r="HJ24" s="148">
        <f t="shared" si="105"/>
        <v>34.096570423866858</v>
      </c>
      <c r="HK24" s="148">
        <f t="shared" si="0"/>
        <v>26.762159522626863</v>
      </c>
      <c r="HL24" s="148">
        <f>'Preliminary estimates - 2017'!AL21</f>
        <v>34.23916891966887</v>
      </c>
      <c r="HN24" s="60" t="s">
        <v>317</v>
      </c>
      <c r="HO24">
        <f>Prices!E19</f>
        <v>0</v>
      </c>
      <c r="HP24" s="16">
        <f>Prices!F19</f>
        <v>0</v>
      </c>
      <c r="HQ24">
        <f>Prices!G19</f>
        <v>0</v>
      </c>
      <c r="HR24" s="16">
        <f>Prices!H19</f>
        <v>0</v>
      </c>
      <c r="HS24">
        <f>Prices!I19</f>
        <v>0</v>
      </c>
      <c r="HT24" s="16">
        <f>Prices!J19</f>
        <v>0</v>
      </c>
      <c r="HU24">
        <f>Prices!K19</f>
        <v>0</v>
      </c>
      <c r="HV24" s="16">
        <f>Prices!L19</f>
        <v>0</v>
      </c>
      <c r="HW24">
        <f>Prices!M19</f>
        <v>0</v>
      </c>
      <c r="HX24" s="16">
        <f>Prices!N19</f>
        <v>0</v>
      </c>
      <c r="HY24">
        <f>Prices!O19</f>
        <v>0</v>
      </c>
    </row>
    <row r="25" spans="2:233" x14ac:dyDescent="0.2">
      <c r="C25">
        <v>212313</v>
      </c>
      <c r="D25" t="s">
        <v>29</v>
      </c>
      <c r="E25">
        <v>264</v>
      </c>
      <c r="F25">
        <v>6100</v>
      </c>
      <c r="G25">
        <v>290</v>
      </c>
      <c r="H25" s="3">
        <v>6812</v>
      </c>
      <c r="I25">
        <v>321</v>
      </c>
      <c r="J25" s="3">
        <v>7400</v>
      </c>
      <c r="K25" s="3"/>
      <c r="L25" s="3"/>
      <c r="M25" s="3"/>
      <c r="N25" s="3"/>
      <c r="O25" s="3"/>
      <c r="P25" s="3"/>
      <c r="Q25" s="3">
        <v>580000</v>
      </c>
      <c r="R25" s="3">
        <v>748736</v>
      </c>
      <c r="S25" s="30">
        <v>787309</v>
      </c>
      <c r="T25" s="78">
        <v>212313</v>
      </c>
      <c r="U25" s="91">
        <v>973107</v>
      </c>
      <c r="V25" s="91">
        <f>[3]Sheet1!D22</f>
        <v>545497</v>
      </c>
      <c r="W25" s="91"/>
      <c r="X25" s="23">
        <f t="shared" si="37"/>
        <v>768022.5</v>
      </c>
      <c r="Y25" s="33"/>
      <c r="Z25" s="33"/>
      <c r="AA25" s="33"/>
      <c r="AB25" s="3"/>
      <c r="AC25" s="3"/>
      <c r="AD25" s="6"/>
      <c r="AE25" s="6"/>
      <c r="AF25" s="6"/>
      <c r="AG25" s="6"/>
      <c r="AH25" s="6"/>
      <c r="AI25" s="6">
        <f>Pivot_Table_2012!C17</f>
        <v>0</v>
      </c>
      <c r="AJ25" s="6"/>
      <c r="AK25" s="6"/>
      <c r="AL25" s="6"/>
      <c r="AM25" s="16">
        <f>(AD25+AF25)/2</f>
        <v>0</v>
      </c>
      <c r="AN25" s="8">
        <v>14.2</v>
      </c>
      <c r="AO25" s="8">
        <v>599.1</v>
      </c>
      <c r="AP25" s="8">
        <v>16.3</v>
      </c>
      <c r="AQ25" s="8">
        <v>592.79999999999995</v>
      </c>
      <c r="AR25" s="8">
        <v>20387</v>
      </c>
      <c r="AS25" s="6">
        <v>692.7</v>
      </c>
      <c r="AT25" s="8">
        <v>21146</v>
      </c>
      <c r="AU25" s="6">
        <f>$J25/$H25*AS25</f>
        <v>752.49266001174396</v>
      </c>
      <c r="AV25" s="58">
        <v>79093</v>
      </c>
      <c r="AW25" s="174">
        <f t="shared" si="38"/>
        <v>1003.3199648856573</v>
      </c>
      <c r="AX25" s="6">
        <f>Pivot_Table_2012!E17</f>
        <v>36124</v>
      </c>
      <c r="AY25" s="174">
        <f t="shared" si="3"/>
        <v>327.46575394407154</v>
      </c>
      <c r="AZ25" s="16">
        <f t="shared" si="39"/>
        <v>722.59633000587201</v>
      </c>
      <c r="BA25" s="6">
        <v>0.7</v>
      </c>
      <c r="BB25" s="84">
        <f>BA25/(BC25*HW$12)*BD25</f>
        <v>28.435964912280703</v>
      </c>
      <c r="BC25" s="6">
        <v>1.3</v>
      </c>
      <c r="BD25" s="6">
        <v>42.1</v>
      </c>
      <c r="BE25" s="8">
        <v>4706</v>
      </c>
      <c r="BF25" s="6">
        <v>170.9</v>
      </c>
      <c r="BG25" s="8">
        <v>1920</v>
      </c>
      <c r="BH25" s="6">
        <v>50.4</v>
      </c>
      <c r="BI25" s="8">
        <v>13296</v>
      </c>
      <c r="BJ25" s="174">
        <f t="shared" si="40"/>
        <v>142.29667151162795</v>
      </c>
      <c r="BK25" s="6">
        <f>Pivot_Table_2012!I17</f>
        <v>0</v>
      </c>
      <c r="BL25" s="174">
        <f t="shared" si="26"/>
        <v>0</v>
      </c>
      <c r="BM25" s="16">
        <f t="shared" si="41"/>
        <v>110.65</v>
      </c>
      <c r="BN25" s="6"/>
      <c r="BO25" s="6"/>
      <c r="BP25" s="6"/>
      <c r="BQ25" s="6"/>
      <c r="BR25" s="59">
        <v>2000</v>
      </c>
      <c r="BS25" s="59">
        <v>0.3</v>
      </c>
      <c r="BT25" s="6"/>
      <c r="BU25" s="6"/>
      <c r="BV25" s="6"/>
      <c r="BW25" s="8">
        <v>988</v>
      </c>
      <c r="BX25" s="122">
        <f>BW25/HW$15*0.001</f>
        <v>0.12864583333333335</v>
      </c>
      <c r="BY25" s="8">
        <f>Pivot_Table_2012!F17</f>
        <v>0</v>
      </c>
      <c r="BZ25" s="169">
        <f t="shared" si="34"/>
        <v>0</v>
      </c>
      <c r="CA25" s="16"/>
      <c r="CB25" s="8">
        <v>3</v>
      </c>
      <c r="CC25" s="8">
        <v>4</v>
      </c>
      <c r="CD25" s="8">
        <v>2</v>
      </c>
      <c r="CE25" s="8">
        <v>2</v>
      </c>
      <c r="CF25" s="8">
        <v>1971</v>
      </c>
      <c r="CG25" s="6">
        <v>1.9</v>
      </c>
      <c r="CH25" s="6">
        <v>1647</v>
      </c>
      <c r="CI25" s="6">
        <f>$J25/$H25*CG25</f>
        <v>2.0640046975924835</v>
      </c>
      <c r="CJ25" s="6">
        <v>22345</v>
      </c>
      <c r="CK25" s="174">
        <f>CJ25/(CH25*CK$4)*CI25</f>
        <v>10.984018027236324</v>
      </c>
      <c r="CL25" s="8">
        <f>Pivot_Table_2012!G17</f>
        <v>6584</v>
      </c>
      <c r="CM25" s="174">
        <f t="shared" si="42"/>
        <v>2.3128067681892364</v>
      </c>
      <c r="CN25" s="16">
        <f t="shared" si="35"/>
        <v>1.9820023487962417</v>
      </c>
      <c r="CO25" s="6"/>
      <c r="CP25" s="6"/>
      <c r="CQ25" s="6"/>
      <c r="CR25" s="6"/>
      <c r="CS25" s="59">
        <v>6000</v>
      </c>
      <c r="CT25" s="122">
        <f t="shared" si="43"/>
        <v>0.62414578587699321</v>
      </c>
      <c r="CU25" s="59">
        <v>14000</v>
      </c>
      <c r="CV25" s="93">
        <f>HY$40*0.001*CU25</f>
        <v>1.3347251217814893</v>
      </c>
      <c r="CW25" s="92">
        <f>EB25</f>
        <v>5367</v>
      </c>
      <c r="CX25" s="122">
        <f>HY$41*0.001*CW25</f>
        <v>0.2596324152542373</v>
      </c>
      <c r="CY25" s="141">
        <f t="shared" si="27"/>
        <v>33245</v>
      </c>
      <c r="CZ25" s="122">
        <f t="shared" si="44"/>
        <v>2.1024449304449839</v>
      </c>
      <c r="DA25" s="121">
        <f t="shared" si="45"/>
        <v>0.2011173184357542</v>
      </c>
      <c r="DB25" s="131">
        <v>3.6</v>
      </c>
      <c r="DC25" s="137">
        <f t="shared" si="106"/>
        <v>21.5</v>
      </c>
      <c r="DD25" s="116">
        <f t="shared" si="46"/>
        <v>17.899999999999999</v>
      </c>
      <c r="DE25" s="133">
        <f t="shared" si="47"/>
        <v>17.899999999999999</v>
      </c>
      <c r="DF25" s="131">
        <v>21.5</v>
      </c>
      <c r="DG25" s="131"/>
      <c r="DH25" s="140">
        <f t="shared" si="48"/>
        <v>0.28140703517587951</v>
      </c>
      <c r="DI25" s="131">
        <v>5.6</v>
      </c>
      <c r="DJ25" s="137">
        <f t="shared" si="107"/>
        <v>25.200000000000003</v>
      </c>
      <c r="DK25" s="131">
        <f t="shared" si="49"/>
        <v>19.600000000000001</v>
      </c>
      <c r="DL25" s="136">
        <f t="shared" si="50"/>
        <v>19.600000000000001</v>
      </c>
      <c r="DM25" s="131">
        <v>25.5</v>
      </c>
      <c r="DN25" s="131"/>
      <c r="DO25" s="121">
        <f t="shared" si="51"/>
        <v>0.17576786812285894</v>
      </c>
      <c r="DP25">
        <v>6003</v>
      </c>
      <c r="DQ25" s="120">
        <f>CU25</f>
        <v>14000</v>
      </c>
      <c r="DR25">
        <f>CS12</f>
        <v>3100</v>
      </c>
      <c r="DS25" s="33">
        <f t="shared" si="52"/>
        <v>35064</v>
      </c>
      <c r="DT25">
        <v>40156</v>
      </c>
      <c r="DU25" s="21">
        <f>DY25/DX25-1</f>
        <v>0.28282489086353424</v>
      </c>
      <c r="DV25">
        <v>11127</v>
      </c>
      <c r="DX25" s="33">
        <f>AE25+AT25+BG25+CH25+BT25+CU25</f>
        <v>38713</v>
      </c>
      <c r="DY25" s="27">
        <v>49662</v>
      </c>
      <c r="DZ25" s="21">
        <f t="shared" si="53"/>
        <v>6.8486815482826646E-2</v>
      </c>
      <c r="EA25" s="27">
        <v>8293</v>
      </c>
      <c r="EB25" s="27">
        <v>5367</v>
      </c>
      <c r="EC25" s="27">
        <f t="shared" si="54"/>
        <v>115722</v>
      </c>
      <c r="ED25" s="27">
        <v>129382</v>
      </c>
      <c r="EE25" s="27"/>
      <c r="EF25" s="27"/>
      <c r="EH25" s="21">
        <f t="shared" si="4"/>
        <v>0</v>
      </c>
      <c r="EI25">
        <f>Pivot_Table_2012!K17</f>
        <v>0</v>
      </c>
      <c r="EJ25" s="27">
        <f t="shared" si="5"/>
        <v>33245</v>
      </c>
      <c r="EK25" s="27"/>
      <c r="EL25" s="27">
        <f t="shared" si="55"/>
        <v>42708</v>
      </c>
      <c r="EM25">
        <f>Pivot_Table_2012!J17</f>
        <v>75953</v>
      </c>
      <c r="EP25" s="13">
        <f t="shared" si="56"/>
        <v>0.72441195599999997</v>
      </c>
      <c r="EQ25" s="13">
        <f t="shared" si="57"/>
        <v>0</v>
      </c>
      <c r="ER25" s="13">
        <f t="shared" si="58"/>
        <v>3.4897574999999996</v>
      </c>
      <c r="ES25" s="13">
        <f t="shared" si="59"/>
        <v>0.17877691140350879</v>
      </c>
      <c r="ET25" s="13">
        <f t="shared" si="60"/>
        <v>0</v>
      </c>
      <c r="EU25" s="13">
        <f t="shared" si="61"/>
        <v>0.50028571428571433</v>
      </c>
      <c r="EV25" s="13">
        <f t="shared" si="62"/>
        <v>0</v>
      </c>
      <c r="EW25" s="13">
        <f t="shared" si="63"/>
        <v>5.0072420504088431</v>
      </c>
      <c r="EY25" s="13">
        <f t="shared" si="64"/>
        <v>0.72441195599999997</v>
      </c>
      <c r="EZ25" s="13">
        <f t="shared" si="65"/>
        <v>0</v>
      </c>
      <c r="FA25" s="13">
        <f t="shared" si="66"/>
        <v>3.4530599999999994</v>
      </c>
      <c r="FB25" s="13">
        <f t="shared" si="67"/>
        <v>0.26468269999999999</v>
      </c>
      <c r="FC25" s="13">
        <f t="shared" si="68"/>
        <v>0</v>
      </c>
      <c r="FD25" s="13">
        <f t="shared" si="69"/>
        <v>0.25014285714285717</v>
      </c>
      <c r="FE25" s="13">
        <f t="shared" si="70"/>
        <v>0</v>
      </c>
      <c r="FF25" s="13">
        <f t="shared" si="71"/>
        <v>5.0844764676956204</v>
      </c>
      <c r="FH25" s="13">
        <f t="shared" si="72"/>
        <v>2.5546872319999996</v>
      </c>
      <c r="FI25" s="13">
        <f t="shared" si="73"/>
        <v>0</v>
      </c>
      <c r="FJ25" s="13">
        <f t="shared" si="74"/>
        <v>4.0349775000000001</v>
      </c>
      <c r="FK25" s="13">
        <f t="shared" si="75"/>
        <v>1.0744483</v>
      </c>
      <c r="FL25" s="13">
        <f t="shared" si="76"/>
        <v>0.30840000000000001</v>
      </c>
      <c r="FM25" s="13">
        <f t="shared" si="77"/>
        <v>0.23763571428571428</v>
      </c>
      <c r="FN25" s="13">
        <f t="shared" si="78"/>
        <v>0.62414578587699321</v>
      </c>
      <c r="FO25" s="13">
        <f t="shared" si="36"/>
        <v>7.3833604879610482</v>
      </c>
      <c r="FQ25" s="13">
        <f t="shared" si="79"/>
        <v>2.6862983079999996</v>
      </c>
      <c r="FR25" s="13">
        <f t="shared" si="80"/>
        <v>0</v>
      </c>
      <c r="FS25" s="13">
        <f t="shared" si="81"/>
        <v>4.3832697445684081</v>
      </c>
      <c r="FT25" s="13">
        <f t="shared" si="82"/>
        <v>0.3168648</v>
      </c>
      <c r="FU25" s="13">
        <f t="shared" si="83"/>
        <v>0</v>
      </c>
      <c r="FV25" s="13">
        <f t="shared" si="84"/>
        <v>0.25814801610603133</v>
      </c>
      <c r="FW25" s="13">
        <f t="shared" si="85"/>
        <v>1.3347251217814893</v>
      </c>
      <c r="FX25" s="13">
        <f t="shared" ref="FX25:FX34" si="114">SUM(FR25:FW25)*(1+DU25)</f>
        <v>8.0728268934499106</v>
      </c>
      <c r="GA25" s="13">
        <f t="shared" si="86"/>
        <v>3.3202410839999996</v>
      </c>
      <c r="GB25" s="13">
        <f t="shared" si="87"/>
        <v>0</v>
      </c>
      <c r="GC25" s="13">
        <f t="shared" si="88"/>
        <v>5.8443387954589534</v>
      </c>
      <c r="GD25" s="13">
        <f t="shared" si="89"/>
        <v>0.89461917379360489</v>
      </c>
      <c r="GE25" s="13">
        <f t="shared" si="90"/>
        <v>0.13224791666666669</v>
      </c>
      <c r="GF25" s="13">
        <f t="shared" si="91"/>
        <v>1.3737868261207717</v>
      </c>
      <c r="GG25" s="13">
        <f t="shared" si="92"/>
        <v>0.2596324152542373</v>
      </c>
      <c r="GH25" s="13">
        <f t="shared" si="93"/>
        <v>9.0870798191378466</v>
      </c>
      <c r="GI25" s="13"/>
      <c r="GJ25" s="13"/>
      <c r="GK25" s="13">
        <f t="shared" si="94"/>
        <v>1.8612357639999999</v>
      </c>
      <c r="GL25" s="13">
        <f t="shared" si="95"/>
        <v>0</v>
      </c>
      <c r="GM25" s="13">
        <f t="shared" si="108"/>
        <v>1.9074880167242165</v>
      </c>
      <c r="GN25" s="13">
        <f t="shared" si="109"/>
        <v>0</v>
      </c>
      <c r="GO25" s="13">
        <f t="shared" si="110"/>
        <v>0</v>
      </c>
      <c r="GP25" s="13">
        <f t="shared" si="111"/>
        <v>0.28926604650709664</v>
      </c>
      <c r="GQ25" s="13">
        <f t="shared" si="112"/>
        <v>2.1024449304449839</v>
      </c>
      <c r="GR25" s="13">
        <f t="shared" si="113"/>
        <v>4.2991989936762973</v>
      </c>
      <c r="GV25">
        <v>212313</v>
      </c>
      <c r="GW25" t="s">
        <v>29</v>
      </c>
      <c r="GY25" s="148">
        <f t="shared" si="96"/>
        <v>580</v>
      </c>
      <c r="GZ25" s="148">
        <f t="shared" si="97"/>
        <v>748.73599999999999</v>
      </c>
      <c r="HA25" s="148">
        <f t="shared" si="98"/>
        <v>787.30899999999997</v>
      </c>
      <c r="HB25" s="149">
        <f t="shared" si="99"/>
        <v>973.10699999999997</v>
      </c>
      <c r="HC25" s="149">
        <f t="shared" si="100"/>
        <v>545.49699999999996</v>
      </c>
      <c r="HD25" s="149">
        <f>'Preliminary estimates - 2017'!AT22</f>
        <v>699.35400000000004</v>
      </c>
      <c r="HF25" s="148">
        <f t="shared" si="101"/>
        <v>5.0072420504088431</v>
      </c>
      <c r="HG25" s="148">
        <f t="shared" si="102"/>
        <v>5.0844764676956204</v>
      </c>
      <c r="HH25" s="148">
        <f t="shared" si="103"/>
        <v>7.3833604879610482</v>
      </c>
      <c r="HI25" s="148">
        <f t="shared" si="104"/>
        <v>8.0728268934499106</v>
      </c>
      <c r="HJ25" s="148">
        <f t="shared" si="105"/>
        <v>9.0870798191378466</v>
      </c>
      <c r="HK25" s="148">
        <f t="shared" si="0"/>
        <v>4.2991989936762973</v>
      </c>
      <c r="HL25" s="148">
        <f>'Preliminary estimates - 2017'!AL22</f>
        <v>7.0965389343334957</v>
      </c>
      <c r="HN25">
        <f>Prices!D20</f>
        <v>1977</v>
      </c>
      <c r="HO25">
        <f>Prices!E20</f>
        <v>0.9151111111111111</v>
      </c>
      <c r="HP25" s="16">
        <f>Prices!F20</f>
        <v>0</v>
      </c>
      <c r="HQ25" s="79">
        <f>Prices!G20</f>
        <v>3.2451683013054184</v>
      </c>
      <c r="HR25" s="16">
        <f>Prices!H20</f>
        <v>0</v>
      </c>
      <c r="HS25" s="79">
        <f>Prices!I20</f>
        <v>2.0146342721361599</v>
      </c>
      <c r="HT25" s="16">
        <f>Prices!J20</f>
        <v>0</v>
      </c>
      <c r="HU25" s="79">
        <f>Prices!K20</f>
        <v>2.2060464121367027</v>
      </c>
      <c r="HV25" s="16">
        <f>Prices!L20</f>
        <v>0</v>
      </c>
      <c r="HW25" s="79">
        <f>Prices!M20</f>
        <v>1.4591439688715953</v>
      </c>
      <c r="HX25" s="16">
        <f>Prices!N20</f>
        <v>0</v>
      </c>
      <c r="HY25" s="79">
        <f>Prices!O20</f>
        <v>4.0166317630075437</v>
      </c>
    </row>
    <row r="26" spans="2:233" x14ac:dyDescent="0.2">
      <c r="C26">
        <v>212319</v>
      </c>
      <c r="D26" t="s">
        <v>66</v>
      </c>
      <c r="H26" s="3"/>
      <c r="J26" s="3"/>
      <c r="K26" s="3"/>
      <c r="L26" s="3"/>
      <c r="M26" s="3"/>
      <c r="N26" s="3"/>
      <c r="O26" s="3"/>
      <c r="P26" s="3"/>
      <c r="Q26" s="3">
        <v>626600</v>
      </c>
      <c r="R26" s="3">
        <v>722241</v>
      </c>
      <c r="S26" s="30">
        <v>635039</v>
      </c>
      <c r="T26" s="78">
        <v>212319</v>
      </c>
      <c r="U26" s="91">
        <v>885488</v>
      </c>
      <c r="V26" s="91">
        <f>[3]Sheet1!D23</f>
        <v>422024</v>
      </c>
      <c r="W26" s="91"/>
      <c r="X26" s="23">
        <f t="shared" si="37"/>
        <v>678640</v>
      </c>
      <c r="Y26" s="144">
        <v>2.1</v>
      </c>
      <c r="Z26" s="95">
        <f>Y26/HO$11*1000</f>
        <v>74.494501596310741</v>
      </c>
      <c r="AA26" s="145">
        <v>3.4</v>
      </c>
      <c r="AB26" s="95">
        <f>AA26/HP$12*1000</f>
        <v>126.96041822255414</v>
      </c>
      <c r="AC26" s="3"/>
      <c r="AD26" s="6"/>
      <c r="AE26" s="6"/>
      <c r="AF26" s="6"/>
      <c r="AG26" s="6"/>
      <c r="AH26" s="6"/>
      <c r="AI26" s="6">
        <f>Pivot_Table_2012!C18</f>
        <v>0</v>
      </c>
      <c r="AJ26" s="6"/>
      <c r="AK26" s="6"/>
      <c r="AL26" s="6"/>
      <c r="AM26" s="16"/>
      <c r="AN26" s="8">
        <v>11.1</v>
      </c>
      <c r="AO26" s="8">
        <v>393.6</v>
      </c>
      <c r="AP26" s="8">
        <v>10</v>
      </c>
      <c r="AQ26" s="8">
        <v>325</v>
      </c>
      <c r="AR26" s="8">
        <v>15887</v>
      </c>
      <c r="AS26" s="8">
        <v>468.4</v>
      </c>
      <c r="AT26" s="8">
        <v>18121</v>
      </c>
      <c r="AU26" s="8">
        <v>491.3</v>
      </c>
      <c r="AV26" s="58">
        <v>48117</v>
      </c>
      <c r="AW26" s="174">
        <f t="shared" si="38"/>
        <v>465.040215600186</v>
      </c>
      <c r="AX26" s="6">
        <f>Pivot_Table_2012!E18</f>
        <v>44209</v>
      </c>
      <c r="AY26" s="174">
        <f t="shared" si="3"/>
        <v>305.33128812149289</v>
      </c>
      <c r="AZ26" s="16">
        <f t="shared" si="39"/>
        <v>479.85</v>
      </c>
      <c r="BA26" s="59">
        <v>2</v>
      </c>
      <c r="BB26" s="84">
        <f>BA26/(BC26*HW$12)*BD26</f>
        <v>73.757894736842104</v>
      </c>
      <c r="BC26" s="8">
        <v>2</v>
      </c>
      <c r="BD26" s="8">
        <v>58.8</v>
      </c>
      <c r="BE26" s="8">
        <v>1685</v>
      </c>
      <c r="BF26" s="8">
        <v>60.3</v>
      </c>
      <c r="BG26" s="8">
        <v>2175</v>
      </c>
      <c r="BH26" s="84">
        <f>BG26/(BE26*HV$14)*BF26</f>
        <v>59.521120614417853</v>
      </c>
      <c r="BI26" s="8">
        <v>16335</v>
      </c>
      <c r="BJ26" s="174">
        <f t="shared" si="40"/>
        <v>182.2533014025947</v>
      </c>
      <c r="BK26" s="8">
        <f>Pivot_Table_2012!I18</f>
        <v>16936</v>
      </c>
      <c r="BL26" s="174">
        <f t="shared" si="26"/>
        <v>99.383186341223976</v>
      </c>
      <c r="BM26" s="115">
        <f t="shared" si="41"/>
        <v>59.910560307208925</v>
      </c>
      <c r="BN26" s="8">
        <v>0.6</v>
      </c>
      <c r="BO26" s="8">
        <v>0.2</v>
      </c>
      <c r="BP26" s="59">
        <v>1</v>
      </c>
      <c r="BQ26" s="84">
        <f>BP26/(BN26*HY$12)*BO26</f>
        <v>0.34507042253521131</v>
      </c>
      <c r="BR26" s="8">
        <v>5851</v>
      </c>
      <c r="BS26" s="6">
        <v>1.8</v>
      </c>
      <c r="BT26" s="6">
        <v>7464</v>
      </c>
      <c r="BU26" s="84">
        <f>BT26/(BR26*HX$14)*BS26</f>
        <v>2.0506069889826208</v>
      </c>
      <c r="BV26" s="8"/>
      <c r="BW26" s="8">
        <v>23947</v>
      </c>
      <c r="BX26" s="169">
        <f>BW26/(BT26*BX$4)*BU26</f>
        <v>3.4437114115108525</v>
      </c>
      <c r="BY26" s="8">
        <f>Pivot_Table_2012!F18</f>
        <v>13223</v>
      </c>
      <c r="BZ26" s="169">
        <f t="shared" si="34"/>
        <v>3.7638744456406243</v>
      </c>
      <c r="CA26" s="16">
        <f t="shared" ref="CA26:CA33" si="115">(BS26+BU26)/2</f>
        <v>1.9253034944913106</v>
      </c>
      <c r="CB26" s="8">
        <v>1.6</v>
      </c>
      <c r="CC26" s="8">
        <v>1.9</v>
      </c>
      <c r="CD26" s="8">
        <v>1.1000000000000001</v>
      </c>
      <c r="CE26" s="8">
        <v>1.1000000000000001</v>
      </c>
      <c r="CF26" s="8">
        <v>1583</v>
      </c>
      <c r="CG26" s="8">
        <v>1.5</v>
      </c>
      <c r="CH26" s="8">
        <v>1821</v>
      </c>
      <c r="CI26" s="14">
        <v>1.8</v>
      </c>
      <c r="CJ26" s="14">
        <v>10769</v>
      </c>
      <c r="CK26" s="174">
        <f>CJ26/(CH26*CK$4)*CI26</f>
        <v>4.1754350456400759</v>
      </c>
      <c r="CL26" s="8">
        <f>Pivot_Table_2012!G18</f>
        <v>11831</v>
      </c>
      <c r="CM26" s="174">
        <f t="shared" si="42"/>
        <v>3.2780566819149599</v>
      </c>
      <c r="CN26" s="16">
        <f t="shared" si="35"/>
        <v>1.65</v>
      </c>
      <c r="CO26" s="6">
        <v>1.3</v>
      </c>
      <c r="CP26" s="93">
        <f t="shared" ref="CP26:CP31" si="116">HY$37*CO26</f>
        <v>0.16512972690974645</v>
      </c>
      <c r="CQ26" s="6">
        <v>1.3</v>
      </c>
      <c r="CR26" s="93">
        <f t="shared" ref="CR26:CR31" si="117">HY$38*CQ26</f>
        <v>0.17094415391361076</v>
      </c>
      <c r="CS26" s="8">
        <v>174</v>
      </c>
      <c r="CT26" s="122">
        <f t="shared" si="43"/>
        <v>1.8100227790432803E-2</v>
      </c>
      <c r="CU26" s="6"/>
      <c r="CV26" s="6"/>
      <c r="CW26" s="92">
        <f>EB26</f>
        <v>4670</v>
      </c>
      <c r="CX26" s="122">
        <f>HY$41*0.001*CW26</f>
        <v>0.22591454802259886</v>
      </c>
      <c r="CY26" s="141">
        <f t="shared" si="27"/>
        <v>14360</v>
      </c>
      <c r="CZ26" s="122">
        <f t="shared" si="44"/>
        <v>0.90813984662926661</v>
      </c>
      <c r="DA26" s="121">
        <f t="shared" si="45"/>
        <v>1.1818181818181821</v>
      </c>
      <c r="DB26" s="131">
        <v>22.1</v>
      </c>
      <c r="DC26" s="137">
        <f t="shared" si="106"/>
        <v>40.799999999999997</v>
      </c>
      <c r="DD26" s="116">
        <f t="shared" si="46"/>
        <v>18.7</v>
      </c>
      <c r="DE26" s="133">
        <f t="shared" si="47"/>
        <v>18.7</v>
      </c>
      <c r="DF26" s="131">
        <v>40.799999999999997</v>
      </c>
      <c r="DG26" s="131"/>
      <c r="DH26" s="140">
        <f t="shared" si="48"/>
        <v>0.90957446808510656</v>
      </c>
      <c r="DI26" s="131">
        <v>17.100000000000001</v>
      </c>
      <c r="DJ26" s="137">
        <f t="shared" si="107"/>
        <v>35.900000000000006</v>
      </c>
      <c r="DK26" s="131">
        <f t="shared" si="49"/>
        <v>18.8</v>
      </c>
      <c r="DL26" s="136">
        <f t="shared" si="50"/>
        <v>18.8</v>
      </c>
      <c r="DM26" s="131">
        <v>35.9</v>
      </c>
      <c r="DN26" s="131"/>
      <c r="DO26" s="121">
        <f t="shared" si="51"/>
        <v>0.82430500397140594</v>
      </c>
      <c r="DP26">
        <v>20756</v>
      </c>
      <c r="DR26">
        <v>10583</v>
      </c>
      <c r="DS26" s="34">
        <f t="shared" si="52"/>
        <v>25180</v>
      </c>
      <c r="DT26">
        <v>45936</v>
      </c>
      <c r="DU26" s="21">
        <f>DY26/DX26-1</f>
        <v>0.62222372468814435</v>
      </c>
      <c r="DV26" s="110"/>
      <c r="DW26" s="110"/>
      <c r="DX26" s="33">
        <f>AE26+AT26+BG26+CH26+BT26</f>
        <v>29581</v>
      </c>
      <c r="DY26" s="27">
        <v>47987</v>
      </c>
      <c r="DZ26" s="21">
        <f t="shared" si="53"/>
        <v>0.28902713842716543</v>
      </c>
      <c r="EA26" s="27">
        <v>30012</v>
      </c>
      <c r="EB26" s="27">
        <f>ED26-EA26-EC26</f>
        <v>4670</v>
      </c>
      <c r="EC26" s="27">
        <f t="shared" si="54"/>
        <v>99168</v>
      </c>
      <c r="ED26" s="27">
        <v>133850</v>
      </c>
      <c r="EE26" s="27"/>
      <c r="EF26" s="27"/>
      <c r="EH26" s="21">
        <f t="shared" si="4"/>
        <v>0</v>
      </c>
      <c r="EI26">
        <f>Pivot_Table_2012!K18</f>
        <v>0</v>
      </c>
      <c r="EJ26" s="27">
        <f t="shared" si="5"/>
        <v>14360</v>
      </c>
      <c r="EK26" s="27"/>
      <c r="EL26" s="27">
        <f t="shared" si="55"/>
        <v>86199</v>
      </c>
      <c r="EM26">
        <f>Pivot_Table_2012!J18</f>
        <v>100559</v>
      </c>
      <c r="EP26" s="13">
        <f t="shared" si="56"/>
        <v>0.72443242799999996</v>
      </c>
      <c r="EQ26" s="13">
        <f t="shared" si="57"/>
        <v>1.5451649521106774</v>
      </c>
      <c r="ER26" s="13">
        <f t="shared" si="58"/>
        <v>2.2927200000000001</v>
      </c>
      <c r="ES26" s="13">
        <f t="shared" si="59"/>
        <v>0.46371588421052629</v>
      </c>
      <c r="ET26" s="13">
        <f t="shared" si="60"/>
        <v>0.2056</v>
      </c>
      <c r="EU26" s="13">
        <f t="shared" si="61"/>
        <v>0.23763571428571428</v>
      </c>
      <c r="EV26" s="13">
        <f t="shared" si="62"/>
        <v>0.16512972690974645</v>
      </c>
      <c r="EW26" s="13">
        <f t="shared" si="63"/>
        <v>10.712653696399995</v>
      </c>
      <c r="EY26" s="13">
        <f t="shared" si="64"/>
        <v>0.72443242799999996</v>
      </c>
      <c r="EZ26" s="13">
        <f t="shared" si="65"/>
        <v>2.6334129947722178</v>
      </c>
      <c r="FA26" s="13">
        <f t="shared" si="66"/>
        <v>1.8931249999999997</v>
      </c>
      <c r="FB26" s="13">
        <f t="shared" si="67"/>
        <v>0.36967559999999999</v>
      </c>
      <c r="FC26" s="13">
        <f t="shared" si="68"/>
        <v>0.35473239436619725</v>
      </c>
      <c r="FD26" s="13">
        <f t="shared" si="69"/>
        <v>0.13757857142857144</v>
      </c>
      <c r="FE26" s="13">
        <f t="shared" si="70"/>
        <v>0.17094415391361076</v>
      </c>
      <c r="FF26" s="13">
        <f t="shared" si="71"/>
        <v>10.616219513290078</v>
      </c>
      <c r="FH26" s="13">
        <f t="shared" si="72"/>
        <v>2.4642862919999997</v>
      </c>
      <c r="FI26" s="13">
        <f t="shared" si="73"/>
        <v>0</v>
      </c>
      <c r="FJ26" s="13">
        <f t="shared" si="74"/>
        <v>2.7284299999999995</v>
      </c>
      <c r="FK26" s="13">
        <f t="shared" si="75"/>
        <v>0.3791061</v>
      </c>
      <c r="FL26" s="13">
        <f t="shared" si="76"/>
        <v>1.8504</v>
      </c>
      <c r="FM26" s="13">
        <f t="shared" si="77"/>
        <v>0.18760714285714286</v>
      </c>
      <c r="FN26" s="13">
        <f t="shared" si="78"/>
        <v>1.8100227790432803E-2</v>
      </c>
      <c r="FO26" s="13">
        <f t="shared" si="36"/>
        <v>9.4200606222266501</v>
      </c>
      <c r="FQ26" s="13">
        <f t="shared" si="79"/>
        <v>2.1667530679999998</v>
      </c>
      <c r="FR26" s="13">
        <f t="shared" si="80"/>
        <v>0</v>
      </c>
      <c r="FS26" s="13">
        <f t="shared" si="81"/>
        <v>2.8618224999999997</v>
      </c>
      <c r="FT26" s="13">
        <f t="shared" si="82"/>
        <v>0.37420928530284503</v>
      </c>
      <c r="FU26" s="13">
        <f t="shared" si="83"/>
        <v>2.1080239846741344</v>
      </c>
      <c r="FV26" s="13">
        <f t="shared" si="84"/>
        <v>0.22512857142857146</v>
      </c>
      <c r="FW26" s="13">
        <f t="shared" si="85"/>
        <v>0</v>
      </c>
      <c r="FX26" s="13">
        <f t="shared" si="114"/>
        <v>9.0344629657898032</v>
      </c>
      <c r="GA26" s="13">
        <f t="shared" si="86"/>
        <v>3.0212850559999995</v>
      </c>
      <c r="GB26" s="13">
        <f t="shared" si="87"/>
        <v>0</v>
      </c>
      <c r="GC26" s="13">
        <f t="shared" si="88"/>
        <v>2.7088592558710833</v>
      </c>
      <c r="GD26" s="13">
        <f t="shared" si="89"/>
        <v>1.145826505918113</v>
      </c>
      <c r="GE26" s="13">
        <f t="shared" si="90"/>
        <v>3.5401353310331563</v>
      </c>
      <c r="GF26" s="13">
        <f t="shared" si="91"/>
        <v>0.5222276260654124</v>
      </c>
      <c r="GG26" s="13">
        <f t="shared" si="92"/>
        <v>0.22591454802259886</v>
      </c>
      <c r="GH26" s="13">
        <f t="shared" si="93"/>
        <v>10.496500638262988</v>
      </c>
      <c r="GI26" s="13"/>
      <c r="GJ26" s="13"/>
      <c r="GK26" s="13">
        <f t="shared" si="94"/>
        <v>1.4399458879999998</v>
      </c>
      <c r="GL26" s="13">
        <f t="shared" si="95"/>
        <v>0</v>
      </c>
      <c r="GM26" s="13">
        <f t="shared" si="108"/>
        <v>1.778554753307696</v>
      </c>
      <c r="GN26" s="13">
        <f t="shared" si="109"/>
        <v>0.62482209252727516</v>
      </c>
      <c r="GO26" s="13">
        <f t="shared" si="110"/>
        <v>3.8692629301185617</v>
      </c>
      <c r="GP26" s="13">
        <f t="shared" si="111"/>
        <v>0.4099912321452211</v>
      </c>
      <c r="GQ26" s="13">
        <f t="shared" si="112"/>
        <v>0.90813984662926661</v>
      </c>
      <c r="GR26" s="13">
        <f t="shared" si="113"/>
        <v>7.5907708547280199</v>
      </c>
      <c r="GV26">
        <v>212319</v>
      </c>
      <c r="GW26" t="s">
        <v>66</v>
      </c>
      <c r="GY26" s="148">
        <f t="shared" si="96"/>
        <v>626.6</v>
      </c>
      <c r="GZ26" s="148">
        <f t="shared" si="97"/>
        <v>722.24099999999999</v>
      </c>
      <c r="HA26" s="148">
        <f t="shared" si="98"/>
        <v>635.03899999999999</v>
      </c>
      <c r="HB26" s="149">
        <f t="shared" si="99"/>
        <v>885.48800000000006</v>
      </c>
      <c r="HC26" s="149">
        <f t="shared" si="100"/>
        <v>422.024</v>
      </c>
      <c r="HD26" s="149">
        <f>'Preliminary estimates - 2017'!AT23</f>
        <v>544.72400000000005</v>
      </c>
      <c r="HF26" s="148">
        <f t="shared" si="101"/>
        <v>10.712653696399995</v>
      </c>
      <c r="HG26" s="148">
        <f t="shared" si="102"/>
        <v>10.616219513290078</v>
      </c>
      <c r="HH26" s="148">
        <f t="shared" si="103"/>
        <v>9.4200606222266501</v>
      </c>
      <c r="HI26" s="148">
        <f t="shared" si="104"/>
        <v>9.0344629657898032</v>
      </c>
      <c r="HJ26" s="148">
        <f t="shared" si="105"/>
        <v>10.496500638262988</v>
      </c>
      <c r="HK26" s="148">
        <f t="shared" si="0"/>
        <v>7.5907708547280199</v>
      </c>
      <c r="HL26" s="148">
        <f>'Preliminary estimates - 2017'!AL23</f>
        <v>6.810458395469138</v>
      </c>
      <c r="HN26">
        <f>Prices!D21</f>
        <v>1982</v>
      </c>
      <c r="HO26" s="79">
        <f>Prices!E21</f>
        <v>1.4288888888888889</v>
      </c>
      <c r="HP26" s="16">
        <f>Prices!F21</f>
        <v>0</v>
      </c>
      <c r="HQ26" s="79">
        <f>Prices!G21</f>
        <v>6.411186156237533</v>
      </c>
      <c r="HR26" s="16">
        <f>Prices!H21</f>
        <v>0</v>
      </c>
      <c r="HS26" s="79">
        <f>Prices!I21</f>
        <v>5.0398246421927091</v>
      </c>
      <c r="HT26" s="16">
        <f>Prices!J21</f>
        <v>0</v>
      </c>
      <c r="HU26" s="79">
        <f>Prices!K21</f>
        <v>4.7935120637549851</v>
      </c>
      <c r="HV26" s="16">
        <f>Prices!L21</f>
        <v>0</v>
      </c>
      <c r="HW26" s="79">
        <f>Prices!M21</f>
        <v>3.7645914396887159</v>
      </c>
      <c r="HX26" s="16">
        <f>Prices!N21</f>
        <v>0</v>
      </c>
      <c r="HY26" s="79">
        <f>Prices!O21</f>
        <v>10.362909948559462</v>
      </c>
    </row>
    <row r="27" spans="2:233" x14ac:dyDescent="0.2">
      <c r="C27">
        <v>212321</v>
      </c>
      <c r="D27" t="s">
        <v>68</v>
      </c>
      <c r="H27" s="3"/>
      <c r="J27" s="3"/>
      <c r="K27" s="3"/>
      <c r="L27" s="3"/>
      <c r="M27" s="3"/>
      <c r="N27" s="3"/>
      <c r="O27" s="3"/>
      <c r="P27" s="3"/>
      <c r="Q27" s="3">
        <v>2156100</v>
      </c>
      <c r="R27" s="3">
        <v>2525053</v>
      </c>
      <c r="S27" s="30">
        <v>2682961</v>
      </c>
      <c r="T27" s="78">
        <v>212321</v>
      </c>
      <c r="U27" s="91">
        <v>2246214</v>
      </c>
      <c r="V27" s="91">
        <f>[3]Sheet1!D24</f>
        <v>1152430</v>
      </c>
      <c r="W27" s="91"/>
      <c r="X27" s="23">
        <f t="shared" si="37"/>
        <v>2604007</v>
      </c>
      <c r="Y27" s="33"/>
      <c r="Z27" s="33"/>
      <c r="AA27" s="33"/>
      <c r="AB27" s="3"/>
      <c r="AC27" s="3"/>
      <c r="AD27" s="6"/>
      <c r="AE27" s="6"/>
      <c r="AF27" s="6"/>
      <c r="AG27" s="6">
        <v>4247</v>
      </c>
      <c r="AH27" s="95">
        <f>AG27/HO$15</f>
        <v>104.09313725490196</v>
      </c>
      <c r="AI27" s="6">
        <f>Pivot_Table_2012!C19</f>
        <v>3530</v>
      </c>
      <c r="AJ27" s="84">
        <f>AI27/(AG27*AI$4)*AH27</f>
        <v>53.452453058752262</v>
      </c>
      <c r="AK27" s="84"/>
      <c r="AL27" s="84"/>
      <c r="AM27" s="16"/>
      <c r="AN27" s="8">
        <v>34.799999999999997</v>
      </c>
      <c r="AO27" s="8">
        <v>1248</v>
      </c>
      <c r="AP27" s="6">
        <v>36.200000000000003</v>
      </c>
      <c r="AQ27" s="8">
        <v>1138.8</v>
      </c>
      <c r="AR27" s="8">
        <v>48795</v>
      </c>
      <c r="AS27" s="8">
        <v>1403.8</v>
      </c>
      <c r="AT27" s="8">
        <v>45223</v>
      </c>
      <c r="AU27" s="8">
        <v>1068.7</v>
      </c>
      <c r="AV27" s="58">
        <v>181760</v>
      </c>
      <c r="AW27" s="174">
        <f t="shared" si="38"/>
        <v>1531.1654456934803</v>
      </c>
      <c r="AX27" s="6">
        <f>Pivot_Table_2012!E19</f>
        <v>165916</v>
      </c>
      <c r="AY27" s="174">
        <f t="shared" si="3"/>
        <v>998.80503727855455</v>
      </c>
      <c r="AZ27" s="16">
        <f t="shared" si="39"/>
        <v>1236.25</v>
      </c>
      <c r="BA27" s="8">
        <v>3.6</v>
      </c>
      <c r="BB27" s="8">
        <v>131.1</v>
      </c>
      <c r="BC27" s="8">
        <v>6.2</v>
      </c>
      <c r="BD27" s="8">
        <v>180.8</v>
      </c>
      <c r="BE27" s="6">
        <v>9652</v>
      </c>
      <c r="BF27" s="8">
        <v>315.10000000000002</v>
      </c>
      <c r="BG27" s="8">
        <v>7960</v>
      </c>
      <c r="BH27" s="84">
        <f>BG27/(BE27*HV$14)*BF27</f>
        <v>198.71863192023596</v>
      </c>
      <c r="BI27" s="8">
        <v>38511</v>
      </c>
      <c r="BJ27" s="174">
        <f t="shared" si="40"/>
        <v>391.971728574449</v>
      </c>
      <c r="BK27" s="8">
        <f>Pivot_Table_2012!I19</f>
        <v>25905</v>
      </c>
      <c r="BL27" s="174">
        <f t="shared" si="26"/>
        <v>138.67537572968502</v>
      </c>
      <c r="BM27" s="115">
        <f t="shared" si="41"/>
        <v>256.90931596011797</v>
      </c>
      <c r="BN27" s="8">
        <v>0.4</v>
      </c>
      <c r="BO27" s="8">
        <v>0.2</v>
      </c>
      <c r="BP27" s="8">
        <v>1.7</v>
      </c>
      <c r="BQ27" s="8">
        <v>0.7</v>
      </c>
      <c r="BR27" s="6">
        <v>3759</v>
      </c>
      <c r="BS27" s="6">
        <v>1.4</v>
      </c>
      <c r="BT27" s="6">
        <v>2191</v>
      </c>
      <c r="BU27" s="84">
        <f>BT27/(BR27*HX$14)*BS27</f>
        <v>0.7287297219674439</v>
      </c>
      <c r="BV27" s="14"/>
      <c r="BW27" s="14">
        <v>17297</v>
      </c>
      <c r="BX27" s="169">
        <f>BW27/(BT27*BX$4)*BU27</f>
        <v>3.0113395212600862</v>
      </c>
      <c r="BY27" s="8">
        <f>Pivot_Table_2012!F19</f>
        <v>6946</v>
      </c>
      <c r="BZ27" s="169">
        <f t="shared" si="34"/>
        <v>2.3936090153391305</v>
      </c>
      <c r="CA27" s="16">
        <f t="shared" si="115"/>
        <v>1.064364860983722</v>
      </c>
      <c r="CB27" s="8">
        <v>4.8</v>
      </c>
      <c r="CC27" s="8">
        <v>5.7</v>
      </c>
      <c r="CD27" s="8">
        <v>5</v>
      </c>
      <c r="CE27" s="8">
        <v>5.0999999999999996</v>
      </c>
      <c r="CF27" s="8">
        <v>6044</v>
      </c>
      <c r="CG27" s="8">
        <v>5.7</v>
      </c>
      <c r="CH27" s="8">
        <v>7307</v>
      </c>
      <c r="CI27" s="8">
        <v>6.1</v>
      </c>
      <c r="CJ27" s="8">
        <v>47101</v>
      </c>
      <c r="CK27" s="174">
        <f>CJ27/(CH27*CK$4)*CI27</f>
        <v>15.423560848582467</v>
      </c>
      <c r="CL27" s="8">
        <f>Pivot_Table_2012!G19</f>
        <v>52022</v>
      </c>
      <c r="CM27" s="174">
        <f t="shared" si="42"/>
        <v>12.173353050539816</v>
      </c>
      <c r="CN27" s="16">
        <f t="shared" si="35"/>
        <v>5.9</v>
      </c>
      <c r="CO27" s="8">
        <v>2.6</v>
      </c>
      <c r="CP27" s="93">
        <f t="shared" si="116"/>
        <v>0.3302594538194929</v>
      </c>
      <c r="CQ27" s="59">
        <v>2.1</v>
      </c>
      <c r="CR27" s="93">
        <f t="shared" si="117"/>
        <v>0.27614055632198659</v>
      </c>
      <c r="CS27" s="8">
        <v>242</v>
      </c>
      <c r="CT27" s="122">
        <f t="shared" si="43"/>
        <v>2.5173880030372058E-2</v>
      </c>
      <c r="CU27" s="6"/>
      <c r="CV27" s="6"/>
      <c r="CW27" s="92">
        <f>EB27</f>
        <v>1920</v>
      </c>
      <c r="CX27" s="122">
        <f>HY$41*0.001*CW27</f>
        <v>9.2881355932203383E-2</v>
      </c>
      <c r="CY27" s="141">
        <f t="shared" si="27"/>
        <v>16209</v>
      </c>
      <c r="CZ27" s="122">
        <f t="shared" si="44"/>
        <v>1.0250723380232438</v>
      </c>
      <c r="DA27" s="121">
        <f t="shared" si="45"/>
        <v>1.7640692640692639</v>
      </c>
      <c r="DB27" s="131">
        <v>81.5</v>
      </c>
      <c r="DC27" s="137">
        <f t="shared" si="106"/>
        <v>127.69999999999999</v>
      </c>
      <c r="DD27" s="116">
        <f t="shared" si="46"/>
        <v>46.199999999999996</v>
      </c>
      <c r="DE27" s="133">
        <f t="shared" si="47"/>
        <v>46.199999999999996</v>
      </c>
      <c r="DF27" s="131">
        <v>127.7</v>
      </c>
      <c r="DG27" s="131"/>
      <c r="DH27" s="140">
        <f t="shared" si="48"/>
        <v>1.5039062500000004</v>
      </c>
      <c r="DI27" s="131">
        <v>77</v>
      </c>
      <c r="DJ27" s="137">
        <f t="shared" si="107"/>
        <v>128.20000000000002</v>
      </c>
      <c r="DK27" s="131">
        <f t="shared" si="49"/>
        <v>51.20000000000001</v>
      </c>
      <c r="DL27" s="136">
        <f t="shared" si="50"/>
        <v>51.20000000000001</v>
      </c>
      <c r="DM27" s="131">
        <v>128.19999999999999</v>
      </c>
      <c r="DN27" s="131"/>
      <c r="DO27" s="121">
        <f t="shared" si="51"/>
        <v>1.4384161653915788</v>
      </c>
      <c r="DP27">
        <v>98520</v>
      </c>
      <c r="DQ27" s="116">
        <f>DT27-DP27-DS27</f>
        <v>0</v>
      </c>
      <c r="DR27">
        <f>SUM(DR21:DR26)</f>
        <v>45255</v>
      </c>
      <c r="DS27" s="34">
        <f t="shared" si="52"/>
        <v>68492</v>
      </c>
      <c r="DT27">
        <v>167012</v>
      </c>
      <c r="DU27" s="21">
        <f>DY27/DX27-1</f>
        <v>1.3004025106796417</v>
      </c>
      <c r="DV27" s="110"/>
      <c r="DW27" s="110"/>
      <c r="DX27" s="33">
        <f>DY27-84322</f>
        <v>64843</v>
      </c>
      <c r="DY27" s="27">
        <v>149165</v>
      </c>
      <c r="DZ27" s="21">
        <f t="shared" si="53"/>
        <v>0.14928000660165863</v>
      </c>
      <c r="EA27" s="27">
        <v>43416</v>
      </c>
      <c r="EB27" s="27">
        <v>1920</v>
      </c>
      <c r="EC27" s="27">
        <f t="shared" si="54"/>
        <v>288916</v>
      </c>
      <c r="ED27" s="27">
        <v>334252</v>
      </c>
      <c r="EE27" s="27"/>
      <c r="EF27" s="27"/>
      <c r="EH27" s="21">
        <f t="shared" si="4"/>
        <v>0.11003666903241061</v>
      </c>
      <c r="EI27">
        <f>Pivot_Table_2012!K19</f>
        <v>29768</v>
      </c>
      <c r="EJ27" s="27">
        <f t="shared" si="5"/>
        <v>16209</v>
      </c>
      <c r="EK27" s="27"/>
      <c r="EL27" s="27">
        <f t="shared" si="55"/>
        <v>254319</v>
      </c>
      <c r="EM27">
        <f>Pivot_Table_2012!J19</f>
        <v>300296</v>
      </c>
      <c r="EP27" s="13">
        <f t="shared" si="56"/>
        <v>0.72443925199999992</v>
      </c>
      <c r="EQ27" s="13">
        <f t="shared" si="57"/>
        <v>0</v>
      </c>
      <c r="ER27" s="13">
        <f t="shared" si="58"/>
        <v>7.2695999999999996</v>
      </c>
      <c r="ES27" s="13">
        <f t="shared" si="59"/>
        <v>0.82422569999999995</v>
      </c>
      <c r="ET27" s="13">
        <f t="shared" si="60"/>
        <v>0.2056</v>
      </c>
      <c r="EU27" s="13">
        <f t="shared" si="61"/>
        <v>0.71290714285714296</v>
      </c>
      <c r="EV27" s="13">
        <f t="shared" si="62"/>
        <v>0.3302594538194929</v>
      </c>
      <c r="EW27" s="13">
        <f t="shared" si="63"/>
        <v>25.82357221397416</v>
      </c>
      <c r="EY27" s="13">
        <f t="shared" si="64"/>
        <v>0.72443925199999992</v>
      </c>
      <c r="EZ27" s="13">
        <f t="shared" si="65"/>
        <v>0</v>
      </c>
      <c r="FA27" s="13">
        <f t="shared" si="66"/>
        <v>6.6335099999999994</v>
      </c>
      <c r="FB27" s="13">
        <f t="shared" si="67"/>
        <v>1.1366896000000002</v>
      </c>
      <c r="FC27" s="13">
        <f t="shared" si="68"/>
        <v>0.71960000000000002</v>
      </c>
      <c r="FD27" s="13">
        <f t="shared" si="69"/>
        <v>0.63786428571428577</v>
      </c>
      <c r="FE27" s="13">
        <f t="shared" si="70"/>
        <v>0.27614055632198659</v>
      </c>
      <c r="FF27" s="13">
        <f t="shared" si="71"/>
        <v>23.54624471619239</v>
      </c>
      <c r="FH27" s="13">
        <f t="shared" si="72"/>
        <v>8.6154808359999997</v>
      </c>
      <c r="FI27" s="13">
        <f t="shared" si="73"/>
        <v>0</v>
      </c>
      <c r="FJ27" s="13">
        <f t="shared" si="74"/>
        <v>8.1771349999999998</v>
      </c>
      <c r="FK27" s="13">
        <f t="shared" si="75"/>
        <v>1.9810337000000002</v>
      </c>
      <c r="FL27" s="13">
        <f t="shared" si="76"/>
        <v>1.4392</v>
      </c>
      <c r="FM27" s="13">
        <f t="shared" si="77"/>
        <v>0.71290714285714296</v>
      </c>
      <c r="FN27" s="13">
        <f t="shared" si="78"/>
        <v>2.5173880030372058E-2</v>
      </c>
      <c r="FO27" s="13">
        <f t="shared" si="36"/>
        <v>30.078960011663991</v>
      </c>
      <c r="FQ27" s="13">
        <f t="shared" si="79"/>
        <v>9.154262932</v>
      </c>
      <c r="FR27" s="13">
        <f t="shared" si="80"/>
        <v>0</v>
      </c>
      <c r="FS27" s="13">
        <f t="shared" si="81"/>
        <v>6.2251775</v>
      </c>
      <c r="FT27" s="13">
        <f t="shared" si="82"/>
        <v>1.2493440388825234</v>
      </c>
      <c r="FU27" s="13">
        <f t="shared" si="83"/>
        <v>0.74913415418253237</v>
      </c>
      <c r="FV27" s="13">
        <f t="shared" si="84"/>
        <v>0.76293571428571427</v>
      </c>
      <c r="FW27" s="13">
        <f t="shared" si="85"/>
        <v>0</v>
      </c>
      <c r="FX27" s="13">
        <f t="shared" si="114"/>
        <v>20.672777435921809</v>
      </c>
      <c r="GA27" s="13">
        <f t="shared" si="86"/>
        <v>7.6640821679999993</v>
      </c>
      <c r="GB27" s="13">
        <f t="shared" si="87"/>
        <v>2.1590998529411767</v>
      </c>
      <c r="GC27" s="13">
        <f t="shared" si="88"/>
        <v>8.9190387211645223</v>
      </c>
      <c r="GD27" s="13">
        <f t="shared" si="89"/>
        <v>2.4643262575475609</v>
      </c>
      <c r="GE27" s="13">
        <f t="shared" si="90"/>
        <v>3.0956570278553688</v>
      </c>
      <c r="GF27" s="13">
        <f t="shared" si="91"/>
        <v>1.9290467889905645</v>
      </c>
      <c r="GG27" s="13">
        <f t="shared" si="92"/>
        <v>9.2881355932203383E-2</v>
      </c>
      <c r="GH27" s="13">
        <f t="shared" si="93"/>
        <v>21.445622392280196</v>
      </c>
      <c r="GI27" s="13"/>
      <c r="GJ27" s="13"/>
      <c r="GK27" s="13">
        <f t="shared" si="94"/>
        <v>3.9320911599999997</v>
      </c>
      <c r="GL27" s="13">
        <f t="shared" si="95"/>
        <v>1.1087107813446395</v>
      </c>
      <c r="GM27" s="13">
        <f t="shared" si="108"/>
        <v>5.8180393421475793</v>
      </c>
      <c r="GN27" s="13">
        <f t="shared" si="109"/>
        <v>0.87185208721252971</v>
      </c>
      <c r="GO27" s="13">
        <f t="shared" si="110"/>
        <v>2.4606300677686264</v>
      </c>
      <c r="GP27" s="13">
        <f t="shared" si="111"/>
        <v>1.5225386565353729</v>
      </c>
      <c r="GQ27" s="13">
        <f t="shared" si="112"/>
        <v>1.0250723380232438</v>
      </c>
      <c r="GR27" s="13">
        <f t="shared" si="113"/>
        <v>14.216065647616565</v>
      </c>
      <c r="GT27">
        <f>SUM(GT7:GT26)</f>
        <v>683.00199999999995</v>
      </c>
      <c r="GV27">
        <v>212321</v>
      </c>
      <c r="GW27" t="s">
        <v>68</v>
      </c>
      <c r="GY27" s="148">
        <f t="shared" si="96"/>
        <v>2156.1</v>
      </c>
      <c r="GZ27" s="148">
        <f t="shared" si="97"/>
        <v>2525.0529999999999</v>
      </c>
      <c r="HA27" s="148">
        <f t="shared" si="98"/>
        <v>2682.9610000000002</v>
      </c>
      <c r="HB27" s="149">
        <f t="shared" si="99"/>
        <v>2246.2139999999999</v>
      </c>
      <c r="HC27" s="149">
        <f t="shared" si="100"/>
        <v>1152.43</v>
      </c>
      <c r="HD27" s="149">
        <f>'Preliminary estimates - 2017'!AT24</f>
        <v>1999.088</v>
      </c>
      <c r="HF27" s="148">
        <f t="shared" si="101"/>
        <v>25.82357221397416</v>
      </c>
      <c r="HG27" s="148">
        <f t="shared" si="102"/>
        <v>23.54624471619239</v>
      </c>
      <c r="HH27" s="148">
        <f t="shared" si="103"/>
        <v>30.078960011663991</v>
      </c>
      <c r="HI27" s="148">
        <f t="shared" si="104"/>
        <v>20.672777435921809</v>
      </c>
      <c r="HJ27" s="148">
        <f t="shared" si="105"/>
        <v>21.445622392280196</v>
      </c>
      <c r="HK27" s="148">
        <f t="shared" si="0"/>
        <v>14.216065647616565</v>
      </c>
      <c r="HL27" s="148">
        <f>'Preliminary estimates - 2017'!AL24</f>
        <v>14.814875556304372</v>
      </c>
      <c r="HN27">
        <f>Prices!D22</f>
        <v>1987</v>
      </c>
      <c r="HO27" s="79">
        <f>Prices!E22</f>
        <v>1.2528888888888889</v>
      </c>
      <c r="HP27" s="16">
        <f>Prices!F22</f>
        <v>0</v>
      </c>
      <c r="HQ27" s="79">
        <f>Prices!G22</f>
        <v>4.6896639476181958</v>
      </c>
      <c r="HR27" s="16">
        <f>Prices!H22</f>
        <v>0</v>
      </c>
      <c r="HS27" s="79">
        <f>Prices!I22</f>
        <v>3.8673204516568735</v>
      </c>
      <c r="HT27" s="16">
        <f>Prices!J22</f>
        <v>0</v>
      </c>
      <c r="HU27" s="79">
        <f>Prices!K22</f>
        <v>2.9482676349116681</v>
      </c>
      <c r="HV27" s="16">
        <f>Prices!L22</f>
        <v>0</v>
      </c>
      <c r="HW27" s="79">
        <f>Prices!M22</f>
        <v>2.8599221789883269</v>
      </c>
      <c r="HX27" s="16">
        <f>Prices!N22</f>
        <v>0</v>
      </c>
      <c r="HY27" s="79">
        <f>Prices!O22</f>
        <v>7.8725982554947853</v>
      </c>
    </row>
    <row r="28" spans="2:233" x14ac:dyDescent="0.2">
      <c r="C28">
        <v>212322</v>
      </c>
      <c r="D28" t="s">
        <v>69</v>
      </c>
      <c r="H28" s="3"/>
      <c r="J28" s="3"/>
      <c r="K28" s="3"/>
      <c r="L28" s="3"/>
      <c r="M28" s="3"/>
      <c r="N28" s="3"/>
      <c r="O28" s="3"/>
      <c r="P28" s="3"/>
      <c r="Q28" s="3">
        <v>525700</v>
      </c>
      <c r="R28" s="3">
        <v>560091</v>
      </c>
      <c r="S28" s="30">
        <v>628958</v>
      </c>
      <c r="T28" s="78">
        <v>212322</v>
      </c>
      <c r="U28" s="91">
        <v>826597</v>
      </c>
      <c r="V28" s="91">
        <f>[3]Sheet1!D25</f>
        <v>773231</v>
      </c>
      <c r="W28" s="91"/>
      <c r="X28" s="23">
        <f t="shared" si="37"/>
        <v>594524.5</v>
      </c>
      <c r="Y28" s="33"/>
      <c r="Z28" s="33"/>
      <c r="AA28" s="33"/>
      <c r="AB28" s="3"/>
      <c r="AC28" s="3"/>
      <c r="AD28" s="6"/>
      <c r="AE28" s="6"/>
      <c r="AF28" s="6"/>
      <c r="AG28" s="6"/>
      <c r="AH28" s="6"/>
      <c r="AI28" s="6">
        <f>Pivot_Table_2012!C20</f>
        <v>0</v>
      </c>
      <c r="AJ28" s="6"/>
      <c r="AK28" s="6"/>
      <c r="AL28" s="6"/>
      <c r="AM28" s="16"/>
      <c r="AN28" s="8">
        <v>4.0999999999999996</v>
      </c>
      <c r="AO28" s="8">
        <v>150.9</v>
      </c>
      <c r="AP28" s="8">
        <v>4</v>
      </c>
      <c r="AQ28" s="8">
        <v>128.9</v>
      </c>
      <c r="AR28" s="8">
        <v>2797</v>
      </c>
      <c r="AS28" s="8">
        <v>87.6</v>
      </c>
      <c r="AT28" s="8">
        <v>5492</v>
      </c>
      <c r="AU28" s="8">
        <v>134.4</v>
      </c>
      <c r="AV28" s="58">
        <v>23966</v>
      </c>
      <c r="AW28" s="174">
        <f t="shared" si="38"/>
        <v>209.06997174766207</v>
      </c>
      <c r="AX28" s="6">
        <f>Pivot_Table_2012!E20</f>
        <v>23781</v>
      </c>
      <c r="AY28" s="174">
        <f t="shared" si="3"/>
        <v>148.25005660336328</v>
      </c>
      <c r="AZ28" s="16">
        <f t="shared" si="39"/>
        <v>111</v>
      </c>
      <c r="BA28" s="59">
        <v>1.8</v>
      </c>
      <c r="BB28" s="84">
        <f>BA28/(BC28*HW$12)*BD28</f>
        <v>118.70075187969925</v>
      </c>
      <c r="BC28" s="8">
        <v>0.7</v>
      </c>
      <c r="BD28" s="8">
        <v>36.799999999999997</v>
      </c>
      <c r="BE28" s="8">
        <v>824</v>
      </c>
      <c r="BF28" s="8">
        <v>33.299999999999997</v>
      </c>
      <c r="BG28" s="8">
        <v>1457</v>
      </c>
      <c r="BH28" s="84">
        <f>BG28/(BE28*HV$14)*BF28</f>
        <v>45.026791833238136</v>
      </c>
      <c r="BI28" s="14">
        <v>7418</v>
      </c>
      <c r="BJ28" s="174">
        <f t="shared" si="40"/>
        <v>93.463643916516133</v>
      </c>
      <c r="BK28" s="8">
        <f>Pivot_Table_2012!I20</f>
        <v>6759</v>
      </c>
      <c r="BL28" s="174">
        <f t="shared" si="26"/>
        <v>44.79031666887181</v>
      </c>
      <c r="BM28" s="115">
        <f t="shared" si="41"/>
        <v>39.163395916619066</v>
      </c>
      <c r="BN28" s="8">
        <v>14.3</v>
      </c>
      <c r="BO28" s="8">
        <v>5.5</v>
      </c>
      <c r="BP28" s="8">
        <v>13.3</v>
      </c>
      <c r="BQ28" s="8">
        <v>5.9</v>
      </c>
      <c r="BR28" s="8">
        <v>17103</v>
      </c>
      <c r="BS28" s="8">
        <v>6.4</v>
      </c>
      <c r="BT28" s="8">
        <v>17901</v>
      </c>
      <c r="BU28" s="8">
        <v>5.2</v>
      </c>
      <c r="BV28" s="8"/>
      <c r="BW28" s="8">
        <v>36943</v>
      </c>
      <c r="BX28" s="169">
        <f>BW28/(BT28*BX$4)*BU28</f>
        <v>5.6172408315177913</v>
      </c>
      <c r="BY28" s="8">
        <f>Pivot_Table_2012!F20</f>
        <v>15396</v>
      </c>
      <c r="BZ28" s="169">
        <f t="shared" si="34"/>
        <v>4.6337039283067165</v>
      </c>
      <c r="CA28" s="16">
        <f t="shared" si="115"/>
        <v>5.8000000000000007</v>
      </c>
      <c r="CB28" s="8">
        <v>0.7</v>
      </c>
      <c r="CC28" s="8">
        <v>0.7</v>
      </c>
      <c r="CD28" s="8">
        <v>0.4</v>
      </c>
      <c r="CE28" s="8">
        <v>0.4</v>
      </c>
      <c r="CF28" s="59">
        <v>500</v>
      </c>
      <c r="CG28" s="59">
        <v>0.5</v>
      </c>
      <c r="CH28" s="8"/>
      <c r="CI28" s="8"/>
      <c r="CJ28" s="8">
        <v>2313</v>
      </c>
      <c r="CK28" s="99">
        <f>CJ28/HQ$15*0.001</f>
        <v>1.0069656073138877</v>
      </c>
      <c r="CL28" s="8">
        <f>Pivot_Table_2012!G20</f>
        <v>5437</v>
      </c>
      <c r="CM28" s="174">
        <f t="shared" si="42"/>
        <v>1.6914804677841595</v>
      </c>
      <c r="CN28" s="16">
        <f t="shared" si="35"/>
        <v>0.25</v>
      </c>
      <c r="CO28" s="6">
        <v>1.5</v>
      </c>
      <c r="CP28" s="93">
        <f t="shared" si="116"/>
        <v>0.19053430028047666</v>
      </c>
      <c r="CQ28" s="59">
        <v>1.8</v>
      </c>
      <c r="CR28" s="93">
        <f t="shared" si="117"/>
        <v>0.23669190541884566</v>
      </c>
      <c r="CS28" s="8">
        <v>1235</v>
      </c>
      <c r="CT28" s="122">
        <f t="shared" si="43"/>
        <v>0.12847000759301444</v>
      </c>
      <c r="CU28" s="6"/>
      <c r="CV28" s="6"/>
      <c r="CW28" s="6"/>
      <c r="CX28" s="6"/>
      <c r="CY28" s="141">
        <f t="shared" si="27"/>
        <v>33650</v>
      </c>
      <c r="CZ28" s="122">
        <f t="shared" si="44"/>
        <v>2.1280575096848762</v>
      </c>
      <c r="DA28" s="121">
        <f t="shared" si="45"/>
        <v>0.31696428571428581</v>
      </c>
      <c r="DB28" s="131">
        <v>7.1</v>
      </c>
      <c r="DC28" s="137">
        <f t="shared" si="106"/>
        <v>29.5</v>
      </c>
      <c r="DD28" s="116">
        <f t="shared" si="46"/>
        <v>22.4</v>
      </c>
      <c r="DE28" s="133">
        <f t="shared" si="47"/>
        <v>22.4</v>
      </c>
      <c r="DF28" s="131">
        <v>29.5</v>
      </c>
      <c r="DG28" s="8"/>
      <c r="DH28" s="140">
        <f t="shared" si="48"/>
        <v>0.22772277227722748</v>
      </c>
      <c r="DI28" s="131">
        <v>4.5999999999999996</v>
      </c>
      <c r="DJ28" s="137">
        <f t="shared" si="107"/>
        <v>24.799999999999997</v>
      </c>
      <c r="DK28" s="131">
        <f t="shared" si="49"/>
        <v>20.2</v>
      </c>
      <c r="DL28" s="136">
        <f t="shared" si="50"/>
        <v>20.2</v>
      </c>
      <c r="DM28" s="8">
        <v>24.8</v>
      </c>
      <c r="DN28" s="8"/>
      <c r="DO28" s="121">
        <f t="shared" si="51"/>
        <v>0.12833173118937347</v>
      </c>
      <c r="DP28">
        <v>2937</v>
      </c>
      <c r="DS28" s="34">
        <f t="shared" si="52"/>
        <v>22459</v>
      </c>
      <c r="DT28">
        <v>25823</v>
      </c>
      <c r="DU28" s="21">
        <v>0.15</v>
      </c>
      <c r="DV28" s="110"/>
      <c r="DW28" s="110"/>
      <c r="DX28" s="33"/>
      <c r="DY28" s="27">
        <v>32975</v>
      </c>
      <c r="DZ28" s="21">
        <f t="shared" si="53"/>
        <v>3.3946772366930889E-2</v>
      </c>
      <c r="EA28" s="27"/>
      <c r="EB28" s="27"/>
      <c r="EC28" s="27">
        <f t="shared" si="54"/>
        <v>70640</v>
      </c>
      <c r="ED28" s="27">
        <v>73038</v>
      </c>
      <c r="EE28" s="27"/>
      <c r="EF28" s="27"/>
      <c r="EH28" s="21">
        <f t="shared" si="4"/>
        <v>0</v>
      </c>
      <c r="EI28">
        <f>Pivot_Table_2012!K20</f>
        <v>0</v>
      </c>
      <c r="EJ28" s="27">
        <f t="shared" si="5"/>
        <v>33650</v>
      </c>
      <c r="EK28" s="27"/>
      <c r="EL28" s="27">
        <f t="shared" si="55"/>
        <v>51373</v>
      </c>
      <c r="EM28">
        <f>Pivot_Table_2012!J20</f>
        <v>85023</v>
      </c>
      <c r="EP28" s="13">
        <f t="shared" si="56"/>
        <v>0.7244426639999999</v>
      </c>
      <c r="EQ28" s="13">
        <f t="shared" si="57"/>
        <v>0</v>
      </c>
      <c r="ER28" s="13">
        <f t="shared" si="58"/>
        <v>0.87899249999999995</v>
      </c>
      <c r="ES28" s="13">
        <f t="shared" si="59"/>
        <v>0.74627162706766925</v>
      </c>
      <c r="ET28" s="13">
        <f t="shared" si="60"/>
        <v>5.6539999999999999</v>
      </c>
      <c r="EU28" s="13">
        <f t="shared" si="61"/>
        <v>8.7550000000000003E-2</v>
      </c>
      <c r="EV28" s="13">
        <f t="shared" si="62"/>
        <v>0.19053430028047666</v>
      </c>
      <c r="EW28" s="13">
        <f t="shared" si="63"/>
        <v>9.9527579735165332</v>
      </c>
      <c r="EY28" s="13">
        <f t="shared" si="64"/>
        <v>0.7244426639999999</v>
      </c>
      <c r="EZ28" s="13">
        <f t="shared" si="65"/>
        <v>0</v>
      </c>
      <c r="FA28" s="13">
        <f t="shared" si="66"/>
        <v>0.75084249999999997</v>
      </c>
      <c r="FB28" s="13">
        <f t="shared" si="67"/>
        <v>0.23136159999999997</v>
      </c>
      <c r="FC28" s="13">
        <f t="shared" si="68"/>
        <v>6.0652000000000008</v>
      </c>
      <c r="FD28" s="13">
        <f t="shared" si="69"/>
        <v>5.0028571428571436E-2</v>
      </c>
      <c r="FE28" s="13">
        <f t="shared" si="70"/>
        <v>0.23669190541884566</v>
      </c>
      <c r="FF28" s="13">
        <f t="shared" si="71"/>
        <v>9.0042717577136582</v>
      </c>
      <c r="FH28" s="13">
        <f t="shared" si="72"/>
        <v>1.9110304919999999</v>
      </c>
      <c r="FI28" s="13">
        <f t="shared" si="73"/>
        <v>0</v>
      </c>
      <c r="FJ28" s="13">
        <f t="shared" si="74"/>
        <v>0.51026999999999989</v>
      </c>
      <c r="FK28" s="13">
        <f t="shared" si="75"/>
        <v>0.20935709999999999</v>
      </c>
      <c r="FL28" s="13">
        <f t="shared" si="76"/>
        <v>6.5792000000000002</v>
      </c>
      <c r="FM28" s="13">
        <f t="shared" si="77"/>
        <v>6.2535714285714292E-2</v>
      </c>
      <c r="FN28" s="13">
        <f t="shared" si="78"/>
        <v>0.12847000759301444</v>
      </c>
      <c r="FO28" s="13">
        <f t="shared" si="36"/>
        <v>8.4510160342294167</v>
      </c>
      <c r="FQ28" s="13">
        <f t="shared" si="79"/>
        <v>2.1460046959999999</v>
      </c>
      <c r="FR28" s="13">
        <f t="shared" si="80"/>
        <v>0</v>
      </c>
      <c r="FS28" s="13">
        <f t="shared" si="81"/>
        <v>0.78287999999999991</v>
      </c>
      <c r="FT28" s="13">
        <f t="shared" si="82"/>
        <v>0.28308344025556814</v>
      </c>
      <c r="FU28" s="13">
        <f t="shared" si="83"/>
        <v>5.3456000000000001</v>
      </c>
      <c r="FV28" s="13">
        <f t="shared" si="84"/>
        <v>0</v>
      </c>
      <c r="FW28" s="13">
        <f t="shared" si="85"/>
        <v>0</v>
      </c>
      <c r="FX28" s="13">
        <f t="shared" si="114"/>
        <v>7.3732979562939027</v>
      </c>
      <c r="GA28" s="13">
        <f t="shared" si="86"/>
        <v>2.8203489639999999</v>
      </c>
      <c r="GB28" s="13">
        <f t="shared" si="87"/>
        <v>0</v>
      </c>
      <c r="GC28" s="13">
        <f t="shared" si="88"/>
        <v>1.2178325854301315</v>
      </c>
      <c r="GD28" s="13">
        <f t="shared" si="89"/>
        <v>0.58760592930313693</v>
      </c>
      <c r="GE28" s="13">
        <f t="shared" si="90"/>
        <v>5.7745235748002894</v>
      </c>
      <c r="GF28" s="13">
        <f t="shared" si="91"/>
        <v>0.1259426270290441</v>
      </c>
      <c r="GG28" s="13">
        <f t="shared" si="92"/>
        <v>0</v>
      </c>
      <c r="GH28" s="13">
        <f t="shared" si="93"/>
        <v>7.9674953098570116</v>
      </c>
      <c r="GI28" s="13"/>
      <c r="GJ28" s="13"/>
      <c r="GK28" s="13">
        <f t="shared" si="94"/>
        <v>2.638264172</v>
      </c>
      <c r="GL28" s="13">
        <f t="shared" si="95"/>
        <v>0</v>
      </c>
      <c r="GM28" s="13">
        <f t="shared" si="108"/>
        <v>0.86355657971459099</v>
      </c>
      <c r="GN28" s="13">
        <f t="shared" si="109"/>
        <v>0.28159672089719706</v>
      </c>
      <c r="GO28" s="13">
        <f t="shared" si="110"/>
        <v>4.7634476382993043</v>
      </c>
      <c r="GP28" s="13">
        <f t="shared" si="111"/>
        <v>0.21155587850643312</v>
      </c>
      <c r="GQ28" s="13">
        <f t="shared" si="112"/>
        <v>2.1280575096848762</v>
      </c>
      <c r="GR28" s="13">
        <f t="shared" si="113"/>
        <v>8.2482143271024029</v>
      </c>
      <c r="GV28">
        <v>212322</v>
      </c>
      <c r="GW28" t="s">
        <v>69</v>
      </c>
      <c r="GY28" s="148">
        <f t="shared" si="96"/>
        <v>525.70000000000005</v>
      </c>
      <c r="GZ28" s="148">
        <f t="shared" si="97"/>
        <v>560.09100000000001</v>
      </c>
      <c r="HA28" s="148">
        <f t="shared" si="98"/>
        <v>628.95799999999997</v>
      </c>
      <c r="HB28" s="149">
        <f t="shared" si="99"/>
        <v>826.59699999999998</v>
      </c>
      <c r="HC28" s="149">
        <f t="shared" si="100"/>
        <v>773.23099999999999</v>
      </c>
      <c r="HD28" s="149">
        <f>'Preliminary estimates - 2017'!AT25</f>
        <v>951.92500000000007</v>
      </c>
      <c r="HF28" s="148">
        <f t="shared" si="101"/>
        <v>9.9527579735165332</v>
      </c>
      <c r="HG28" s="148">
        <f t="shared" si="102"/>
        <v>9.0042717577136582</v>
      </c>
      <c r="HH28" s="148">
        <f t="shared" si="103"/>
        <v>8.4510160342294167</v>
      </c>
      <c r="HI28" s="148">
        <f t="shared" si="104"/>
        <v>7.3732979562939027</v>
      </c>
      <c r="HJ28" s="148">
        <f t="shared" si="105"/>
        <v>7.9674953098570116</v>
      </c>
      <c r="HK28" s="148">
        <f t="shared" si="0"/>
        <v>8.2482143271024029</v>
      </c>
      <c r="HL28" s="148">
        <f>'Preliminary estimates - 2017'!AL25</f>
        <v>12.537648535490751</v>
      </c>
      <c r="HN28">
        <f>Prices!D23</f>
        <v>1992</v>
      </c>
      <c r="HO28" s="79">
        <f>Prices!E23</f>
        <v>1.1902222222222223</v>
      </c>
      <c r="HP28" s="16">
        <f>Prices!F23</f>
        <v>0</v>
      </c>
      <c r="HQ28" s="79">
        <f>Prices!G23</f>
        <v>5.5751595664195213</v>
      </c>
      <c r="HR28" s="16">
        <f>Prices!H23</f>
        <v>0</v>
      </c>
      <c r="HS28" s="79">
        <f>Prices!I23</f>
        <v>4.5928479065740753</v>
      </c>
      <c r="HT28" s="16">
        <f>Prices!J23</f>
        <v>0</v>
      </c>
      <c r="HU28" s="79">
        <f>Prices!K23</f>
        <v>2.3503672054540568</v>
      </c>
      <c r="HV28" s="16">
        <f>Prices!L23</f>
        <v>0</v>
      </c>
      <c r="HW28" s="79">
        <f>Prices!M23</f>
        <v>2.7626459143968871</v>
      </c>
      <c r="HX28" s="16">
        <f>Prices!N23</f>
        <v>0</v>
      </c>
      <c r="HY28" s="79">
        <f>Prices!O23</f>
        <v>7.6048228046276156</v>
      </c>
    </row>
    <row r="29" spans="2:233" x14ac:dyDescent="0.2">
      <c r="C29">
        <v>212324</v>
      </c>
      <c r="D29" t="s">
        <v>30</v>
      </c>
      <c r="G29">
        <v>35</v>
      </c>
      <c r="H29" s="3">
        <v>3630</v>
      </c>
      <c r="I29">
        <v>33</v>
      </c>
      <c r="J29" s="3">
        <v>3166</v>
      </c>
      <c r="K29" s="3"/>
      <c r="L29" s="3"/>
      <c r="M29" s="3"/>
      <c r="N29" s="3"/>
      <c r="O29" s="3"/>
      <c r="P29" s="3"/>
      <c r="Q29" s="3">
        <v>860200</v>
      </c>
      <c r="R29" s="3">
        <v>1112667</v>
      </c>
      <c r="S29" s="3">
        <v>1002681</v>
      </c>
      <c r="T29" s="78">
        <v>212324</v>
      </c>
      <c r="U29" s="91">
        <v>846241</v>
      </c>
      <c r="V29" s="91">
        <f>[3]Sheet1!D26</f>
        <v>753513</v>
      </c>
      <c r="W29" s="91"/>
      <c r="X29" s="23">
        <f t="shared" si="37"/>
        <v>1057674</v>
      </c>
      <c r="Y29" s="33"/>
      <c r="Z29" s="33"/>
      <c r="AA29" s="33"/>
      <c r="AB29" s="3"/>
      <c r="AC29" s="3"/>
      <c r="AD29" s="6"/>
      <c r="AE29" s="6"/>
      <c r="AF29" s="6"/>
      <c r="AG29" s="6"/>
      <c r="AH29" s="6"/>
      <c r="AI29" s="6">
        <f>Pivot_Table_2012!C21</f>
        <v>0</v>
      </c>
      <c r="AJ29" s="6"/>
      <c r="AK29" s="6"/>
      <c r="AL29" s="6"/>
      <c r="AM29" s="16">
        <f>(AD29+AF29)/2</f>
        <v>0</v>
      </c>
      <c r="AN29" s="8">
        <v>1.5</v>
      </c>
      <c r="AO29" s="8">
        <v>58.4</v>
      </c>
      <c r="AP29" s="8">
        <v>3</v>
      </c>
      <c r="AQ29" s="8">
        <v>102.1</v>
      </c>
      <c r="AR29" s="118">
        <f>(HS$13*42)*AS29</f>
        <v>2998.8</v>
      </c>
      <c r="AS29" s="59">
        <v>100</v>
      </c>
      <c r="AT29" s="8">
        <v>2053</v>
      </c>
      <c r="AU29" s="6">
        <v>47.8</v>
      </c>
      <c r="AV29" s="58">
        <v>10913</v>
      </c>
      <c r="AW29" s="174">
        <f>AV29/(AR29*AW$4)*AU29</f>
        <v>62.008598413811853</v>
      </c>
      <c r="AX29" s="6">
        <f>Pivot_Table_2012!E21</f>
        <v>0</v>
      </c>
      <c r="AY29" s="174">
        <f t="shared" si="3"/>
        <v>0</v>
      </c>
      <c r="AZ29" s="16">
        <f t="shared" si="39"/>
        <v>73.900000000000006</v>
      </c>
      <c r="BA29" s="6"/>
      <c r="BB29" s="6"/>
      <c r="BC29" s="6"/>
      <c r="BD29" s="6"/>
      <c r="BE29" s="59">
        <f>7000-2400</f>
        <v>4600</v>
      </c>
      <c r="BF29" s="118">
        <f>BE29/(HU$13*42)</f>
        <v>255.30025530025529</v>
      </c>
      <c r="BG29" s="59">
        <v>3000</v>
      </c>
      <c r="BH29" s="118">
        <f>BG29/(HU$14*42)</f>
        <v>127.32365673542144</v>
      </c>
      <c r="BI29" s="6"/>
      <c r="BJ29" s="175"/>
      <c r="BK29" s="6">
        <f>Pivot_Table_2012!I21</f>
        <v>0</v>
      </c>
      <c r="BL29" s="174"/>
      <c r="BM29" s="16"/>
      <c r="BN29" s="8">
        <v>42.4</v>
      </c>
      <c r="BO29" s="8">
        <v>15.2</v>
      </c>
      <c r="BP29" s="8">
        <v>33.200000000000003</v>
      </c>
      <c r="BQ29" s="8">
        <v>16.100000000000001</v>
      </c>
      <c r="BR29" s="6">
        <v>43932</v>
      </c>
      <c r="BS29" s="6">
        <v>14</v>
      </c>
      <c r="BT29" s="6">
        <f>BU29*HW$14*1000</f>
        <v>49086.082644628092</v>
      </c>
      <c r="BU29" s="6">
        <f>$J29/$H29*BS29</f>
        <v>12.210468319559228</v>
      </c>
      <c r="BW29" s="8">
        <v>86135</v>
      </c>
      <c r="BX29" s="122">
        <f>BW29/HW$15*0.001</f>
        <v>11.215494791666668</v>
      </c>
      <c r="BY29" s="8">
        <f>Pivot_Table_2012!F21</f>
        <v>58011</v>
      </c>
      <c r="BZ29" s="169">
        <f t="shared" si="34"/>
        <v>14.951288659793816</v>
      </c>
      <c r="CA29" s="16">
        <f t="shared" si="115"/>
        <v>13.105234159779613</v>
      </c>
      <c r="CB29" s="6"/>
      <c r="CC29" s="6"/>
      <c r="CD29" s="8">
        <v>0.6</v>
      </c>
      <c r="CE29" s="8">
        <v>0.6</v>
      </c>
      <c r="CF29" s="6">
        <v>805</v>
      </c>
      <c r="CG29" s="6">
        <v>0.7</v>
      </c>
      <c r="CH29" s="6">
        <v>344</v>
      </c>
      <c r="CI29" s="6">
        <v>0.3</v>
      </c>
      <c r="CJ29" s="59">
        <v>1000</v>
      </c>
      <c r="CK29" s="174">
        <f>CJ29/HQ$15*0.001</f>
        <v>0.43535045711797993</v>
      </c>
      <c r="CL29" s="8">
        <f>Pivot_Table_2012!G21</f>
        <v>6177</v>
      </c>
      <c r="CM29" s="174">
        <f t="shared" si="42"/>
        <v>1.9216985193126268</v>
      </c>
      <c r="CN29" s="16">
        <f t="shared" si="35"/>
        <v>0.5</v>
      </c>
      <c r="CO29" s="8">
        <v>0.2</v>
      </c>
      <c r="CP29" s="93">
        <f t="shared" si="116"/>
        <v>2.5404573370730224E-2</v>
      </c>
      <c r="CQ29" s="8">
        <v>0.3</v>
      </c>
      <c r="CR29" s="93">
        <f t="shared" si="117"/>
        <v>3.9448650903140939E-2</v>
      </c>
      <c r="CS29" s="8">
        <v>582</v>
      </c>
      <c r="CT29" s="122">
        <f t="shared" si="43"/>
        <v>6.054214123006834E-2</v>
      </c>
      <c r="CU29" s="6">
        <v>548</v>
      </c>
      <c r="CV29" s="93">
        <f>HY$40*0.001*CU29</f>
        <v>5.2244954766875434E-2</v>
      </c>
      <c r="CW29" s="92">
        <v>1000</v>
      </c>
      <c r="CX29" s="122">
        <f>HY$41*0.001*CW29</f>
        <v>4.8375706214689264E-2</v>
      </c>
      <c r="CY29" s="141">
        <f t="shared" si="27"/>
        <v>13942</v>
      </c>
      <c r="CZ29" s="122">
        <f t="shared" si="44"/>
        <v>0.88170513521624205</v>
      </c>
      <c r="DA29" s="121">
        <f t="shared" si="45"/>
        <v>9.8814229249011287E-3</v>
      </c>
      <c r="DB29" s="131">
        <v>0.5</v>
      </c>
      <c r="DC29" s="137">
        <f t="shared" si="106"/>
        <v>44.6</v>
      </c>
      <c r="DD29" s="116">
        <f t="shared" si="46"/>
        <v>44.1</v>
      </c>
      <c r="DE29" s="133">
        <f t="shared" si="47"/>
        <v>44.1</v>
      </c>
      <c r="DF29" s="131">
        <v>51.1</v>
      </c>
      <c r="DG29" s="131"/>
      <c r="DH29" s="140">
        <f t="shared" si="48"/>
        <v>1.2019230769230838E-2</v>
      </c>
      <c r="DI29" s="138">
        <v>0.5</v>
      </c>
      <c r="DJ29" s="137">
        <f t="shared" si="107"/>
        <v>37.6</v>
      </c>
      <c r="DK29" s="131">
        <f t="shared" si="49"/>
        <v>37.1</v>
      </c>
      <c r="DL29" s="136">
        <f t="shared" si="50"/>
        <v>37.1</v>
      </c>
      <c r="DM29" s="131">
        <v>42.1</v>
      </c>
      <c r="DN29" s="131"/>
      <c r="DO29" s="123">
        <f t="shared" si="51"/>
        <v>4.5290913545809275E-2</v>
      </c>
      <c r="DP29">
        <v>2403</v>
      </c>
      <c r="DS29" s="34">
        <f t="shared" si="52"/>
        <v>52917.8</v>
      </c>
      <c r="DT29">
        <v>55460</v>
      </c>
      <c r="DU29" s="21">
        <f>DY29/DX29-1</f>
        <v>9.4345179230790999E-2</v>
      </c>
      <c r="DV29">
        <v>4843</v>
      </c>
      <c r="DX29" s="33">
        <f>AE29+AT29+BG29+CH29+BT29+CU29</f>
        <v>55031.082644628092</v>
      </c>
      <c r="DY29" s="27">
        <v>60223</v>
      </c>
      <c r="DZ29" s="21">
        <f t="shared" si="53"/>
        <v>0.13375081592689297</v>
      </c>
      <c r="EA29" s="27">
        <v>2610</v>
      </c>
      <c r="EB29" s="27"/>
      <c r="EC29" s="27">
        <f t="shared" si="54"/>
        <v>98048</v>
      </c>
      <c r="ED29" s="27">
        <v>111162</v>
      </c>
      <c r="EE29" s="27"/>
      <c r="EF29" s="27"/>
      <c r="EH29" s="21">
        <f t="shared" si="4"/>
        <v>0</v>
      </c>
      <c r="EI29">
        <f>Pivot_Table_2012!K21</f>
        <v>0</v>
      </c>
      <c r="EJ29" s="27">
        <f t="shared" si="5"/>
        <v>13942</v>
      </c>
      <c r="EK29" s="27"/>
      <c r="EL29" s="27">
        <f t="shared" si="55"/>
        <v>64188</v>
      </c>
      <c r="EM29">
        <f>Pivot_Table_2012!J21</f>
        <v>78130</v>
      </c>
      <c r="EP29" s="13">
        <f t="shared" si="56"/>
        <v>0.72444948799999997</v>
      </c>
      <c r="EQ29" s="13">
        <f t="shared" si="57"/>
        <v>0</v>
      </c>
      <c r="ER29" s="13">
        <f t="shared" si="58"/>
        <v>0.34017999999999998</v>
      </c>
      <c r="ES29" s="13">
        <f t="shared" si="59"/>
        <v>0</v>
      </c>
      <c r="ET29" s="13">
        <f t="shared" si="60"/>
        <v>15.6256</v>
      </c>
      <c r="EU29" s="13">
        <f t="shared" si="61"/>
        <v>0</v>
      </c>
      <c r="EV29" s="13">
        <f t="shared" si="62"/>
        <v>2.5404573370730224E-2</v>
      </c>
      <c r="EW29" s="13">
        <f t="shared" si="63"/>
        <v>16.149200231210362</v>
      </c>
      <c r="EY29" s="13">
        <f t="shared" si="64"/>
        <v>0.72444948799999997</v>
      </c>
      <c r="EZ29" s="13">
        <f t="shared" si="65"/>
        <v>0</v>
      </c>
      <c r="FA29" s="13">
        <f t="shared" si="66"/>
        <v>0.59473249999999989</v>
      </c>
      <c r="FB29" s="13">
        <f t="shared" si="67"/>
        <v>0</v>
      </c>
      <c r="FC29" s="13">
        <f t="shared" si="68"/>
        <v>16.550800000000002</v>
      </c>
      <c r="FD29" s="13">
        <f t="shared" si="69"/>
        <v>7.5042857142857147E-2</v>
      </c>
      <c r="FE29" s="13">
        <f t="shared" si="70"/>
        <v>3.9448650903140939E-2</v>
      </c>
      <c r="FF29" s="13">
        <f t="shared" si="71"/>
        <v>17.467476219681167</v>
      </c>
      <c r="FH29" s="13">
        <f t="shared" si="72"/>
        <v>3.7964198039999997</v>
      </c>
      <c r="FI29" s="13">
        <f t="shared" si="73"/>
        <v>0</v>
      </c>
      <c r="FJ29" s="13">
        <f t="shared" si="74"/>
        <v>0.58249999999999991</v>
      </c>
      <c r="FK29" s="13">
        <f t="shared" si="75"/>
        <v>1.6050727050727049</v>
      </c>
      <c r="FL29" s="13">
        <f t="shared" si="76"/>
        <v>14.391999999999999</v>
      </c>
      <c r="FM29" s="13">
        <f t="shared" si="77"/>
        <v>8.7550000000000003E-2</v>
      </c>
      <c r="FN29" s="13">
        <f t="shared" si="78"/>
        <v>6.054214123006834E-2</v>
      </c>
      <c r="FO29" s="13">
        <f t="shared" si="36"/>
        <v>17.485276068679944</v>
      </c>
      <c r="FQ29" s="13">
        <f t="shared" si="79"/>
        <v>3.4211475719999997</v>
      </c>
      <c r="FR29" s="13">
        <f t="shared" si="80"/>
        <v>0</v>
      </c>
      <c r="FS29" s="13">
        <f t="shared" si="81"/>
        <v>0.27843499999999993</v>
      </c>
      <c r="FT29" s="13">
        <f t="shared" si="82"/>
        <v>0.80048382989559463</v>
      </c>
      <c r="FU29" s="13">
        <f t="shared" si="83"/>
        <v>12.552361432506887</v>
      </c>
      <c r="FV29" s="13">
        <f t="shared" si="84"/>
        <v>3.7521428571428574E-2</v>
      </c>
      <c r="FW29" s="13">
        <f t="shared" si="85"/>
        <v>5.2244954766875434E-2</v>
      </c>
      <c r="FX29" s="13">
        <f t="shared" si="114"/>
        <v>15.015561250767243</v>
      </c>
      <c r="GA29" s="13">
        <f t="shared" si="86"/>
        <v>2.8873742919999996</v>
      </c>
      <c r="GB29" s="13">
        <f t="shared" si="87"/>
        <v>0</v>
      </c>
      <c r="GC29" s="13">
        <f t="shared" si="88"/>
        <v>0.36120008576045404</v>
      </c>
      <c r="GD29" s="13">
        <f t="shared" si="89"/>
        <v>0</v>
      </c>
      <c r="GE29" s="13">
        <f t="shared" si="90"/>
        <v>11.529528645833334</v>
      </c>
      <c r="GF29" s="13">
        <f t="shared" si="91"/>
        <v>5.4449903600970212E-2</v>
      </c>
      <c r="GG29" s="13">
        <f t="shared" si="92"/>
        <v>4.8375706214689264E-2</v>
      </c>
      <c r="GH29" s="13">
        <f t="shared" si="93"/>
        <v>13.597702020436492</v>
      </c>
      <c r="GI29" s="13"/>
      <c r="GJ29" s="13"/>
      <c r="GK29" s="13">
        <f t="shared" si="94"/>
        <v>2.5709863559999997</v>
      </c>
      <c r="GL29" s="13">
        <f t="shared" si="95"/>
        <v>0</v>
      </c>
      <c r="GM29" s="13">
        <f t="shared" si="108"/>
        <v>0</v>
      </c>
      <c r="GN29" s="13">
        <f t="shared" si="109"/>
        <v>0</v>
      </c>
      <c r="GO29" s="13">
        <f t="shared" si="110"/>
        <v>15.369924742268044</v>
      </c>
      <c r="GP29" s="13">
        <f t="shared" si="111"/>
        <v>0.24034957909402926</v>
      </c>
      <c r="GQ29" s="13">
        <f t="shared" si="112"/>
        <v>0.88170513521624205</v>
      </c>
      <c r="GR29" s="13">
        <f t="shared" si="113"/>
        <v>16.491979456578317</v>
      </c>
      <c r="GV29">
        <v>212324</v>
      </c>
      <c r="GW29" t="s">
        <v>30</v>
      </c>
      <c r="GY29" s="148">
        <f t="shared" si="96"/>
        <v>860.2</v>
      </c>
      <c r="GZ29" s="148">
        <f t="shared" si="97"/>
        <v>1112.6669999999999</v>
      </c>
      <c r="HA29" s="148">
        <f t="shared" si="98"/>
        <v>1002.681</v>
      </c>
      <c r="HB29" s="149">
        <f t="shared" si="99"/>
        <v>846.24099999999999</v>
      </c>
      <c r="HC29" s="149">
        <f t="shared" si="100"/>
        <v>753.51300000000003</v>
      </c>
      <c r="HD29" s="149">
        <f>'Preliminary estimates - 2017'!AT26</f>
        <v>890.06100000000004</v>
      </c>
      <c r="HF29" s="148">
        <f t="shared" si="101"/>
        <v>16.149200231210362</v>
      </c>
      <c r="HG29" s="148">
        <f t="shared" si="102"/>
        <v>17.467476219681167</v>
      </c>
      <c r="HH29" s="148">
        <f t="shared" si="103"/>
        <v>17.485276068679944</v>
      </c>
      <c r="HI29" s="148">
        <f t="shared" si="104"/>
        <v>15.015561250767243</v>
      </c>
      <c r="HJ29" s="148">
        <f t="shared" si="105"/>
        <v>13.597702020436492</v>
      </c>
      <c r="HK29" s="148">
        <f t="shared" si="0"/>
        <v>16.491979456578317</v>
      </c>
      <c r="HL29" s="148">
        <f>'Preliminary estimates - 2017'!AL26</f>
        <v>11.810661427180856</v>
      </c>
      <c r="HN29">
        <f>Prices!D24</f>
        <v>1997</v>
      </c>
      <c r="HO29" s="79">
        <f>Prices!E24</f>
        <v>1.0951111111111111</v>
      </c>
      <c r="HP29" s="16">
        <f>Prices!F24</f>
        <v>0</v>
      </c>
      <c r="HQ29" s="79">
        <f>Prices!G24</f>
        <v>6.3040152963671128</v>
      </c>
      <c r="HR29" s="16">
        <f>Prices!H24</f>
        <v>0</v>
      </c>
      <c r="HS29" s="79">
        <f>Prices!I24</f>
        <v>5.1481545064377681</v>
      </c>
      <c r="HT29" s="16">
        <f>Prices!J24</f>
        <v>0</v>
      </c>
      <c r="HU29" s="79">
        <f>Prices!K24</f>
        <v>2.8659137903610628</v>
      </c>
      <c r="HV29" s="16">
        <f>Prices!L24</f>
        <v>0</v>
      </c>
      <c r="HW29" s="79">
        <f>Prices!M24</f>
        <v>3.4922178988326844</v>
      </c>
      <c r="HX29" s="16">
        <f>Prices!N24</f>
        <v>0</v>
      </c>
      <c r="HY29" s="79">
        <f>Prices!O24</f>
        <v>9.6131386861313874</v>
      </c>
    </row>
    <row r="30" spans="2:233" x14ac:dyDescent="0.2">
      <c r="C30">
        <v>212325</v>
      </c>
      <c r="D30" s="60" t="s">
        <v>169</v>
      </c>
      <c r="Q30" s="3">
        <v>458800</v>
      </c>
      <c r="R30" s="3">
        <v>434277</v>
      </c>
      <c r="S30" s="3">
        <v>433470</v>
      </c>
      <c r="T30" s="78">
        <v>212325</v>
      </c>
      <c r="U30" s="91">
        <v>465663</v>
      </c>
      <c r="V30" s="91">
        <f>[3]Sheet1!D27</f>
        <v>369722</v>
      </c>
      <c r="W30" s="91"/>
      <c r="X30" s="124">
        <f t="shared" si="37"/>
        <v>433873.5</v>
      </c>
      <c r="Y30" s="144">
        <v>7.7</v>
      </c>
      <c r="Z30" s="104">
        <f>Y30/(AA30/AB30/HP11)</f>
        <v>224.39719119656911</v>
      </c>
      <c r="AA30" s="145">
        <v>6</v>
      </c>
      <c r="AB30">
        <f>AA30/(AC30/AD30/HQ12)*1000</f>
        <v>199.41776434407606</v>
      </c>
      <c r="AC30">
        <v>6897</v>
      </c>
      <c r="AD30">
        <v>241.3</v>
      </c>
      <c r="AE30">
        <v>7079</v>
      </c>
      <c r="AF30">
        <v>182.8</v>
      </c>
      <c r="AG30" s="6">
        <v>7251</v>
      </c>
      <c r="AH30" s="84">
        <f>AG30/(AE30*HP15)*AF30</f>
        <v>121.93645799921892</v>
      </c>
      <c r="AI30" s="6">
        <f>Pivot_Table_2012!C22</f>
        <v>5692</v>
      </c>
      <c r="AJ30" s="84">
        <f>AI30/(AG30*AI$4)*AH30</f>
        <v>59.136233537760965</v>
      </c>
      <c r="AK30" s="84"/>
      <c r="AL30" s="84"/>
      <c r="AM30" s="16"/>
      <c r="AN30" s="8">
        <v>12.4</v>
      </c>
      <c r="AO30" s="8">
        <v>457.6</v>
      </c>
      <c r="AP30" s="8">
        <v>6.7</v>
      </c>
      <c r="AQ30" s="8">
        <v>259.10000000000002</v>
      </c>
      <c r="AR30" s="8">
        <v>4696</v>
      </c>
      <c r="AS30" s="8">
        <v>207.4</v>
      </c>
      <c r="AT30" s="8">
        <v>5439</v>
      </c>
      <c r="AU30" s="84">
        <f>AT30/(AR30*AU$4)*AS30</f>
        <v>204.91439889359052</v>
      </c>
      <c r="AV30" s="58">
        <v>7440</v>
      </c>
      <c r="AW30" s="174">
        <f>AV30/(AR30*AW$4)*AU30</f>
        <v>115.72966317541609</v>
      </c>
      <c r="AX30" s="6">
        <f>Pivot_Table_2012!E22</f>
        <v>9111</v>
      </c>
      <c r="AY30" s="174">
        <f t="shared" si="3"/>
        <v>101.27597889437165</v>
      </c>
      <c r="AZ30" s="16"/>
      <c r="BA30" s="6"/>
      <c r="BB30" s="6"/>
      <c r="BC30" s="6"/>
      <c r="BD30" s="6"/>
      <c r="BE30" s="8">
        <v>1333</v>
      </c>
      <c r="BF30" s="8">
        <v>68.5</v>
      </c>
      <c r="BG30" s="59">
        <v>1000</v>
      </c>
      <c r="BH30" s="118">
        <f>BG30/(HU$14*42)</f>
        <v>42.441218911807148</v>
      </c>
      <c r="BI30" s="59">
        <v>8000</v>
      </c>
      <c r="BJ30" s="174">
        <f t="shared" si="40"/>
        <v>138.4274640088594</v>
      </c>
      <c r="BK30" s="6">
        <f>Pivot_Table_2012!I22</f>
        <v>13576</v>
      </c>
      <c r="BL30" s="174">
        <f t="shared" si="26"/>
        <v>123.55203739915524</v>
      </c>
      <c r="BM30" s="16"/>
      <c r="BN30" s="8">
        <v>15</v>
      </c>
      <c r="BO30" s="8">
        <v>5.0999999999999996</v>
      </c>
      <c r="BP30" s="8">
        <v>19.5</v>
      </c>
      <c r="BQ30" s="8">
        <v>8.5</v>
      </c>
      <c r="BR30" s="8">
        <v>20077</v>
      </c>
      <c r="BS30" s="8">
        <v>7</v>
      </c>
      <c r="BT30" s="8">
        <v>15923</v>
      </c>
      <c r="BU30" s="84">
        <f>BT30/(BR30*HX$14)*BS30</f>
        <v>4.9578400521177546</v>
      </c>
      <c r="BW30" s="14">
        <v>20741</v>
      </c>
      <c r="BX30" s="169">
        <f>BW30/(BT30*BX$4)*BU30</f>
        <v>3.3803536722161338</v>
      </c>
      <c r="BY30" s="8">
        <f>Pivot_Table_2012!F22</f>
        <v>21770</v>
      </c>
      <c r="BZ30" s="169">
        <f t="shared" si="34"/>
        <v>7.0229628815657623</v>
      </c>
      <c r="CA30" s="16">
        <f>(BS31+BU31)/2</f>
        <v>29.365946389897871</v>
      </c>
      <c r="CB30" s="59">
        <v>0.6</v>
      </c>
      <c r="CC30" s="59">
        <v>0.6</v>
      </c>
      <c r="CD30" s="8">
        <v>0.7</v>
      </c>
      <c r="CE30" s="8">
        <v>0.7</v>
      </c>
      <c r="CF30" s="8">
        <v>427</v>
      </c>
      <c r="CG30" s="8">
        <v>0.4</v>
      </c>
      <c r="CH30" s="8">
        <v>1785</v>
      </c>
      <c r="CI30" s="84">
        <f>CH30/(CF30*HR14)*CG30</f>
        <v>1.456851221775441</v>
      </c>
      <c r="CJ30" s="59">
        <v>2000</v>
      </c>
      <c r="CK30" s="174">
        <f>CJ30/(CH30*CK$4)*CI30</f>
        <v>0.640281234356186</v>
      </c>
      <c r="CL30" s="8">
        <f>Pivot_Table_2012!G22</f>
        <v>1811</v>
      </c>
      <c r="CM30" s="174">
        <f t="shared" si="42"/>
        <v>0.41431234848366721</v>
      </c>
      <c r="CN30" s="16">
        <f>(CG31+CI31)/2</f>
        <v>0.25751300728407905</v>
      </c>
      <c r="CO30" s="8">
        <v>1.5</v>
      </c>
      <c r="CP30" s="122">
        <f t="shared" si="116"/>
        <v>0.19053430028047666</v>
      </c>
      <c r="CQ30" s="8">
        <v>0.5</v>
      </c>
      <c r="CR30" s="122">
        <f t="shared" si="117"/>
        <v>6.5747751505234903E-2</v>
      </c>
      <c r="CS30" s="8">
        <v>1064</v>
      </c>
      <c r="CT30" s="122">
        <f t="shared" si="43"/>
        <v>0.11068185269552012</v>
      </c>
      <c r="CU30" s="6">
        <v>1000</v>
      </c>
      <c r="CV30" s="93">
        <f>HY$40*0.001*CU30</f>
        <v>9.5337508698677798E-2</v>
      </c>
      <c r="CW30" s="6">
        <v>681</v>
      </c>
      <c r="CX30" s="122">
        <f>HY$41*0.001*CW30</f>
        <v>3.2943855932203392E-2</v>
      </c>
      <c r="CY30" s="141">
        <f t="shared" si="27"/>
        <v>272</v>
      </c>
      <c r="CZ30" s="122">
        <f t="shared" si="44"/>
        <v>1.7201534699384437E-2</v>
      </c>
      <c r="DA30" s="121">
        <f t="shared" si="45"/>
        <v>0.21505376344086025</v>
      </c>
      <c r="DB30" s="131">
        <v>8</v>
      </c>
      <c r="DC30" s="131">
        <f t="shared" si="106"/>
        <v>45.2</v>
      </c>
      <c r="DD30" s="131">
        <f t="shared" si="46"/>
        <v>37.200000000000003</v>
      </c>
      <c r="DE30" s="131">
        <f t="shared" si="47"/>
        <v>37.200000000000003</v>
      </c>
      <c r="DF30" s="131">
        <v>45.2</v>
      </c>
      <c r="DG30" s="131"/>
      <c r="DH30" s="140">
        <f t="shared" si="48"/>
        <v>0.22455089820359286</v>
      </c>
      <c r="DI30" s="138">
        <v>7.5</v>
      </c>
      <c r="DJ30" s="137">
        <f t="shared" si="107"/>
        <v>40.900000000000006</v>
      </c>
      <c r="DK30" s="131">
        <f t="shared" si="49"/>
        <v>33.400000000000006</v>
      </c>
      <c r="DL30" s="137">
        <f t="shared" si="50"/>
        <v>33.400000000000006</v>
      </c>
      <c r="DM30" s="131">
        <v>40.9</v>
      </c>
      <c r="DN30" s="131"/>
      <c r="DO30" s="121">
        <f t="shared" si="51"/>
        <v>0.12016582594074321</v>
      </c>
      <c r="DP30">
        <v>4145</v>
      </c>
      <c r="DS30" s="34">
        <f t="shared" si="52"/>
        <v>34494</v>
      </c>
      <c r="DT30">
        <v>38639</v>
      </c>
      <c r="DU30" s="21">
        <f>DY30/DX30-1</f>
        <v>0.31735244833364362</v>
      </c>
      <c r="DV30">
        <v>10211</v>
      </c>
      <c r="DX30" s="33">
        <f>AE30+AT30+BG30+CH30+BT30+CU30</f>
        <v>32226</v>
      </c>
      <c r="DY30" s="27">
        <v>42453</v>
      </c>
      <c r="DZ30" s="21">
        <f t="shared" si="53"/>
        <v>0.15876597314125784</v>
      </c>
      <c r="EA30" s="27">
        <v>7635</v>
      </c>
      <c r="EB30" s="27">
        <v>661</v>
      </c>
      <c r="EC30" s="27">
        <f t="shared" si="54"/>
        <v>45432</v>
      </c>
      <c r="ED30" s="27">
        <v>53411</v>
      </c>
      <c r="EE30" s="27"/>
      <c r="EF30" s="27"/>
      <c r="EH30" s="21">
        <f t="shared" si="4"/>
        <v>6.7889416449685935E-2</v>
      </c>
      <c r="EI30">
        <f>Pivot_Table_2012!K22</f>
        <v>3546</v>
      </c>
      <c r="EJ30" s="27">
        <f t="shared" si="5"/>
        <v>272</v>
      </c>
      <c r="EK30" s="27"/>
      <c r="EL30" s="27">
        <f t="shared" si="55"/>
        <v>51960</v>
      </c>
      <c r="EM30">
        <f>Pivot_Table_2012!J22</f>
        <v>55778</v>
      </c>
      <c r="EP30" s="13">
        <f t="shared" si="56"/>
        <v>0.72445289999999996</v>
      </c>
      <c r="EQ30" s="13">
        <f t="shared" si="57"/>
        <v>4.6544465397992365</v>
      </c>
      <c r="ER30" s="13">
        <f t="shared" si="58"/>
        <v>2.6655199999999999</v>
      </c>
      <c r="ES30" s="13">
        <f t="shared" si="59"/>
        <v>0</v>
      </c>
      <c r="ET30" s="13">
        <f t="shared" si="60"/>
        <v>5.2427999999999999</v>
      </c>
      <c r="EU30" s="13">
        <f t="shared" si="61"/>
        <v>7.5042857142857147E-2</v>
      </c>
      <c r="EV30" s="13">
        <f t="shared" si="62"/>
        <v>0.19053430028047666</v>
      </c>
      <c r="EW30" s="13">
        <f t="shared" si="63"/>
        <v>15.587127288023124</v>
      </c>
      <c r="EY30" s="13">
        <f t="shared" si="64"/>
        <v>0.72445289999999996</v>
      </c>
      <c r="EZ30" s="13">
        <f t="shared" si="65"/>
        <v>4.1363232680248254</v>
      </c>
      <c r="FA30" s="13">
        <f t="shared" si="66"/>
        <v>1.5092574999999999</v>
      </c>
      <c r="FB30" s="13">
        <f t="shared" si="67"/>
        <v>0</v>
      </c>
      <c r="FC30" s="13">
        <f t="shared" si="68"/>
        <v>8.7379999999999995</v>
      </c>
      <c r="FD30" s="13">
        <f t="shared" si="69"/>
        <v>8.7550000000000003E-2</v>
      </c>
      <c r="FE30" s="13">
        <f t="shared" si="70"/>
        <v>6.5747751505234903E-2</v>
      </c>
      <c r="FF30" s="13">
        <f t="shared" si="71"/>
        <v>17.801147648167049</v>
      </c>
      <c r="FH30" s="13">
        <f t="shared" si="72"/>
        <v>1.4817531239999999</v>
      </c>
      <c r="FI30" s="13">
        <f t="shared" si="73"/>
        <v>5.0050446000000006</v>
      </c>
      <c r="FJ30" s="13">
        <f t="shared" si="74"/>
        <v>1.208105</v>
      </c>
      <c r="FK30" s="13">
        <f t="shared" si="75"/>
        <v>0.43065950000000003</v>
      </c>
      <c r="FL30" s="13">
        <f t="shared" si="76"/>
        <v>7.1959999999999997</v>
      </c>
      <c r="FM30" s="13">
        <f t="shared" si="77"/>
        <v>5.0028571428571436E-2</v>
      </c>
      <c r="FN30" s="13">
        <f t="shared" si="78"/>
        <v>0.11068185269552012</v>
      </c>
      <c r="FO30" s="13">
        <f t="shared" si="36"/>
        <v>15.682903516339964</v>
      </c>
      <c r="FQ30" s="13">
        <f t="shared" si="79"/>
        <v>1.4789996399999998</v>
      </c>
      <c r="FR30" s="13">
        <f t="shared" si="80"/>
        <v>3.7916376000000001</v>
      </c>
      <c r="FS30" s="13">
        <f t="shared" si="81"/>
        <v>1.1936263735551647</v>
      </c>
      <c r="FT30" s="13">
        <f t="shared" si="82"/>
        <v>0.26682794329853154</v>
      </c>
      <c r="FU30" s="13">
        <f t="shared" si="83"/>
        <v>5.0966595735770515</v>
      </c>
      <c r="FV30" s="13">
        <f t="shared" si="84"/>
        <v>0.18221046352348552</v>
      </c>
      <c r="FW30" s="13">
        <f t="shared" si="85"/>
        <v>9.5337508698677798E-2</v>
      </c>
      <c r="FX30" s="13">
        <f t="shared" si="114"/>
        <v>13.998581613852297</v>
      </c>
      <c r="GA30" s="13">
        <f t="shared" si="86"/>
        <v>1.5888421559999999</v>
      </c>
      <c r="GB30" s="13">
        <f t="shared" si="87"/>
        <v>2.5292060118197988</v>
      </c>
      <c r="GC30" s="13">
        <f t="shared" si="88"/>
        <v>0.67412528799679872</v>
      </c>
      <c r="GD30" s="13">
        <f t="shared" si="89"/>
        <v>0.87029346622369907</v>
      </c>
      <c r="GE30" s="13">
        <f t="shared" si="90"/>
        <v>3.4750035750381856</v>
      </c>
      <c r="GF30" s="13">
        <f t="shared" si="91"/>
        <v>8.0080888668405847E-2</v>
      </c>
      <c r="GG30" s="13">
        <f t="shared" si="92"/>
        <v>3.2943855932203392E-2</v>
      </c>
      <c r="GH30" s="13">
        <f t="shared" si="93"/>
        <v>8.8780628936976544</v>
      </c>
      <c r="GI30" s="13"/>
      <c r="GJ30" s="13"/>
      <c r="GK30" s="13">
        <f t="shared" si="94"/>
        <v>1.2614914639999999</v>
      </c>
      <c r="GL30" s="13">
        <f t="shared" si="95"/>
        <v>1.2266037560402379</v>
      </c>
      <c r="GM30" s="13">
        <f t="shared" si="108"/>
        <v>0.5899325770597148</v>
      </c>
      <c r="GN30" s="13">
        <f t="shared" si="109"/>
        <v>0.776771659128489</v>
      </c>
      <c r="GO30" s="13">
        <f t="shared" si="110"/>
        <v>7.2196058422496039</v>
      </c>
      <c r="GP30" s="13">
        <f t="shared" si="111"/>
        <v>5.181863729963581E-2</v>
      </c>
      <c r="GQ30" s="13">
        <f t="shared" si="112"/>
        <v>1.7201534699384437E-2</v>
      </c>
      <c r="GR30" s="13">
        <f t="shared" si="113"/>
        <v>10.552812739571102</v>
      </c>
      <c r="GV30">
        <v>212325</v>
      </c>
      <c r="GW30" s="60" t="s">
        <v>169</v>
      </c>
      <c r="GY30" s="148">
        <f t="shared" si="96"/>
        <v>458.8</v>
      </c>
      <c r="GZ30" s="148">
        <f t="shared" si="97"/>
        <v>434.27699999999999</v>
      </c>
      <c r="HA30" s="148">
        <f t="shared" si="98"/>
        <v>433.47</v>
      </c>
      <c r="HB30" s="149">
        <f t="shared" si="99"/>
        <v>465.66300000000001</v>
      </c>
      <c r="HC30" s="149">
        <f t="shared" si="100"/>
        <v>369.72199999999998</v>
      </c>
      <c r="HD30" s="149">
        <f>'Preliminary estimates - 2017'!AT27</f>
        <v>373.40600000000001</v>
      </c>
      <c r="HF30" s="148">
        <f t="shared" si="101"/>
        <v>15.587127288023124</v>
      </c>
      <c r="HG30" s="148">
        <f t="shared" si="102"/>
        <v>17.801147648167049</v>
      </c>
      <c r="HH30" s="148">
        <f t="shared" si="103"/>
        <v>15.682903516339964</v>
      </c>
      <c r="HI30" s="148">
        <f t="shared" si="104"/>
        <v>13.998581613852297</v>
      </c>
      <c r="HJ30" s="148">
        <f t="shared" si="105"/>
        <v>8.8780628936976544</v>
      </c>
      <c r="HK30" s="148">
        <f t="shared" si="0"/>
        <v>10.552812739571102</v>
      </c>
      <c r="HL30" s="148">
        <f>'Preliminary estimates - 2017'!AL27</f>
        <v>10.790981028339274</v>
      </c>
      <c r="HN30">
        <f>Prices!D25</f>
        <v>2002</v>
      </c>
      <c r="HO30" s="79">
        <f>Prices!E25</f>
        <v>1.1808888888888889</v>
      </c>
      <c r="HP30" s="16">
        <f>Prices!F25</f>
        <v>0</v>
      </c>
      <c r="HQ30" s="79">
        <f>Prices!G25</f>
        <v>7.235564053537284</v>
      </c>
      <c r="HR30" s="16">
        <f>Prices!H25</f>
        <v>0</v>
      </c>
      <c r="HS30" s="79">
        <f>Prices!I25</f>
        <v>6.035021459227468</v>
      </c>
      <c r="HT30" s="16">
        <f>Prices!J25</f>
        <v>0</v>
      </c>
      <c r="HU30" s="79">
        <f>Prices!K25</f>
        <v>3.7477334181644668</v>
      </c>
      <c r="HV30" s="16">
        <f>Prices!L25</f>
        <v>0</v>
      </c>
      <c r="HW30" s="79">
        <f>Prices!M25</f>
        <v>3.9105058365758749</v>
      </c>
      <c r="HX30" s="16">
        <f>Prices!N25</f>
        <v>0</v>
      </c>
      <c r="HY30" s="79">
        <f>Prices!O25</f>
        <v>10.489051094890511</v>
      </c>
    </row>
    <row r="31" spans="2:233" x14ac:dyDescent="0.2">
      <c r="C31">
        <v>212391</v>
      </c>
      <c r="D31" t="s">
        <v>21</v>
      </c>
      <c r="G31">
        <v>27</v>
      </c>
      <c r="H31" s="3">
        <v>4805</v>
      </c>
      <c r="I31">
        <v>24</v>
      </c>
      <c r="J31" s="3">
        <v>3444</v>
      </c>
      <c r="K31" s="3"/>
      <c r="L31" s="3"/>
      <c r="M31" s="3"/>
      <c r="N31" s="3"/>
      <c r="O31" s="3"/>
      <c r="P31" s="3"/>
      <c r="Q31" s="3">
        <v>1569700</v>
      </c>
      <c r="R31" s="3">
        <v>1317100</v>
      </c>
      <c r="S31" s="30">
        <f>677693+469698</f>
        <v>1147391</v>
      </c>
      <c r="T31" s="78">
        <v>212391</v>
      </c>
      <c r="U31" s="91">
        <v>1017774</v>
      </c>
      <c r="V31" s="91">
        <f>[3]Sheet1!D28</f>
        <v>1458575</v>
      </c>
      <c r="W31" s="91"/>
      <c r="X31" s="23">
        <f>(R31+S31)/2</f>
        <v>1232245.5</v>
      </c>
      <c r="Y31" s="33">
        <v>59.3</v>
      </c>
      <c r="Z31" s="33">
        <v>1744.4</v>
      </c>
      <c r="AA31" s="33">
        <v>32.9</v>
      </c>
      <c r="AB31" s="3">
        <v>1329.1</v>
      </c>
      <c r="AC31" s="3">
        <v>43827</v>
      </c>
      <c r="AD31" s="6">
        <v>1712.2</v>
      </c>
      <c r="AE31" s="102">
        <f>AF31/AD31*AC31*HP14</f>
        <v>24360.810228685412</v>
      </c>
      <c r="AF31" s="6">
        <f>5183/8044*AD31*0.8</f>
        <v>882.57907508702147</v>
      </c>
      <c r="AG31" s="59">
        <v>39000</v>
      </c>
      <c r="AH31" s="95">
        <f>AG31/HO$15</f>
        <v>955.88235294117658</v>
      </c>
      <c r="AI31" s="6">
        <f>Pivot_Table_2012!C23</f>
        <v>0</v>
      </c>
      <c r="AJ31" s="6"/>
      <c r="AK31" s="6"/>
      <c r="AL31" s="6"/>
      <c r="AM31" s="16">
        <f>(AD31+AF31)/2</f>
        <v>1297.3895375435109</v>
      </c>
      <c r="AN31" s="8">
        <v>11.4</v>
      </c>
      <c r="AO31" s="8">
        <v>443.8</v>
      </c>
      <c r="AP31" s="59">
        <v>11</v>
      </c>
      <c r="AQ31" s="84">
        <f>AP31/(AN31*HU$12)*AO31</f>
        <v>360.58132284165981</v>
      </c>
      <c r="AR31" s="6"/>
      <c r="AS31" s="6"/>
      <c r="AT31" s="6"/>
      <c r="AU31" s="6"/>
      <c r="AV31" s="58"/>
      <c r="AW31" s="175"/>
      <c r="AX31" s="6">
        <f>Pivot_Table_2012!E23</f>
        <v>9231</v>
      </c>
      <c r="AY31" s="99">
        <f>AX31/(AX$4*42)</f>
        <v>84.009196908633001</v>
      </c>
      <c r="AZ31" s="16"/>
      <c r="BA31" s="6"/>
      <c r="BB31" s="6"/>
      <c r="BC31" s="59">
        <v>1</v>
      </c>
      <c r="BD31" s="59">
        <v>30</v>
      </c>
      <c r="BE31" s="6"/>
      <c r="BF31" s="6"/>
      <c r="BG31" s="6"/>
      <c r="BH31" s="6"/>
      <c r="BI31" s="6"/>
      <c r="BJ31" s="175"/>
      <c r="BK31" s="6">
        <f>Pivot_Table_2012!I23</f>
        <v>0</v>
      </c>
      <c r="BL31" s="174"/>
      <c r="BM31" s="16"/>
      <c r="BN31" s="8">
        <v>64</v>
      </c>
      <c r="BO31" s="8">
        <v>30.5</v>
      </c>
      <c r="BP31" s="8">
        <v>51.1</v>
      </c>
      <c r="BQ31" s="8">
        <v>27.8</v>
      </c>
      <c r="BR31" s="6">
        <v>51901</v>
      </c>
      <c r="BS31" s="6">
        <v>25.2</v>
      </c>
      <c r="BT31" s="6">
        <v>77333</v>
      </c>
      <c r="BU31" s="84">
        <f>BT31/(BR31*HX$14)*BS31</f>
        <v>33.531892779795747</v>
      </c>
      <c r="BV31" s="8"/>
      <c r="BW31" s="8">
        <v>97329</v>
      </c>
      <c r="BX31" s="169">
        <f>BW31/(BT31*BX$4)*BU31</f>
        <v>22.090233419153773</v>
      </c>
      <c r="BY31" s="8">
        <f>Pivot_Table_2012!F23</f>
        <v>150020</v>
      </c>
      <c r="BZ31" s="169">
        <f t="shared" si="34"/>
        <v>67.396400005800103</v>
      </c>
      <c r="CA31" s="16"/>
      <c r="CB31" s="59">
        <v>1.5</v>
      </c>
      <c r="CC31" s="59">
        <v>1.7</v>
      </c>
      <c r="CD31" s="8">
        <v>1.2</v>
      </c>
      <c r="CE31" s="8">
        <v>1.4</v>
      </c>
      <c r="CF31" s="6">
        <v>322</v>
      </c>
      <c r="CG31" s="6">
        <v>0.3</v>
      </c>
      <c r="CH31" s="59">
        <v>400</v>
      </c>
      <c r="CI31" s="6">
        <f>$J31/$H31*CG31</f>
        <v>0.21502601456815815</v>
      </c>
      <c r="CJ31" s="8">
        <v>867</v>
      </c>
      <c r="CK31" s="99">
        <f>CJ31/HQ$15*0.001</f>
        <v>0.37744884632128861</v>
      </c>
      <c r="CL31" s="8">
        <f>Pivot_Table_2012!G23</f>
        <v>2955</v>
      </c>
      <c r="CM31" s="174">
        <f t="shared" si="42"/>
        <v>0.91931667873867784</v>
      </c>
      <c r="CN31" s="16"/>
      <c r="CO31" s="8">
        <v>12.5</v>
      </c>
      <c r="CP31" s="122">
        <f t="shared" si="116"/>
        <v>1.5877858356706389</v>
      </c>
      <c r="CQ31" s="8">
        <v>9</v>
      </c>
      <c r="CR31" s="122">
        <f t="shared" si="117"/>
        <v>1.1834595270942283</v>
      </c>
      <c r="CS31" s="6"/>
      <c r="CT31" s="6"/>
      <c r="CU31" s="6"/>
      <c r="CV31" s="6"/>
      <c r="CW31" s="6"/>
      <c r="CX31" s="6"/>
      <c r="CY31" s="141">
        <f t="shared" si="27"/>
        <v>62075</v>
      </c>
      <c r="CZ31" s="122">
        <f t="shared" si="44"/>
        <v>3.9256811267069445</v>
      </c>
      <c r="DA31" s="121">
        <f t="shared" si="45"/>
        <v>2.0174848688636615E-3</v>
      </c>
      <c r="DB31" s="131">
        <v>0.3</v>
      </c>
      <c r="DC31" s="131">
        <f t="shared" si="106"/>
        <v>149</v>
      </c>
      <c r="DD31" s="131">
        <f t="shared" si="46"/>
        <v>148.69999999999999</v>
      </c>
      <c r="DE31" s="131">
        <f t="shared" si="47"/>
        <v>148.69999999999999</v>
      </c>
      <c r="DF31" s="131">
        <v>149</v>
      </c>
      <c r="DG31" s="8"/>
      <c r="DH31" s="140">
        <f t="shared" si="48"/>
        <v>2.835538752362865E-3</v>
      </c>
      <c r="DI31" s="131">
        <v>0.3</v>
      </c>
      <c r="DJ31" s="137">
        <f t="shared" si="107"/>
        <v>106.5</v>
      </c>
      <c r="DK31" s="131">
        <f t="shared" si="49"/>
        <v>106.2</v>
      </c>
      <c r="DL31" s="137">
        <f t="shared" si="50"/>
        <v>106.2</v>
      </c>
      <c r="DM31" s="131">
        <v>106.1</v>
      </c>
      <c r="DN31" s="8"/>
      <c r="DO31" s="121">
        <f t="shared" si="51"/>
        <v>0.20630254267883852</v>
      </c>
      <c r="DP31">
        <v>20000</v>
      </c>
      <c r="DS31" s="34">
        <f t="shared" si="52"/>
        <v>96050</v>
      </c>
      <c r="DT31">
        <v>116945</v>
      </c>
      <c r="DU31" s="21">
        <f>DY31/DX31-1</f>
        <v>9.142757773861554E-2</v>
      </c>
      <c r="DV31">
        <v>12564</v>
      </c>
      <c r="DX31" s="33">
        <f>AE31+AT31+BG31+CH31+BT31+CU31</f>
        <v>102093.81022868541</v>
      </c>
      <c r="DY31" s="27">
        <v>111428</v>
      </c>
      <c r="DZ31" s="21">
        <f t="shared" si="53"/>
        <v>0.10100148692381694</v>
      </c>
      <c r="EA31" s="27">
        <v>13883</v>
      </c>
      <c r="EB31" s="27"/>
      <c r="EC31" s="27">
        <f t="shared" si="54"/>
        <v>137196</v>
      </c>
      <c r="ED31" s="27">
        <v>151053</v>
      </c>
      <c r="EE31" s="27">
        <f>EA31+EC31</f>
        <v>151079</v>
      </c>
      <c r="EF31" s="27"/>
      <c r="EH31" s="21">
        <f t="shared" si="4"/>
        <v>2.586041617435253E-3</v>
      </c>
      <c r="EI31">
        <f>Pivot_Table_2012!K23</f>
        <v>580</v>
      </c>
      <c r="EJ31" s="27">
        <f t="shared" si="5"/>
        <v>62075</v>
      </c>
      <c r="EK31" s="27"/>
      <c r="EL31" s="27">
        <f t="shared" si="55"/>
        <v>162206</v>
      </c>
      <c r="EM31">
        <f>Pivot_Table_2012!J23</f>
        <v>224861</v>
      </c>
      <c r="EP31" s="13">
        <f t="shared" si="56"/>
        <v>0.72467809199999988</v>
      </c>
      <c r="EQ31" s="13">
        <f t="shared" si="57"/>
        <v>36.182344800000003</v>
      </c>
      <c r="ER31" s="13">
        <f t="shared" si="58"/>
        <v>2.5851349999999997</v>
      </c>
      <c r="ES31" s="13">
        <f t="shared" si="59"/>
        <v>0</v>
      </c>
      <c r="ET31" s="13">
        <f t="shared" si="60"/>
        <v>31.353999999999999</v>
      </c>
      <c r="EU31" s="13">
        <f t="shared" si="61"/>
        <v>0.21262142857142857</v>
      </c>
      <c r="EV31" s="13">
        <f t="shared" si="62"/>
        <v>1.5877858356706389</v>
      </c>
      <c r="EW31" s="13">
        <f t="shared" si="63"/>
        <v>72.066988383134301</v>
      </c>
      <c r="EY31" s="13">
        <f t="shared" si="64"/>
        <v>0.72467809199999988</v>
      </c>
      <c r="EZ31" s="13">
        <f t="shared" si="65"/>
        <v>27.568192199999999</v>
      </c>
      <c r="FA31" s="13">
        <f t="shared" si="66"/>
        <v>2.1003862055526681</v>
      </c>
      <c r="FB31" s="13">
        <f t="shared" si="67"/>
        <v>0.18861</v>
      </c>
      <c r="FC31" s="13">
        <f t="shared" si="68"/>
        <v>28.578400000000002</v>
      </c>
      <c r="FD31" s="13">
        <f t="shared" si="69"/>
        <v>0.17510000000000001</v>
      </c>
      <c r="FE31" s="13">
        <f t="shared" si="70"/>
        <v>1.1834595270942283</v>
      </c>
      <c r="FF31" s="13">
        <f t="shared" si="71"/>
        <v>59.963696556274435</v>
      </c>
      <c r="FH31" s="13">
        <f t="shared" si="72"/>
        <v>4.4939451999999998</v>
      </c>
      <c r="FI31" s="13">
        <f t="shared" si="73"/>
        <v>35.514452400000003</v>
      </c>
      <c r="FJ31" s="13">
        <f t="shared" si="74"/>
        <v>0</v>
      </c>
      <c r="FK31" s="13">
        <f t="shared" si="75"/>
        <v>0</v>
      </c>
      <c r="FL31" s="13">
        <f t="shared" si="76"/>
        <v>25.9056</v>
      </c>
      <c r="FM31" s="13">
        <f t="shared" si="77"/>
        <v>3.7521428571428574E-2</v>
      </c>
      <c r="FN31" s="13">
        <f t="shared" si="78"/>
        <v>0</v>
      </c>
      <c r="FO31" s="13">
        <f t="shared" si="36"/>
        <v>74.136427576278166</v>
      </c>
      <c r="FQ31" s="13">
        <f t="shared" si="79"/>
        <v>3.9148980919999996</v>
      </c>
      <c r="FR31" s="13">
        <f t="shared" si="80"/>
        <v>18.306455175455</v>
      </c>
      <c r="FS31" s="13">
        <f t="shared" si="81"/>
        <v>0</v>
      </c>
      <c r="FT31" s="13">
        <f t="shared" si="82"/>
        <v>0</v>
      </c>
      <c r="FU31" s="13">
        <f t="shared" si="83"/>
        <v>34.470785777630027</v>
      </c>
      <c r="FV31" s="13">
        <f t="shared" si="84"/>
        <v>2.6893610822060352E-2</v>
      </c>
      <c r="FW31" s="13">
        <f t="shared" si="85"/>
        <v>0</v>
      </c>
      <c r="FX31" s="13">
        <f t="shared" si="114"/>
        <v>57.631888681669018</v>
      </c>
      <c r="GA31" s="13">
        <f t="shared" si="86"/>
        <v>3.4726448879999996</v>
      </c>
      <c r="GB31" s="13">
        <f t="shared" si="87"/>
        <v>19.826911764705883</v>
      </c>
      <c r="GC31" s="13">
        <f t="shared" si="88"/>
        <v>0</v>
      </c>
      <c r="GD31" s="13">
        <f t="shared" si="89"/>
        <v>0</v>
      </c>
      <c r="GE31" s="13">
        <f t="shared" si="90"/>
        <v>22.70875995489008</v>
      </c>
      <c r="GF31" s="13">
        <f t="shared" si="91"/>
        <v>4.7208066422041173E-2</v>
      </c>
      <c r="GG31" s="13">
        <f t="shared" si="92"/>
        <v>0</v>
      </c>
      <c r="GH31" s="13">
        <f>SUM(GB31:GG31)*(1+DZ31)</f>
        <v>46.883813961903982</v>
      </c>
      <c r="GI31" s="13"/>
      <c r="GJ31" s="13"/>
      <c r="GK31" s="13">
        <f t="shared" si="94"/>
        <v>4.9766578999999993</v>
      </c>
      <c r="GL31" s="13">
        <f t="shared" si="95"/>
        <v>0</v>
      </c>
      <c r="GM31" s="13">
        <f t="shared" si="108"/>
        <v>0.48935357199278717</v>
      </c>
      <c r="GN31" s="13">
        <f t="shared" si="109"/>
        <v>0</v>
      </c>
      <c r="GO31" s="13">
        <f t="shared" si="110"/>
        <v>69.283499205962514</v>
      </c>
      <c r="GP31" s="13">
        <f t="shared" si="111"/>
        <v>0.11498025031938751</v>
      </c>
      <c r="GQ31" s="13">
        <f t="shared" si="112"/>
        <v>3.9256811267069445</v>
      </c>
      <c r="GR31" s="13">
        <f t="shared" si="113"/>
        <v>74.004398974515581</v>
      </c>
      <c r="GV31">
        <v>212391</v>
      </c>
      <c r="GW31" t="s">
        <v>21</v>
      </c>
      <c r="GY31" s="148">
        <f t="shared" si="96"/>
        <v>1569.7</v>
      </c>
      <c r="GZ31" s="148">
        <f t="shared" si="97"/>
        <v>1317.1000000000001</v>
      </c>
      <c r="HA31" s="148">
        <f t="shared" si="98"/>
        <v>1147.3910000000001</v>
      </c>
      <c r="HB31" s="149">
        <f t="shared" si="99"/>
        <v>1017.774</v>
      </c>
      <c r="HC31" s="149">
        <f t="shared" si="100"/>
        <v>1458.575</v>
      </c>
      <c r="HD31" s="219">
        <f>'Preliminary estimates - 2017'!AT28</f>
        <v>986.16399999999999</v>
      </c>
      <c r="HF31" s="148">
        <f t="shared" si="101"/>
        <v>72.066988383134301</v>
      </c>
      <c r="HG31" s="148">
        <f t="shared" si="102"/>
        <v>59.963696556274435</v>
      </c>
      <c r="HH31" s="148">
        <f t="shared" si="103"/>
        <v>74.136427576278166</v>
      </c>
      <c r="HI31" s="148">
        <f t="shared" si="104"/>
        <v>57.631888681669018</v>
      </c>
      <c r="HJ31" s="148">
        <f t="shared" si="105"/>
        <v>46.883813961903982</v>
      </c>
      <c r="HK31" s="148">
        <f t="shared" si="0"/>
        <v>74.004398974515581</v>
      </c>
      <c r="HL31" s="148">
        <f>'Preliminary estimates - 2017'!AL28</f>
        <v>34.694725713107168</v>
      </c>
      <c r="HN31">
        <f>Prices!D26</f>
        <v>2007</v>
      </c>
      <c r="HO31" s="79">
        <f>Prices!E26</f>
        <v>1.8133333333333332</v>
      </c>
      <c r="HP31" s="16">
        <f>Prices!F26</f>
        <v>0</v>
      </c>
      <c r="HQ31" s="79">
        <f>Prices!G26</f>
        <v>18.446271510516254</v>
      </c>
      <c r="HR31" s="16">
        <f>Prices!H26</f>
        <v>0</v>
      </c>
      <c r="HS31" s="79">
        <f>Prices!I26</f>
        <v>16.929785407725319</v>
      </c>
      <c r="HT31" s="16">
        <f>Prices!J26</f>
        <v>0</v>
      </c>
      <c r="HU31" s="79">
        <f>Prices!K26</f>
        <v>9.1923015746779058</v>
      </c>
      <c r="HV31" s="16">
        <f>Prices!L26</f>
        <v>0</v>
      </c>
      <c r="HW31" s="79">
        <f>Prices!M26</f>
        <v>7.4708171206225673</v>
      </c>
      <c r="HX31" s="16">
        <f>Prices!N26</f>
        <v>0</v>
      </c>
      <c r="HY31" s="79">
        <f>Prices!O26</f>
        <v>20.67153284671533</v>
      </c>
    </row>
    <row r="32" spans="2:233" x14ac:dyDescent="0.2">
      <c r="C32">
        <v>212392</v>
      </c>
      <c r="D32" t="s">
        <v>24</v>
      </c>
      <c r="G32">
        <v>20</v>
      </c>
      <c r="H32" s="3">
        <v>3858</v>
      </c>
      <c r="I32">
        <v>15</v>
      </c>
      <c r="J32" s="3">
        <v>3175</v>
      </c>
      <c r="K32" s="3"/>
      <c r="L32" s="3"/>
      <c r="M32" s="3">
        <f>[3]ECN_2012_US_21SG1_with_ann!H27</f>
        <v>11</v>
      </c>
      <c r="N32" s="3">
        <f>[3]ECN_2012_US_21SG1_with_ann!L27</f>
        <v>2510</v>
      </c>
      <c r="O32" s="3"/>
      <c r="P32" s="3"/>
      <c r="Q32" s="3">
        <v>2860600</v>
      </c>
      <c r="R32" s="3">
        <v>2932558</v>
      </c>
      <c r="S32" s="3">
        <v>2685043</v>
      </c>
      <c r="T32" s="78">
        <v>212392</v>
      </c>
      <c r="U32" s="91">
        <v>3349643</v>
      </c>
      <c r="V32" s="91">
        <f>[3]Sheet1!D29</f>
        <v>0</v>
      </c>
      <c r="W32" s="91"/>
      <c r="X32" s="23">
        <f t="shared" si="37"/>
        <v>2808800.5</v>
      </c>
      <c r="Y32" s="33"/>
      <c r="Z32" s="33"/>
      <c r="AA32" s="33"/>
      <c r="AB32" s="3"/>
      <c r="AC32" s="3"/>
      <c r="AD32" s="6"/>
      <c r="AE32" s="94"/>
      <c r="AF32" s="6"/>
      <c r="AG32" s="6"/>
      <c r="AH32" s="6"/>
      <c r="AI32" s="6">
        <f>Pivot_Table_2012!C24</f>
        <v>0</v>
      </c>
      <c r="AJ32" s="6"/>
      <c r="AK32" s="6"/>
      <c r="AL32" s="6"/>
      <c r="AM32" s="16"/>
      <c r="AN32" s="8">
        <v>5.4</v>
      </c>
      <c r="AO32" s="8">
        <v>197</v>
      </c>
      <c r="AP32" s="59">
        <v>6</v>
      </c>
      <c r="AQ32" s="84">
        <f>AP32/(AN32*HU$12)*AO32</f>
        <v>184.31123648330981</v>
      </c>
      <c r="AR32" s="6">
        <v>10305</v>
      </c>
      <c r="AS32" s="6">
        <v>315.10000000000002</v>
      </c>
      <c r="AT32" s="6">
        <v>8391</v>
      </c>
      <c r="AU32" s="6">
        <v>231.3</v>
      </c>
      <c r="AV32" s="103">
        <f>AT32/DY32</f>
        <v>0.56334340382678749</v>
      </c>
      <c r="AW32" s="175"/>
      <c r="AX32" s="6">
        <f>Pivot_Table_2012!E24</f>
        <v>35424</v>
      </c>
      <c r="AY32" s="99">
        <f>AX32/(AX$4*42)</f>
        <v>322.3856344157096</v>
      </c>
      <c r="AZ32" s="16">
        <f>(AS32+AU32)/2</f>
        <v>273.20000000000005</v>
      </c>
      <c r="BA32" s="6">
        <v>2.8</v>
      </c>
      <c r="BB32" s="6">
        <v>146.80000000000001</v>
      </c>
      <c r="BC32" s="59">
        <v>3</v>
      </c>
      <c r="BD32" s="84">
        <f>BC32/(BA32*HW$12)*BB32</f>
        <v>197.29699248120303</v>
      </c>
      <c r="BE32" s="6">
        <v>2391</v>
      </c>
      <c r="BF32" s="6">
        <v>108.6</v>
      </c>
      <c r="BG32" s="8">
        <f>BH32/BF32*HV14*BE32</f>
        <v>1864.9512423113852</v>
      </c>
      <c r="BH32" s="125">
        <f>5436/7291*BF32*0.8</f>
        <v>64.775707036071864</v>
      </c>
      <c r="BI32" s="103">
        <f>BH32/BF32*2391*HV14/DY32</f>
        <v>0.12520652852040182</v>
      </c>
      <c r="BJ32" s="175"/>
      <c r="BK32" s="6">
        <f>Pivot_Table_2012!I24</f>
        <v>0</v>
      </c>
      <c r="BL32" s="174"/>
      <c r="BM32" s="16">
        <f>(BF32+BH32)/2</f>
        <v>86.687853518035922</v>
      </c>
      <c r="BN32" s="6">
        <v>11.4</v>
      </c>
      <c r="BO32" s="6">
        <v>3.8</v>
      </c>
      <c r="BP32" s="6">
        <v>6</v>
      </c>
      <c r="BQ32" s="6">
        <v>2.1</v>
      </c>
      <c r="BR32" s="6">
        <v>2202</v>
      </c>
      <c r="BS32" s="6">
        <v>0.7</v>
      </c>
      <c r="BT32" s="6">
        <v>1077</v>
      </c>
      <c r="BU32" s="6">
        <f>$J32/$H32*BS32</f>
        <v>0.57607568688439603</v>
      </c>
      <c r="BV32" s="103">
        <f>BT32/DY32</f>
        <v>7.2306143001007045E-2</v>
      </c>
      <c r="BX32" s="94"/>
      <c r="BY32" s="8">
        <f>Pivot_Table_2012!F24</f>
        <v>0</v>
      </c>
      <c r="BZ32" s="169"/>
      <c r="CA32" s="16">
        <f t="shared" si="115"/>
        <v>0.63803784344219805</v>
      </c>
      <c r="CB32" s="146">
        <v>3.4</v>
      </c>
      <c r="CC32" s="146">
        <v>3.8</v>
      </c>
      <c r="CD32" s="8">
        <v>2.8</v>
      </c>
      <c r="CE32" s="8">
        <v>2.8</v>
      </c>
      <c r="CF32" s="6">
        <v>1520</v>
      </c>
      <c r="CG32" s="6">
        <v>1.4</v>
      </c>
      <c r="CH32" s="59">
        <v>900</v>
      </c>
      <c r="CI32" s="84">
        <f>CH32/(CF32*HR14)*CG32</f>
        <v>0.72222384485075053</v>
      </c>
      <c r="CJ32" s="103">
        <f>CI32/CG32*HR14*CF32/DY32</f>
        <v>6.0422960725075518E-2</v>
      </c>
      <c r="CK32" s="175"/>
      <c r="CL32" s="160">
        <f>Pivot_Table_2012!G24</f>
        <v>0</v>
      </c>
      <c r="CM32" s="174">
        <f t="shared" si="42"/>
        <v>0</v>
      </c>
      <c r="CN32" s="16">
        <f t="shared" si="35"/>
        <v>1.0611119224253751</v>
      </c>
      <c r="CO32" s="6"/>
      <c r="CP32" s="6"/>
      <c r="CQ32" s="6"/>
      <c r="CR32" s="6"/>
      <c r="CS32" s="6"/>
      <c r="CT32" s="6"/>
      <c r="CU32" s="6"/>
      <c r="CV32" s="6"/>
      <c r="CW32" s="6"/>
      <c r="CX32" s="6"/>
      <c r="CY32" s="141">
        <f t="shared" si="27"/>
        <v>8071</v>
      </c>
      <c r="CZ32" s="122">
        <f t="shared" si="44"/>
        <v>0.51041759764239625</v>
      </c>
      <c r="DA32" s="121">
        <f t="shared" si="45"/>
        <v>4.3478260869564966E-3</v>
      </c>
      <c r="DB32" s="131">
        <v>0.1</v>
      </c>
      <c r="DC32" s="131">
        <f t="shared" si="106"/>
        <v>23.1</v>
      </c>
      <c r="DD32" s="131">
        <f t="shared" si="46"/>
        <v>23</v>
      </c>
      <c r="DE32" s="131">
        <f t="shared" si="47"/>
        <v>23</v>
      </c>
      <c r="DF32" s="131">
        <v>23.1</v>
      </c>
      <c r="DG32" s="8"/>
      <c r="DH32" s="140">
        <f t="shared" si="48"/>
        <v>6.7039106145251326E-2</v>
      </c>
      <c r="DI32" s="131">
        <v>1.2</v>
      </c>
      <c r="DJ32" s="137">
        <f t="shared" si="107"/>
        <v>19</v>
      </c>
      <c r="DK32" s="131">
        <f t="shared" si="49"/>
        <v>17.8</v>
      </c>
      <c r="DL32" s="137">
        <f t="shared" si="50"/>
        <v>17.8</v>
      </c>
      <c r="DM32" s="131">
        <v>19.100000000000001</v>
      </c>
      <c r="DN32" s="8"/>
      <c r="DS32" s="34">
        <f t="shared" si="52"/>
        <v>16418</v>
      </c>
      <c r="DT32" s="108">
        <v>20055</v>
      </c>
      <c r="DU32" s="21">
        <f>DY32/DX32-1</f>
        <v>0.21761296231453198</v>
      </c>
      <c r="DV32">
        <v>2825</v>
      </c>
      <c r="DX32" s="33">
        <f>AE32+AT32+BG32+CH32+BT32+CU32</f>
        <v>12232.951242311385</v>
      </c>
      <c r="DY32" s="27">
        <v>14895</v>
      </c>
      <c r="DZ32" s="27"/>
      <c r="EA32" s="27"/>
      <c r="EB32" s="27"/>
      <c r="EC32" s="27"/>
      <c r="ED32" s="27">
        <v>19231</v>
      </c>
      <c r="EE32" s="27"/>
      <c r="EF32" s="27"/>
      <c r="EH32" s="21">
        <f t="shared" si="4"/>
        <v>0</v>
      </c>
      <c r="EI32">
        <f>Pivot_Table_2012!K24</f>
        <v>0</v>
      </c>
      <c r="EJ32" s="27">
        <f t="shared" si="5"/>
        <v>8071</v>
      </c>
      <c r="EK32" s="27"/>
      <c r="EL32" s="27">
        <f t="shared" si="55"/>
        <v>35424</v>
      </c>
      <c r="EM32">
        <f>Pivot_Table_2012!J24</f>
        <v>43495</v>
      </c>
      <c r="EP32" s="13">
        <f t="shared" si="56"/>
        <v>0.72468150399999998</v>
      </c>
      <c r="EQ32" s="13">
        <f t="shared" si="57"/>
        <v>0</v>
      </c>
      <c r="ER32" s="13">
        <f t="shared" si="58"/>
        <v>1.1475249999999999</v>
      </c>
      <c r="ES32" s="13">
        <f t="shared" si="59"/>
        <v>0.92293160000000007</v>
      </c>
      <c r="ET32" s="13">
        <f t="shared" si="60"/>
        <v>3.9064000000000001</v>
      </c>
      <c r="EU32" s="13">
        <f t="shared" si="61"/>
        <v>0.47527142857142857</v>
      </c>
      <c r="EV32" s="13">
        <f t="shared" si="62"/>
        <v>0</v>
      </c>
      <c r="EW32" s="13">
        <f t="shared" si="63"/>
        <v>6.4801807591304339</v>
      </c>
      <c r="EY32" s="13">
        <f t="shared" si="64"/>
        <v>0.72468150399999998</v>
      </c>
      <c r="EZ32" s="13">
        <f t="shared" si="65"/>
        <v>0</v>
      </c>
      <c r="FA32" s="13">
        <f t="shared" si="66"/>
        <v>1.0736129525152796</v>
      </c>
      <c r="FB32" s="13">
        <f t="shared" si="67"/>
        <v>1.2404061917293234</v>
      </c>
      <c r="FC32" s="13">
        <f t="shared" si="68"/>
        <v>2.1588000000000003</v>
      </c>
      <c r="FD32" s="13">
        <f t="shared" si="69"/>
        <v>0.35020000000000001</v>
      </c>
      <c r="FE32" s="13">
        <f t="shared" si="70"/>
        <v>0</v>
      </c>
      <c r="FF32" s="13">
        <f t="shared" si="71"/>
        <v>5.1463500365961963</v>
      </c>
      <c r="FH32" s="13">
        <f t="shared" si="72"/>
        <v>10.005887895999999</v>
      </c>
      <c r="FI32" s="13">
        <f t="shared" si="73"/>
        <v>0</v>
      </c>
      <c r="FJ32" s="13">
        <f t="shared" si="74"/>
        <v>1.8354575</v>
      </c>
      <c r="FK32" s="13">
        <f t="shared" si="75"/>
        <v>0.68276819999999994</v>
      </c>
      <c r="FL32" s="13">
        <f t="shared" si="76"/>
        <v>0.71960000000000002</v>
      </c>
      <c r="FM32" s="13">
        <f t="shared" si="77"/>
        <v>0.17510000000000001</v>
      </c>
      <c r="FN32" s="13">
        <f t="shared" si="78"/>
        <v>0</v>
      </c>
      <c r="FO32" s="13">
        <f t="shared" si="36"/>
        <v>3.4129257000000002</v>
      </c>
      <c r="FQ32" s="13">
        <f t="shared" si="79"/>
        <v>9.1613667159999999</v>
      </c>
      <c r="FR32" s="13">
        <f t="shared" si="80"/>
        <v>0</v>
      </c>
      <c r="FS32" s="13">
        <f t="shared" si="81"/>
        <v>1.3473225</v>
      </c>
      <c r="FT32" s="13">
        <f t="shared" si="82"/>
        <v>0.40724487013578381</v>
      </c>
      <c r="FU32" s="13">
        <f t="shared" si="83"/>
        <v>0.59220580611715912</v>
      </c>
      <c r="FV32" s="13">
        <f t="shared" si="84"/>
        <v>9.0329568023833171E-2</v>
      </c>
      <c r="FW32" s="13">
        <f t="shared" si="85"/>
        <v>0</v>
      </c>
      <c r="FX32" s="13">
        <f t="shared" si="114"/>
        <v>2.9674478919237202</v>
      </c>
      <c r="GH32" s="13">
        <f>ED32/DY32/HP48*FX32</f>
        <v>1.6120317274436264</v>
      </c>
      <c r="GI32" s="13"/>
      <c r="GJ32" s="13"/>
      <c r="GK32" s="13">
        <f t="shared" si="94"/>
        <v>0</v>
      </c>
      <c r="GL32" s="13">
        <f t="shared" si="95"/>
        <v>0</v>
      </c>
      <c r="GM32" s="13">
        <f t="shared" si="108"/>
        <v>1.8778963204715082</v>
      </c>
      <c r="GN32" s="13">
        <f t="shared" si="109"/>
        <v>0</v>
      </c>
      <c r="GO32" s="13">
        <f t="shared" si="110"/>
        <v>0</v>
      </c>
      <c r="GP32" s="13">
        <f t="shared" si="111"/>
        <v>0</v>
      </c>
      <c r="GQ32" s="13">
        <f t="shared" si="112"/>
        <v>0.51041759764239625</v>
      </c>
      <c r="GR32" s="13">
        <f t="shared" si="113"/>
        <v>2.3883139181139046</v>
      </c>
      <c r="GV32">
        <v>212392</v>
      </c>
      <c r="GW32" t="s">
        <v>24</v>
      </c>
      <c r="GY32" s="148">
        <f t="shared" si="96"/>
        <v>2860.6</v>
      </c>
      <c r="GZ32" s="148">
        <f t="shared" si="97"/>
        <v>2932.558</v>
      </c>
      <c r="HA32" s="148">
        <f t="shared" si="98"/>
        <v>2685.0430000000001</v>
      </c>
      <c r="HB32" s="149">
        <f>U32*0.001</f>
        <v>3349.643</v>
      </c>
      <c r="HC32" s="182">
        <f>(N32/J32)*HB32</f>
        <v>2648.06422992126</v>
      </c>
      <c r="HD32" s="219">
        <f>'Preliminary estimates - 2017'!AT29</f>
        <v>2686.3870000000002</v>
      </c>
      <c r="HF32" s="148">
        <f t="shared" si="101"/>
        <v>6.4801807591304339</v>
      </c>
      <c r="HG32" s="148">
        <f t="shared" si="102"/>
        <v>5.1463500365961963</v>
      </c>
      <c r="HH32" s="148">
        <f t="shared" si="103"/>
        <v>3.4129257000000002</v>
      </c>
      <c r="HI32" s="148">
        <f t="shared" si="104"/>
        <v>2.9674478919237202</v>
      </c>
      <c r="HJ32" s="148">
        <f t="shared" si="105"/>
        <v>1.6120317274436264</v>
      </c>
      <c r="HK32" s="148">
        <f t="shared" si="0"/>
        <v>2.3883139181139046</v>
      </c>
      <c r="HL32" s="148">
        <f>'Preliminary estimates - 2017'!AL29</f>
        <v>3.6764969525786029</v>
      </c>
      <c r="HN32">
        <v>2012</v>
      </c>
      <c r="HO32" s="79">
        <f>Prices!E27</f>
        <v>2.9351111111111114</v>
      </c>
      <c r="HP32" s="16">
        <f>Prices!F27</f>
        <v>0</v>
      </c>
      <c r="HQ32" s="79">
        <f>Prices!G27</f>
        <v>24.810038526297763</v>
      </c>
      <c r="HR32" s="16">
        <f>Prices!H27</f>
        <v>0</v>
      </c>
      <c r="HS32" s="79">
        <f>Prices!I27</f>
        <v>23.690967879144978</v>
      </c>
      <c r="HT32" s="16">
        <f>Prices!J27</f>
        <v>0</v>
      </c>
      <c r="HU32" s="79">
        <f>Prices!K27</f>
        <v>17.477465662472557</v>
      </c>
      <c r="HV32" s="16">
        <f>Prices!L27</f>
        <v>0</v>
      </c>
      <c r="HW32" s="79">
        <f>Prices!M27</f>
        <v>3.7743190661478598</v>
      </c>
      <c r="HX32" s="16">
        <f>Prices!N27</f>
        <v>0</v>
      </c>
      <c r="HY32" s="79">
        <f>Prices!O27</f>
        <v>15.812542587245639</v>
      </c>
    </row>
    <row r="33" spans="1:235" x14ac:dyDescent="0.2">
      <c r="A33">
        <v>1479</v>
      </c>
      <c r="C33">
        <v>212393</v>
      </c>
      <c r="D33" t="s">
        <v>27</v>
      </c>
      <c r="E33">
        <v>99</v>
      </c>
      <c r="F33">
        <v>4100</v>
      </c>
      <c r="G33">
        <v>45</v>
      </c>
      <c r="H33" s="3">
        <v>2160</v>
      </c>
      <c r="I33">
        <v>47</v>
      </c>
      <c r="J33" s="3">
        <v>1963</v>
      </c>
      <c r="K33" s="3"/>
      <c r="L33" s="3"/>
      <c r="M33" s="3">
        <f>[3]ECN_2012_US_21SG1_with_ann!H28</f>
        <v>28</v>
      </c>
      <c r="N33" s="3">
        <f>[3]ECN_2012_US_21SG1_with_ann!L28</f>
        <v>1873</v>
      </c>
      <c r="O33" s="3"/>
      <c r="P33" s="3"/>
      <c r="Q33" s="3">
        <v>293700</v>
      </c>
      <c r="R33" s="3">
        <v>212685</v>
      </c>
      <c r="S33" s="24">
        <f>J33/H33*R33</f>
        <v>193287.34027777778</v>
      </c>
      <c r="T33" s="78">
        <v>212393</v>
      </c>
      <c r="U33" s="91">
        <v>268290</v>
      </c>
      <c r="V33" s="91">
        <f>[3]Sheet1!D30</f>
        <v>0</v>
      </c>
      <c r="W33" s="91"/>
      <c r="X33" s="23">
        <f t="shared" si="37"/>
        <v>202986.17013888888</v>
      </c>
      <c r="Y33" s="33"/>
      <c r="Z33" s="33"/>
      <c r="AA33" s="33"/>
      <c r="AB33" s="3"/>
      <c r="AC33" s="3"/>
      <c r="AD33" s="6"/>
      <c r="AE33" s="6"/>
      <c r="AF33" s="6"/>
      <c r="AG33" s="6"/>
      <c r="AH33" s="6"/>
      <c r="AI33" s="6">
        <f>Pivot_Table_2012!C25</f>
        <v>0</v>
      </c>
      <c r="AJ33" s="6"/>
      <c r="AK33" s="6"/>
      <c r="AL33" s="6"/>
      <c r="AM33" s="16"/>
      <c r="AN33" s="8">
        <v>1.6</v>
      </c>
      <c r="AO33" s="8">
        <v>65.2</v>
      </c>
      <c r="AP33" s="8">
        <v>1</v>
      </c>
      <c r="AQ33" s="8">
        <v>32.5</v>
      </c>
      <c r="AR33" s="6"/>
      <c r="AS33" s="14">
        <v>50</v>
      </c>
      <c r="AT33" s="8">
        <v>2150</v>
      </c>
      <c r="AU33" s="6">
        <v>56.2</v>
      </c>
      <c r="AV33" s="58">
        <v>9669</v>
      </c>
      <c r="AW33" s="174">
        <f>AV33/(AT33*AW$4)*AU33</f>
        <v>90.096263737569828</v>
      </c>
      <c r="AX33" s="6">
        <f>Pivot_Table_2012!E25</f>
        <v>8813</v>
      </c>
      <c r="AY33" s="174">
        <f t="shared" si="3"/>
        <v>58.683720581594656</v>
      </c>
      <c r="AZ33" s="16">
        <f>(AS33+AU33)/2</f>
        <v>53.1</v>
      </c>
      <c r="BA33" s="8"/>
      <c r="BB33" s="8"/>
      <c r="BC33" s="8">
        <v>1.3</v>
      </c>
      <c r="BD33" s="8">
        <v>41.3</v>
      </c>
      <c r="BE33" s="6"/>
      <c r="BF33" s="6"/>
      <c r="BG33" s="6"/>
      <c r="BH33" s="6"/>
      <c r="BI33" s="6"/>
      <c r="BJ33" s="175"/>
      <c r="BK33" s="6">
        <f>Pivot_Table_2012!I25</f>
        <v>0</v>
      </c>
      <c r="BL33" s="174"/>
      <c r="BM33" s="16"/>
      <c r="BN33" s="8">
        <v>37.1</v>
      </c>
      <c r="BO33" s="8">
        <v>18.399999999999999</v>
      </c>
      <c r="BP33" s="8">
        <v>45.1</v>
      </c>
      <c r="BQ33" s="8">
        <v>24.6</v>
      </c>
      <c r="BR33" s="6"/>
      <c r="BS33" s="14">
        <v>0.4</v>
      </c>
      <c r="BT33" s="8">
        <v>1350</v>
      </c>
      <c r="BU33" s="6">
        <v>0.4</v>
      </c>
      <c r="BV33" s="64"/>
      <c r="BW33" s="8">
        <v>3616</v>
      </c>
      <c r="BX33" s="169">
        <f>BW33/(BT33*BX$4)*BU33</f>
        <v>0.56081481481481477</v>
      </c>
      <c r="BY33" s="8">
        <f>Pivot_Table_2012!F25</f>
        <v>1764</v>
      </c>
      <c r="BZ33" s="169">
        <f t="shared" si="34"/>
        <v>0.54152577319587614</v>
      </c>
      <c r="CA33" s="16">
        <f t="shared" si="115"/>
        <v>0.4</v>
      </c>
      <c r="CB33" s="117">
        <v>0.2</v>
      </c>
      <c r="CC33" s="117">
        <v>0.2</v>
      </c>
      <c r="CD33" s="117">
        <v>0.3</v>
      </c>
      <c r="CE33" s="117">
        <v>0.3</v>
      </c>
      <c r="CF33" s="6"/>
      <c r="CG33" s="6"/>
      <c r="CH33" s="6"/>
      <c r="CI33" s="6"/>
      <c r="CJ33" s="6"/>
      <c r="CK33" s="175"/>
      <c r="CL33" s="8">
        <f>Pivot_Table_2012!G25</f>
        <v>3074</v>
      </c>
      <c r="CM33" s="99">
        <f>CL33/HQ16*0.001</f>
        <v>0.99500216570978828</v>
      </c>
      <c r="CN33" s="16"/>
      <c r="CO33" s="59">
        <v>0</v>
      </c>
      <c r="CP33" s="6"/>
      <c r="CQ33" s="6"/>
      <c r="CR33" s="6"/>
      <c r="CS33" s="6"/>
      <c r="CT33" s="6"/>
      <c r="CU33" s="6"/>
      <c r="CV33" s="6"/>
      <c r="CW33" s="6"/>
      <c r="CX33" s="6"/>
      <c r="CY33" s="141">
        <f t="shared" si="27"/>
        <v>610</v>
      </c>
      <c r="CZ33" s="122">
        <f t="shared" si="44"/>
        <v>3.8576971200825393E-2</v>
      </c>
      <c r="DA33" s="121">
        <f t="shared" si="45"/>
        <v>7.1979434447300594E-2</v>
      </c>
      <c r="DB33" s="138">
        <v>2.8</v>
      </c>
      <c r="DC33" s="131">
        <f t="shared" si="106"/>
        <v>41.7</v>
      </c>
      <c r="DD33" s="131">
        <f t="shared" si="46"/>
        <v>38.900000000000006</v>
      </c>
      <c r="DE33" s="131">
        <f t="shared" si="47"/>
        <v>38.900000000000006</v>
      </c>
      <c r="DF33" s="131">
        <v>41.7</v>
      </c>
      <c r="DG33" s="8"/>
      <c r="DH33" s="140">
        <f t="shared" si="48"/>
        <v>1.4613778705636848E-2</v>
      </c>
      <c r="DI33" s="131">
        <v>0.7</v>
      </c>
      <c r="DJ33" s="137">
        <f t="shared" si="107"/>
        <v>48.4</v>
      </c>
      <c r="DK33" s="131">
        <f t="shared" si="49"/>
        <v>47.699999999999996</v>
      </c>
      <c r="DL33" s="137">
        <f t="shared" si="50"/>
        <v>47.699999999999996</v>
      </c>
      <c r="DM33" s="131">
        <v>48.6</v>
      </c>
      <c r="DN33" s="8"/>
      <c r="DT33" s="108">
        <v>5792</v>
      </c>
      <c r="DU33" s="105">
        <v>0.25</v>
      </c>
      <c r="DV33" s="111"/>
      <c r="DW33" s="111"/>
      <c r="DX33" s="33"/>
      <c r="DY33" s="27"/>
      <c r="DZ33" s="105">
        <v>0.25</v>
      </c>
      <c r="EA33" s="27"/>
      <c r="EB33" s="27"/>
      <c r="EC33" s="27">
        <f>AG33+AV33+BI33+BW33+CJ33</f>
        <v>13285</v>
      </c>
      <c r="ED33" s="27">
        <v>20233</v>
      </c>
      <c r="EE33" s="27"/>
      <c r="EF33" s="27"/>
      <c r="EH33" s="21">
        <f t="shared" si="4"/>
        <v>1.2060865296963819E-2</v>
      </c>
      <c r="EI33">
        <f>Pivot_Table_2012!K25</f>
        <v>172</v>
      </c>
      <c r="EJ33" s="27">
        <f t="shared" si="5"/>
        <v>610</v>
      </c>
      <c r="EK33" s="27"/>
      <c r="EL33" s="27">
        <f t="shared" si="55"/>
        <v>13651</v>
      </c>
      <c r="EM33">
        <f>Pivot_Table_2012!J25</f>
        <v>14433</v>
      </c>
      <c r="EP33" s="13">
        <f t="shared" si="56"/>
        <v>0.72468491599999996</v>
      </c>
      <c r="EQ33" s="13">
        <f t="shared" si="57"/>
        <v>0</v>
      </c>
      <c r="ER33" s="13">
        <f t="shared" si="58"/>
        <v>0.37978999999999996</v>
      </c>
      <c r="ES33" s="13">
        <f t="shared" si="59"/>
        <v>0</v>
      </c>
      <c r="ET33" s="13">
        <f t="shared" si="60"/>
        <v>18.915199999999999</v>
      </c>
      <c r="EU33" s="13">
        <f t="shared" si="61"/>
        <v>2.5014285714285718E-2</v>
      </c>
      <c r="EV33" s="13">
        <f t="shared" si="62"/>
        <v>0</v>
      </c>
      <c r="EW33" s="13">
        <f t="shared" si="63"/>
        <v>20.71064726771942</v>
      </c>
      <c r="EY33" s="13">
        <f t="shared" si="64"/>
        <v>0.72468491599999996</v>
      </c>
      <c r="EZ33" s="13">
        <f t="shared" si="65"/>
        <v>0</v>
      </c>
      <c r="FA33" s="13">
        <f t="shared" si="66"/>
        <v>0.18931249999999999</v>
      </c>
      <c r="FB33" s="13">
        <f t="shared" si="67"/>
        <v>0.25965309999999997</v>
      </c>
      <c r="FC33" s="13">
        <f t="shared" si="68"/>
        <v>25.288800000000002</v>
      </c>
      <c r="FD33" s="13">
        <f t="shared" si="69"/>
        <v>3.7521428571428574E-2</v>
      </c>
      <c r="FE33" s="13">
        <f t="shared" si="70"/>
        <v>0</v>
      </c>
      <c r="FF33" s="13">
        <f t="shared" si="71"/>
        <v>26.151961369281246</v>
      </c>
      <c r="FO33" s="19">
        <f>2876/3302*FX33</f>
        <v>0.80410090096910947</v>
      </c>
      <c r="FQ33" s="13">
        <f t="shared" si="79"/>
        <v>0.65949640502777773</v>
      </c>
      <c r="FR33" s="13">
        <f t="shared" si="80"/>
        <v>0</v>
      </c>
      <c r="FS33" s="13">
        <f t="shared" si="81"/>
        <v>0.32736499999999996</v>
      </c>
      <c r="FT33" s="13">
        <f t="shared" si="82"/>
        <v>0</v>
      </c>
      <c r="FU33" s="13">
        <f t="shared" si="83"/>
        <v>0.41120000000000001</v>
      </c>
      <c r="FV33" s="13">
        <f t="shared" si="84"/>
        <v>0</v>
      </c>
      <c r="FW33" s="13">
        <f t="shared" si="85"/>
        <v>0</v>
      </c>
      <c r="FX33" s="13">
        <f t="shared" si="114"/>
        <v>0.9232062499999999</v>
      </c>
      <c r="GA33" s="13">
        <f>U33*GA$3</f>
        <v>0.91540547999999988</v>
      </c>
      <c r="GB33" s="13">
        <f>AH33*GB$3</f>
        <v>0</v>
      </c>
      <c r="GC33" s="13">
        <f>AW33*GC$3</f>
        <v>0.52481073627134422</v>
      </c>
      <c r="GD33" s="13">
        <f>BJ33*GD$3</f>
        <v>0</v>
      </c>
      <c r="GE33" s="13">
        <f>BX33*GE$3</f>
        <v>0.5765176296296296</v>
      </c>
      <c r="GF33" s="13">
        <f>CK33*GF$3</f>
        <v>0</v>
      </c>
      <c r="GG33" s="13">
        <f>CX33</f>
        <v>0</v>
      </c>
      <c r="GH33" s="13">
        <f>SUM(GB33:GG33)*(1+DZ33)</f>
        <v>1.3766604573762173</v>
      </c>
      <c r="GI33" s="13"/>
      <c r="GJ33" s="13"/>
      <c r="GK33" s="13">
        <f t="shared" si="94"/>
        <v>0</v>
      </c>
      <c r="GL33" s="13">
        <f t="shared" si="95"/>
        <v>0</v>
      </c>
      <c r="GM33" s="13">
        <f t="shared" si="108"/>
        <v>0.34183267238778886</v>
      </c>
      <c r="GN33" s="13">
        <f t="shared" si="109"/>
        <v>0</v>
      </c>
      <c r="GO33" s="13">
        <f t="shared" si="110"/>
        <v>0.55668849484536065</v>
      </c>
      <c r="GP33" s="13">
        <f t="shared" si="111"/>
        <v>0.12444634229698853</v>
      </c>
      <c r="GQ33" s="13">
        <f t="shared" si="112"/>
        <v>3.8576971200825393E-2</v>
      </c>
      <c r="GR33" s="13">
        <f t="shared" si="113"/>
        <v>1.074347625719795</v>
      </c>
      <c r="GV33">
        <v>212393</v>
      </c>
      <c r="GW33" t="s">
        <v>27</v>
      </c>
      <c r="GY33" s="148">
        <f t="shared" si="96"/>
        <v>293.7</v>
      </c>
      <c r="GZ33" s="148">
        <f t="shared" si="97"/>
        <v>212.685</v>
      </c>
      <c r="HA33" s="148">
        <f t="shared" si="98"/>
        <v>193.28734027777779</v>
      </c>
      <c r="HB33" s="149">
        <f>U33*0.001</f>
        <v>268.29000000000002</v>
      </c>
      <c r="HC33" s="182">
        <f>(N33/J33)*HB33</f>
        <v>255.98938869077944</v>
      </c>
      <c r="HD33" s="219">
        <f>'Preliminary estimates - 2017'!AT30</f>
        <v>223.00200000000001</v>
      </c>
      <c r="HF33" s="148">
        <f t="shared" si="101"/>
        <v>20.71064726771942</v>
      </c>
      <c r="HG33" s="148">
        <f t="shared" si="102"/>
        <v>26.151961369281246</v>
      </c>
      <c r="HH33" s="148">
        <f t="shared" si="103"/>
        <v>0.80410090096910947</v>
      </c>
      <c r="HI33" s="148">
        <f t="shared" si="104"/>
        <v>0.9232062499999999</v>
      </c>
      <c r="HJ33" s="148">
        <f t="shared" si="105"/>
        <v>1.3766604573762173</v>
      </c>
      <c r="HK33" s="148">
        <f t="shared" si="0"/>
        <v>1.074347625719795</v>
      </c>
      <c r="HL33" s="148">
        <f>'Preliminary estimates - 2017'!AL30</f>
        <v>1.1368257491720202</v>
      </c>
      <c r="HP33" s="16"/>
      <c r="HR33" s="16"/>
      <c r="HT33" s="16"/>
      <c r="HV33" s="16"/>
      <c r="HX33" s="16">
        <f>Prices!N28</f>
        <v>0</v>
      </c>
      <c r="HY33">
        <f>Prices!O28</f>
        <v>10.717544229458856</v>
      </c>
    </row>
    <row r="34" spans="1:235" x14ac:dyDescent="0.2">
      <c r="A34">
        <v>1499</v>
      </c>
      <c r="C34">
        <v>212399</v>
      </c>
      <c r="D34" t="s">
        <v>28</v>
      </c>
      <c r="E34">
        <v>281</v>
      </c>
      <c r="F34">
        <v>5500</v>
      </c>
      <c r="G34">
        <v>211</v>
      </c>
      <c r="H34" s="3">
        <v>3960</v>
      </c>
      <c r="I34">
        <v>242</v>
      </c>
      <c r="J34" s="3">
        <v>4005</v>
      </c>
      <c r="K34" s="3"/>
      <c r="L34" s="3"/>
      <c r="M34" s="3">
        <f>[3]ECN_2012_US_21SG1_with_ann!H29</f>
        <v>171</v>
      </c>
      <c r="N34" s="3">
        <f>[3]ECN_2012_US_21SG1_with_ann!L29</f>
        <v>2790</v>
      </c>
      <c r="O34" s="3"/>
      <c r="P34" s="3"/>
      <c r="Q34" s="3">
        <v>463700</v>
      </c>
      <c r="R34" s="3">
        <v>417239</v>
      </c>
      <c r="S34" s="24">
        <f>J34/H34*R34</f>
        <v>421980.35227272729</v>
      </c>
      <c r="T34" s="78">
        <v>212399</v>
      </c>
      <c r="U34" s="91">
        <v>536552</v>
      </c>
      <c r="V34" s="91">
        <f>[3]Sheet1!D31</f>
        <v>0</v>
      </c>
      <c r="W34" s="91"/>
      <c r="X34" s="23">
        <f>(R34+S34)/2</f>
        <v>419609.67613636365</v>
      </c>
      <c r="Y34" s="33"/>
      <c r="Z34" s="33"/>
      <c r="AA34" s="33"/>
      <c r="AB34" s="3"/>
      <c r="AC34" s="3"/>
      <c r="AD34" s="6"/>
      <c r="AE34" s="6"/>
      <c r="AF34" s="6"/>
      <c r="AG34" s="6"/>
      <c r="AH34" s="6"/>
      <c r="AI34" s="6">
        <f>Pivot_Table_2012!C26</f>
        <v>606</v>
      </c>
      <c r="AJ34" s="94">
        <f>AI34/HO$16</f>
        <v>9.1762568140520884</v>
      </c>
      <c r="AK34" s="94"/>
      <c r="AL34" s="94"/>
      <c r="AM34" s="16"/>
      <c r="AN34" s="8">
        <v>7.6</v>
      </c>
      <c r="AO34" s="8">
        <v>287.2</v>
      </c>
      <c r="AP34" s="8">
        <v>4.3</v>
      </c>
      <c r="AQ34" s="8">
        <v>134.5</v>
      </c>
      <c r="AR34" s="6">
        <v>6116</v>
      </c>
      <c r="AS34" s="6">
        <v>174.1</v>
      </c>
      <c r="AT34" s="6">
        <v>5072</v>
      </c>
      <c r="AU34" s="6">
        <f>$J34/$H34*AS34</f>
        <v>176.0784090909091</v>
      </c>
      <c r="AV34" s="6">
        <v>15872</v>
      </c>
      <c r="AW34" s="174">
        <f>AV34/(AT34*AW$4)*AU34</f>
        <v>196.42007881305548</v>
      </c>
      <c r="AX34" s="6">
        <f>Pivot_Table_2012!E26</f>
        <v>15712</v>
      </c>
      <c r="AY34" s="174">
        <f t="shared" si="3"/>
        <v>138.94865459510763</v>
      </c>
      <c r="AZ34" s="16">
        <f>(AS34+AU34)/2</f>
        <v>175.08920454545455</v>
      </c>
      <c r="BA34" s="6">
        <v>2.8</v>
      </c>
      <c r="BB34" s="6">
        <v>133.69999999999999</v>
      </c>
      <c r="BC34" s="8">
        <v>2.9</v>
      </c>
      <c r="BD34" s="8">
        <v>144.1</v>
      </c>
      <c r="BE34" s="6">
        <v>1199</v>
      </c>
      <c r="BF34" s="6">
        <v>54.6</v>
      </c>
      <c r="BG34" s="6">
        <v>1023</v>
      </c>
      <c r="BH34">
        <f>$J34/$H34*BF34</f>
        <v>55.220454545454551</v>
      </c>
      <c r="BI34">
        <v>1929</v>
      </c>
      <c r="BJ34" s="174">
        <f>BI34/(BG34*BJ$4)*BH34</f>
        <v>42.4522778954682</v>
      </c>
      <c r="BK34" s="6">
        <f>Pivot_Table_2012!I26</f>
        <v>3776</v>
      </c>
      <c r="BL34" s="174">
        <f t="shared" si="26"/>
        <v>43.706553651969621</v>
      </c>
      <c r="BM34" s="16">
        <f>(BF34+BH34)/2</f>
        <v>54.910227272727276</v>
      </c>
      <c r="BN34" s="59">
        <v>11.7</v>
      </c>
      <c r="BO34" s="6">
        <f>BN34/HW11</f>
        <v>3.9795918367346936</v>
      </c>
      <c r="BP34" s="146">
        <v>10.1</v>
      </c>
      <c r="BQ34" s="6">
        <f>BP34/HX12</f>
        <v>3.556338028169014</v>
      </c>
      <c r="BR34" s="6">
        <v>10795</v>
      </c>
      <c r="BS34" s="6">
        <v>3.6</v>
      </c>
      <c r="BT34" s="8">
        <v>18317</v>
      </c>
      <c r="BU34" s="6">
        <v>6.2</v>
      </c>
      <c r="BV34" s="6"/>
      <c r="BW34" s="8">
        <v>17417</v>
      </c>
      <c r="BX34" s="169">
        <f>BW34/(BT34*BX$4)*BU34</f>
        <v>3.0858550970409997</v>
      </c>
      <c r="BY34" s="8">
        <f>Pivot_Table_2012!F26</f>
        <v>12032</v>
      </c>
      <c r="BZ34" s="169">
        <f t="shared" si="34"/>
        <v>4.2195826197172464</v>
      </c>
      <c r="CA34" s="16">
        <f>(BS34+BU34)/2</f>
        <v>4.9000000000000004</v>
      </c>
      <c r="CB34" s="117">
        <v>2.8</v>
      </c>
      <c r="CC34" s="117">
        <v>3.5</v>
      </c>
      <c r="CD34" s="117">
        <v>1.7</v>
      </c>
      <c r="CE34" s="117">
        <v>2.4</v>
      </c>
      <c r="CF34" s="6">
        <v>1299</v>
      </c>
      <c r="CG34" s="6">
        <v>1.1000000000000001</v>
      </c>
      <c r="CH34" s="6">
        <v>888</v>
      </c>
      <c r="CI34" s="6">
        <f>$J34/$H34*CG34</f>
        <v>1.1125000000000003</v>
      </c>
      <c r="CJ34" s="6">
        <v>5189</v>
      </c>
      <c r="CK34" s="174">
        <f>CJ34/HQ$15*0.001</f>
        <v>2.2590335219851982</v>
      </c>
      <c r="CL34" s="8">
        <f>Pivot_Table_2012!G26</f>
        <v>4211</v>
      </c>
      <c r="CM34" s="174">
        <f>(CL34/(CJ34*HT$16))*CK34</f>
        <v>1.3100651553869957</v>
      </c>
      <c r="CN34" s="16">
        <f>(CG34+CI34)/2</f>
        <v>1.1062500000000002</v>
      </c>
      <c r="CO34" s="8">
        <v>2.2000000000000002</v>
      </c>
      <c r="CP34" s="6"/>
      <c r="CQ34" s="8">
        <v>0.7</v>
      </c>
      <c r="CR34" s="6"/>
      <c r="CS34" s="6"/>
      <c r="CT34" s="6"/>
      <c r="CU34" s="6"/>
      <c r="CV34" s="6"/>
      <c r="CW34" s="6"/>
      <c r="CX34" s="6"/>
      <c r="CY34" s="141">
        <f t="shared" si="27"/>
        <v>440</v>
      </c>
      <c r="CZ34" s="122">
        <f t="shared" si="44"/>
        <v>2.7826012013710121E-2</v>
      </c>
      <c r="DA34" s="121">
        <f t="shared" si="45"/>
        <v>0.43173431734317336</v>
      </c>
      <c r="DB34" s="131">
        <v>11.7</v>
      </c>
      <c r="DC34" s="131">
        <f t="shared" si="106"/>
        <v>38.799999999999997</v>
      </c>
      <c r="DD34" s="131">
        <f t="shared" si="46"/>
        <v>27.099999999999998</v>
      </c>
      <c r="DE34" s="131">
        <f t="shared" si="47"/>
        <v>27.099999999999998</v>
      </c>
      <c r="DF34" s="131">
        <v>38.799999999999997</v>
      </c>
      <c r="DG34" s="8"/>
      <c r="DH34" s="140">
        <f t="shared" si="48"/>
        <v>0.5482233502538072</v>
      </c>
      <c r="DI34" s="131">
        <v>10.8</v>
      </c>
      <c r="DJ34" s="137">
        <f t="shared" si="107"/>
        <v>30.499999999999996</v>
      </c>
      <c r="DK34" s="131">
        <f t="shared" si="49"/>
        <v>19.699999999999996</v>
      </c>
      <c r="DL34" s="137">
        <f t="shared" si="50"/>
        <v>19.699999999999996</v>
      </c>
      <c r="DM34" s="131">
        <v>30.5</v>
      </c>
      <c r="DN34" s="8"/>
      <c r="DO34" s="121">
        <f>DT34/(DT34-DP34)-1</f>
        <v>0.34810187875266307</v>
      </c>
      <c r="DP34">
        <v>7189</v>
      </c>
      <c r="DQ34" s="116">
        <v>1243</v>
      </c>
      <c r="DS34" s="34">
        <f>AC34+AR34+BE34+BR34+CF34+CS34</f>
        <v>19409</v>
      </c>
      <c r="DT34">
        <v>27841</v>
      </c>
      <c r="DU34" s="21">
        <v>0.2</v>
      </c>
      <c r="DV34" s="110"/>
      <c r="DW34" s="110"/>
      <c r="DX34" s="33">
        <f>AE34+AT34+BG34+CH34+BT34</f>
        <v>25300</v>
      </c>
      <c r="DY34" s="27"/>
      <c r="DZ34" s="21">
        <f>ED34/(EB34+EC34)-1</f>
        <v>5.8586990958496843E-2</v>
      </c>
      <c r="EA34" s="27">
        <v>2404</v>
      </c>
      <c r="EB34" s="27">
        <v>626</v>
      </c>
      <c r="EC34" s="27">
        <f>AG34+AV34+BI34+BW34+CJ34</f>
        <v>40407</v>
      </c>
      <c r="ED34" s="27">
        <v>43437</v>
      </c>
      <c r="EE34" s="27"/>
      <c r="EF34" s="27"/>
      <c r="EH34" s="21">
        <f t="shared" si="4"/>
        <v>5.090137857900312E-2</v>
      </c>
      <c r="EI34">
        <f>Pivot_Table_2012!K26</f>
        <v>1872</v>
      </c>
      <c r="EJ34" s="27">
        <f t="shared" si="5"/>
        <v>440</v>
      </c>
      <c r="EK34" s="27"/>
      <c r="EL34" s="27">
        <f t="shared" si="55"/>
        <v>36337</v>
      </c>
      <c r="EM34">
        <f>Pivot_Table_2012!J26</f>
        <v>38649</v>
      </c>
      <c r="EP34" s="13">
        <f t="shared" si="56"/>
        <v>0.72470538799999995</v>
      </c>
      <c r="EQ34" s="13">
        <f t="shared" si="57"/>
        <v>0</v>
      </c>
      <c r="ER34" s="13">
        <f t="shared" si="58"/>
        <v>1.6729399999999999</v>
      </c>
      <c r="ES34" s="13">
        <f t="shared" si="59"/>
        <v>0.84057189999999993</v>
      </c>
      <c r="ET34" s="13">
        <f t="shared" si="60"/>
        <v>4.0910204081632653</v>
      </c>
      <c r="EU34" s="13">
        <f t="shared" si="61"/>
        <v>0.43775000000000003</v>
      </c>
      <c r="EV34" s="13">
        <f t="shared" si="62"/>
        <v>0</v>
      </c>
      <c r="EW34" s="13">
        <f t="shared" si="63"/>
        <v>10.082677253016039</v>
      </c>
      <c r="EY34" s="13">
        <f t="shared" si="64"/>
        <v>0.72470538799999995</v>
      </c>
      <c r="EZ34" s="13">
        <f t="shared" si="65"/>
        <v>0</v>
      </c>
      <c r="FA34" s="13">
        <f t="shared" si="66"/>
        <v>0.78346249999999995</v>
      </c>
      <c r="FB34" s="13">
        <f t="shared" si="67"/>
        <v>0.90595669999999995</v>
      </c>
      <c r="FC34" s="13">
        <f t="shared" si="68"/>
        <v>3.6559154929577464</v>
      </c>
      <c r="FD34" s="13">
        <f t="shared" si="69"/>
        <v>0.30017142857142859</v>
      </c>
      <c r="FE34" s="13">
        <f t="shared" si="70"/>
        <v>0</v>
      </c>
      <c r="FF34" s="13">
        <f t="shared" si="71"/>
        <v>8.7405044013522772</v>
      </c>
      <c r="FH34" s="13">
        <f>R34*FH$3</f>
        <v>1.4236194679999998</v>
      </c>
      <c r="FI34" s="13">
        <f>AD34*FI$3</f>
        <v>0</v>
      </c>
      <c r="FJ34" s="13">
        <f>AS34*FJ$3</f>
        <v>1.0141324999999999</v>
      </c>
      <c r="FK34" s="13">
        <f>BF34*FK$3</f>
        <v>0.34327020000000003</v>
      </c>
      <c r="FL34" s="13">
        <f>BS34*FL$3</f>
        <v>3.7008000000000001</v>
      </c>
      <c r="FM34" s="13">
        <f>CG34*FM$3</f>
        <v>0.13757857142857144</v>
      </c>
      <c r="FN34" s="13">
        <f>CT34</f>
        <v>0</v>
      </c>
      <c r="FO34" s="13">
        <f t="shared" si="36"/>
        <v>7.0044424936007577</v>
      </c>
      <c r="FQ34" s="13">
        <f t="shared" si="79"/>
        <v>1.4397969619545454</v>
      </c>
      <c r="FR34" s="13">
        <f t="shared" si="80"/>
        <v>0</v>
      </c>
      <c r="FS34" s="13">
        <f t="shared" si="81"/>
        <v>1.0256567329545454</v>
      </c>
      <c r="FT34" s="13">
        <f t="shared" si="82"/>
        <v>0.34717099772727278</v>
      </c>
      <c r="FU34" s="13">
        <f t="shared" si="83"/>
        <v>6.3736000000000006</v>
      </c>
      <c r="FV34" s="13">
        <f t="shared" si="84"/>
        <v>0.13914196428571432</v>
      </c>
      <c r="FW34" s="13">
        <f t="shared" si="85"/>
        <v>0</v>
      </c>
      <c r="FX34" s="13">
        <f t="shared" si="114"/>
        <v>9.4626836339610385</v>
      </c>
      <c r="GA34" s="13">
        <f>U34*GA$3</f>
        <v>1.8307154239999999</v>
      </c>
      <c r="GB34" s="13">
        <f>AH34*GB$3</f>
        <v>0</v>
      </c>
      <c r="GC34" s="13">
        <f>AW34*GC$3</f>
        <v>1.144146959086048</v>
      </c>
      <c r="GD34" s="13">
        <f>BJ34*GD$3</f>
        <v>0.26689747112880857</v>
      </c>
      <c r="GE34" s="13">
        <f>BX34*GE$3</f>
        <v>3.1722590397581478</v>
      </c>
      <c r="GF34" s="13">
        <f>CK34*GF$3</f>
        <v>0.28254054978543447</v>
      </c>
      <c r="GG34" s="13">
        <f>CX34</f>
        <v>0</v>
      </c>
      <c r="GH34" s="13">
        <f>SUM(GB34:GG34)*(1+DZ34)</f>
        <v>5.150919179349482</v>
      </c>
      <c r="GI34" s="13"/>
      <c r="GJ34" s="13"/>
      <c r="GK34" s="13">
        <f t="shared" si="94"/>
        <v>0</v>
      </c>
      <c r="GL34" s="13">
        <f t="shared" si="95"/>
        <v>0.19033391883706841</v>
      </c>
      <c r="GM34" s="13">
        <f t="shared" si="108"/>
        <v>0.8093759130165018</v>
      </c>
      <c r="GN34" s="13">
        <f t="shared" si="109"/>
        <v>0.27478310280993301</v>
      </c>
      <c r="GO34" s="13">
        <f t="shared" si="110"/>
        <v>4.337730933069329</v>
      </c>
      <c r="GP34" s="13">
        <f t="shared" si="111"/>
        <v>0.16385172050590213</v>
      </c>
      <c r="GQ34" s="13">
        <f t="shared" si="112"/>
        <v>2.7826012013710121E-2</v>
      </c>
      <c r="GR34" s="13">
        <f t="shared" si="113"/>
        <v>6.0993281928421768</v>
      </c>
      <c r="GV34">
        <v>212399</v>
      </c>
      <c r="GW34" t="s">
        <v>28</v>
      </c>
      <c r="GY34" s="148">
        <f t="shared" si="96"/>
        <v>463.7</v>
      </c>
      <c r="GZ34" s="148">
        <f t="shared" si="97"/>
        <v>417.23900000000003</v>
      </c>
      <c r="HA34" s="148">
        <f t="shared" si="98"/>
        <v>421.98035227272732</v>
      </c>
      <c r="HB34" s="149">
        <f>U34*0.001</f>
        <v>536.55200000000002</v>
      </c>
      <c r="HC34" s="182">
        <f>(N34/J34)*HB34</f>
        <v>373.77779775280902</v>
      </c>
      <c r="HD34" s="219">
        <f>'Preliminary estimates - 2017'!AT31</f>
        <v>338.851</v>
      </c>
      <c r="HF34" s="148">
        <f t="shared" si="101"/>
        <v>10.082677253016039</v>
      </c>
      <c r="HG34" s="148">
        <f t="shared" si="102"/>
        <v>8.7405044013522772</v>
      </c>
      <c r="HH34" s="148">
        <f t="shared" si="103"/>
        <v>7.0044424936007577</v>
      </c>
      <c r="HI34" s="148">
        <f t="shared" si="104"/>
        <v>9.4626836339610385</v>
      </c>
      <c r="HJ34" s="148">
        <f t="shared" si="105"/>
        <v>5.150919179349482</v>
      </c>
      <c r="HK34" s="148">
        <f t="shared" si="0"/>
        <v>6.0993281928421768</v>
      </c>
      <c r="HL34" s="148">
        <f>'Preliminary estimates - 2017'!AL31</f>
        <v>6.2519296948863845</v>
      </c>
      <c r="HN34" s="60" t="str">
        <f>Prices!D30</f>
        <v>MMBtu/dollar</v>
      </c>
      <c r="HP34" s="16"/>
      <c r="HR34" s="16"/>
      <c r="HT34" s="16"/>
      <c r="HV34" s="16"/>
      <c r="HX34" s="16">
        <f>Prices!N30</f>
        <v>0</v>
      </c>
      <c r="HY34">
        <f>Prices!O30</f>
        <v>0</v>
      </c>
    </row>
    <row r="35" spans="1:235" x14ac:dyDescent="0.2">
      <c r="H35" s="3"/>
      <c r="J35" s="3"/>
      <c r="K35" s="3"/>
      <c r="L35" s="3"/>
      <c r="M35" s="3"/>
      <c r="N35" s="3"/>
      <c r="O35" s="3"/>
      <c r="P35" s="3"/>
      <c r="Q35" s="3"/>
      <c r="R35" s="3"/>
      <c r="S35" s="3"/>
      <c r="T35" s="3"/>
      <c r="U35" s="3"/>
      <c r="V35" s="3"/>
      <c r="W35" s="3"/>
      <c r="X35" s="3"/>
      <c r="Y35" s="3"/>
      <c r="Z35" s="3"/>
      <c r="AA35" s="3"/>
      <c r="AB35" s="3"/>
      <c r="AC35" s="3"/>
      <c r="AI35" s="6"/>
      <c r="AM35" s="16"/>
      <c r="AQ35" s="6"/>
      <c r="AR35" s="6"/>
      <c r="AS35" s="6"/>
      <c r="AT35" s="6"/>
      <c r="AW35" s="148"/>
      <c r="AX35" s="6"/>
      <c r="AY35" s="148"/>
      <c r="AZ35" s="16"/>
      <c r="BC35" s="6"/>
      <c r="BD35" s="6"/>
      <c r="BE35" s="6"/>
      <c r="BF35" s="6"/>
      <c r="BG35" s="6"/>
      <c r="BH35" s="6"/>
      <c r="BI35" s="6"/>
      <c r="BJ35" s="175"/>
      <c r="BK35" s="6"/>
      <c r="BL35" s="175"/>
      <c r="BM35" s="16"/>
      <c r="BN35" s="6"/>
      <c r="BO35" s="6"/>
      <c r="BP35" s="6"/>
      <c r="BQ35" s="6"/>
      <c r="BR35" s="6"/>
      <c r="BS35" s="6"/>
      <c r="BT35" s="6"/>
      <c r="BU35" s="6"/>
      <c r="BV35" s="6"/>
      <c r="BW35" s="6"/>
      <c r="BX35" s="94"/>
      <c r="BY35" s="8"/>
      <c r="BZ35" s="131"/>
      <c r="CA35" s="6"/>
      <c r="CB35" s="6"/>
      <c r="CC35" s="6"/>
      <c r="CD35" s="6"/>
      <c r="CE35" s="6"/>
      <c r="CF35" s="6"/>
      <c r="CG35" s="6"/>
      <c r="CH35" s="6"/>
      <c r="CI35" s="6"/>
      <c r="CJ35" s="6"/>
      <c r="CK35" s="175"/>
      <c r="CL35" s="8"/>
      <c r="CM35" s="148"/>
      <c r="CN35" s="16"/>
      <c r="CO35" s="6"/>
      <c r="CP35" s="6"/>
      <c r="CQ35" s="6"/>
      <c r="CR35" s="6"/>
      <c r="CS35" s="6"/>
      <c r="CT35" s="6"/>
      <c r="CU35" s="6"/>
      <c r="CV35" s="6"/>
      <c r="CW35" s="6"/>
      <c r="CX35" s="6"/>
      <c r="CY35" s="141"/>
      <c r="CZ35" s="115"/>
      <c r="DA35" s="8"/>
      <c r="DB35" s="8"/>
      <c r="DC35" s="8"/>
      <c r="DD35" s="8"/>
      <c r="DE35" s="8"/>
      <c r="DF35" s="8"/>
      <c r="DG35" s="8"/>
      <c r="DH35" s="8"/>
      <c r="DI35" s="8"/>
      <c r="DJ35" s="8"/>
      <c r="DK35" s="8"/>
      <c r="DL35" s="137"/>
      <c r="DM35" s="8"/>
      <c r="DN35" s="8"/>
      <c r="DO35" s="6"/>
      <c r="DP35" s="6"/>
      <c r="DQ35" s="6"/>
      <c r="DR35" s="6"/>
      <c r="DS35" s="6"/>
      <c r="DT35" s="6"/>
      <c r="DU35" s="6"/>
      <c r="DV35" s="6"/>
      <c r="DW35" s="6"/>
      <c r="DX35" s="6"/>
      <c r="EW35" s="13">
        <f>SUM(EW23:EW34)</f>
        <v>228.11975139307214</v>
      </c>
      <c r="GY35" s="148"/>
      <c r="GZ35" s="148"/>
      <c r="HA35" s="148"/>
      <c r="HB35" s="149"/>
      <c r="HC35" s="149"/>
      <c r="HD35" s="219"/>
      <c r="HF35" s="148"/>
      <c r="HG35" s="148"/>
      <c r="HH35" s="148"/>
      <c r="HI35" s="148"/>
      <c r="HJ35" s="148"/>
      <c r="HK35" s="148"/>
      <c r="HL35" s="148"/>
      <c r="HP35" s="16"/>
      <c r="HR35" s="16"/>
      <c r="HT35" s="16"/>
      <c r="HV35" s="16"/>
      <c r="HX35" s="16"/>
    </row>
    <row r="36" spans="1:235" x14ac:dyDescent="0.2">
      <c r="C36">
        <v>213111</v>
      </c>
      <c r="D36" s="108" t="s">
        <v>340</v>
      </c>
      <c r="H36" s="3"/>
      <c r="J36" s="3"/>
      <c r="K36" s="3"/>
      <c r="L36" s="3"/>
      <c r="M36" s="3"/>
      <c r="N36" s="3"/>
      <c r="O36" s="3"/>
      <c r="P36" s="3"/>
      <c r="Q36" s="3">
        <v>178900</v>
      </c>
      <c r="R36" s="3">
        <v>235719</v>
      </c>
      <c r="S36" s="3">
        <v>572351</v>
      </c>
      <c r="T36" s="78">
        <v>213111</v>
      </c>
      <c r="U36" s="91">
        <v>741595</v>
      </c>
      <c r="V36" s="91">
        <f>[3]Sheet1!D32</f>
        <v>277362</v>
      </c>
      <c r="W36" s="91"/>
      <c r="X36" s="3"/>
      <c r="Y36" s="3"/>
      <c r="Z36" s="3"/>
      <c r="AA36" s="3"/>
      <c r="AB36" s="3"/>
      <c r="AC36" s="3"/>
      <c r="AI36" s="6">
        <f>Pivot_Table_2012!C27</f>
        <v>0</v>
      </c>
      <c r="AM36" s="16"/>
      <c r="AN36">
        <v>87.1</v>
      </c>
      <c r="AO36">
        <v>2806.7</v>
      </c>
      <c r="AP36">
        <v>108.5</v>
      </c>
      <c r="AQ36">
        <v>3736.5</v>
      </c>
      <c r="AR36">
        <v>107442</v>
      </c>
      <c r="AS36" s="4">
        <v>3355.3</v>
      </c>
      <c r="AT36" s="6">
        <v>37355</v>
      </c>
      <c r="AU36" s="84">
        <f>AT36/(AR36*AU$4)*AS36</f>
        <v>995.12759028643882</v>
      </c>
      <c r="AV36">
        <v>179060</v>
      </c>
      <c r="AW36" s="174">
        <f>AV36/(AT36*AW$4)*AU36</f>
        <v>1700.4190908659341</v>
      </c>
      <c r="AX36" s="6">
        <f>Pivot_Table_2012!E27</f>
        <v>292092</v>
      </c>
      <c r="AY36" s="174">
        <f t="shared" si="3"/>
        <v>1982.1919306788859</v>
      </c>
      <c r="AZ36" s="16"/>
      <c r="BA36">
        <v>7.6</v>
      </c>
      <c r="BB36" s="6">
        <v>249.7</v>
      </c>
      <c r="BC36">
        <v>14.5</v>
      </c>
      <c r="BD36">
        <v>394.2</v>
      </c>
      <c r="BE36" s="6">
        <v>51921</v>
      </c>
      <c r="BF36" s="6">
        <v>1954.1</v>
      </c>
      <c r="BG36">
        <v>7278</v>
      </c>
      <c r="BH36" s="84">
        <f>BG36/(BE36*HV$14)*BF36</f>
        <v>209.46439828834977</v>
      </c>
      <c r="BI36" s="8">
        <v>36741</v>
      </c>
      <c r="BJ36" s="174">
        <f>BI36/(BG36*BJ$4)*BH36</f>
        <v>431.11543026934248</v>
      </c>
      <c r="BK36" s="6">
        <f>Pivot_Table_2012!I27</f>
        <v>125574</v>
      </c>
      <c r="BL36" s="174">
        <f t="shared" si="26"/>
        <v>774.97577909746371</v>
      </c>
      <c r="BM36" s="16"/>
      <c r="BN36" s="6">
        <v>0.7</v>
      </c>
      <c r="BO36" s="6">
        <v>0.4</v>
      </c>
      <c r="BP36" s="59">
        <v>0.8</v>
      </c>
      <c r="BQ36" s="120">
        <v>0.5</v>
      </c>
      <c r="BR36">
        <v>1184</v>
      </c>
      <c r="BS36">
        <v>0.6</v>
      </c>
      <c r="BT36">
        <v>311</v>
      </c>
      <c r="BU36" s="84">
        <f>BT36/(BR36*HX$14)*BS36</f>
        <v>0.14074349536103267</v>
      </c>
      <c r="BW36" s="8">
        <v>4600</v>
      </c>
      <c r="BX36" s="169">
        <f>BW36/(BT36*BX$4)*BU36</f>
        <v>1.0896589949324322</v>
      </c>
      <c r="BY36" s="8">
        <f>Pivot_Table_2012!F27</f>
        <v>0</v>
      </c>
      <c r="BZ36" s="169">
        <f t="shared" si="34"/>
        <v>0</v>
      </c>
      <c r="CB36">
        <v>16.7</v>
      </c>
      <c r="CC36">
        <v>17.899999999999999</v>
      </c>
      <c r="CD36" s="108">
        <v>13.6</v>
      </c>
      <c r="CE36" s="113">
        <v>12.6</v>
      </c>
      <c r="CF36" s="6">
        <v>26348</v>
      </c>
      <c r="CG36" s="6">
        <v>26</v>
      </c>
      <c r="CH36" s="6">
        <v>12681</v>
      </c>
      <c r="CI36" s="84">
        <f>CH36/(CF36*HR14)*CG36</f>
        <v>10.902448943004305</v>
      </c>
      <c r="CJ36" s="8">
        <v>83564</v>
      </c>
      <c r="CK36" s="174">
        <f>CJ36/HQ$15*0.001</f>
        <v>36.379625598606879</v>
      </c>
      <c r="CL36" s="8">
        <f>Pivot_Table_2012!G27</f>
        <v>195661</v>
      </c>
      <c r="CM36" s="174">
        <f>(CL36/(CJ36*HT$16))*CK36</f>
        <v>60.871208351502013</v>
      </c>
      <c r="CN36" s="16"/>
      <c r="CO36" s="59">
        <v>2</v>
      </c>
      <c r="CP36" s="93">
        <f>HY$37*CO36</f>
        <v>0.25404573370730221</v>
      </c>
      <c r="CQ36" s="59">
        <v>2</v>
      </c>
      <c r="CR36" s="93">
        <f>HY$38*CQ36</f>
        <v>0.26299100602093961</v>
      </c>
      <c r="CS36" s="6">
        <v>2410</v>
      </c>
      <c r="CT36" s="122">
        <f>HY$39*0.001*CS36</f>
        <v>0.25069855732725893</v>
      </c>
      <c r="CU36" s="6">
        <v>9543</v>
      </c>
      <c r="CV36" s="93">
        <f>HY$40*0.001*CU36</f>
        <v>0.90980584551148225</v>
      </c>
      <c r="CW36" s="6">
        <v>9487</v>
      </c>
      <c r="CX36" s="122">
        <f>HY$41*0.001*CW36</f>
        <v>0.45894032485875702</v>
      </c>
      <c r="CY36" s="141">
        <f t="shared" si="27"/>
        <v>25157</v>
      </c>
      <c r="CZ36" s="115"/>
      <c r="DA36" s="110">
        <f>DF36/DD36-1</f>
        <v>0.39351446099912368</v>
      </c>
      <c r="DB36" s="131">
        <v>3.8</v>
      </c>
      <c r="DC36" s="131">
        <f>DE36+DB36</f>
        <v>117.89999999999999</v>
      </c>
      <c r="DD36" s="116">
        <f>DE36</f>
        <v>114.1</v>
      </c>
      <c r="DE36" s="133">
        <f>Y36+AN36+BA36+BN36+CB36+CO36</f>
        <v>114.1</v>
      </c>
      <c r="DF36" s="131">
        <v>159</v>
      </c>
      <c r="DG36" s="131"/>
      <c r="DH36" s="110">
        <f>DM36/DK36-1</f>
        <v>0.36944045911047341</v>
      </c>
      <c r="DI36" s="131">
        <v>7.9</v>
      </c>
      <c r="DJ36" s="131"/>
      <c r="DK36" s="131">
        <f>DL36</f>
        <v>139.4</v>
      </c>
      <c r="DL36" s="136">
        <f>AA36+AP36+BC36+BP36+CD36+CQ36</f>
        <v>139.4</v>
      </c>
      <c r="DM36" s="131">
        <v>190.9</v>
      </c>
      <c r="DN36" s="131"/>
      <c r="DO36" s="121">
        <f>DT36/(DT36-DP36)-1</f>
        <v>0.32002760902667649</v>
      </c>
      <c r="DP36">
        <v>60739</v>
      </c>
      <c r="DR36" s="6"/>
      <c r="DS36" s="34">
        <f>AC36+AR36+BE36+BR36+CF36+CS36</f>
        <v>189305</v>
      </c>
      <c r="DT36" s="117">
        <f>245532+5000</f>
        <v>250532</v>
      </c>
      <c r="DU36" s="21">
        <f>DY36/DX36-1</f>
        <v>1.1421510242972843</v>
      </c>
      <c r="DV36" s="6">
        <v>76716</v>
      </c>
      <c r="DW36" s="6"/>
      <c r="DX36" s="33">
        <f>AE36+AT36+BG36+CH36+BT36+CU36</f>
        <v>67168</v>
      </c>
      <c r="DY36">
        <v>143884</v>
      </c>
      <c r="DZ36" s="21">
        <f t="shared" ref="DZ36:DZ42" si="118">ED36/(EB36+EC36)-1</f>
        <v>0.224353330015441</v>
      </c>
      <c r="EA36" s="60">
        <v>70324</v>
      </c>
      <c r="EB36">
        <v>9487</v>
      </c>
      <c r="EC36" s="27">
        <f>AG36+AV36+BI36+BW36+CJ36</f>
        <v>303965</v>
      </c>
      <c r="ED36" s="27">
        <v>383776</v>
      </c>
      <c r="EE36" s="27"/>
      <c r="EF36" s="27"/>
      <c r="EH36" s="180">
        <f t="shared" si="4"/>
        <v>0</v>
      </c>
      <c r="EI36">
        <f>Pivot_Table_2012!K27</f>
        <v>0</v>
      </c>
      <c r="EJ36" s="27">
        <f t="shared" si="5"/>
        <v>25157</v>
      </c>
      <c r="EK36">
        <f>Pivot_Table_2012!H27</f>
        <v>8258</v>
      </c>
      <c r="EL36" s="27">
        <f>AI36+AX36+BK36+BY36+CL36</f>
        <v>613327</v>
      </c>
      <c r="EM36">
        <f>Pivot_Table_2012!J27</f>
        <v>638484</v>
      </c>
      <c r="EP36" s="13">
        <f>C36*EP$3</f>
        <v>0.72713473199999989</v>
      </c>
      <c r="EQ36" s="13">
        <f>Z36*EQ$3</f>
        <v>0</v>
      </c>
      <c r="ER36" s="13">
        <f>AO36*ER$3</f>
        <v>16.349027499999998</v>
      </c>
      <c r="ES36" s="13">
        <f>BB36*ES$3</f>
        <v>1.5698638999999999</v>
      </c>
      <c r="ET36" s="13">
        <f>BO36*ET$3</f>
        <v>0.41120000000000001</v>
      </c>
      <c r="EU36" s="13">
        <f>CC36*EU$3</f>
        <v>2.2387785714285715</v>
      </c>
      <c r="EV36" s="13">
        <f>CP36</f>
        <v>0.25404573370730221</v>
      </c>
      <c r="EW36" s="13">
        <f>SUM(EQ36:EV36)*(1+DA36)</f>
        <v>29.017034155272604</v>
      </c>
      <c r="EY36" s="13">
        <f>C36*EY$3</f>
        <v>0.72713473199999989</v>
      </c>
      <c r="EZ36" s="13">
        <f>AB36*EZ$3</f>
        <v>0</v>
      </c>
      <c r="FA36" s="13">
        <f>AQ36*FA$3</f>
        <v>21.765112499999997</v>
      </c>
      <c r="FB36" s="13">
        <f>BD36*FB$3</f>
        <v>2.4783353999999997</v>
      </c>
      <c r="FC36" s="13">
        <f>BQ36*FC$3</f>
        <v>0.51400000000000001</v>
      </c>
      <c r="FD36" s="13">
        <f>CE36*FD$3</f>
        <v>1.5759000000000001</v>
      </c>
      <c r="FE36" s="13">
        <f>CR36</f>
        <v>0.26299100602093961</v>
      </c>
      <c r="FF36" s="13">
        <f>SUM(EZ36:FE36)*(1+DH36)</f>
        <v>36.422102562119058</v>
      </c>
      <c r="FH36" s="13">
        <f>R36*FH$3</f>
        <v>0.8042732279999999</v>
      </c>
      <c r="FI36" s="13">
        <f>AD36*FI$3</f>
        <v>0</v>
      </c>
      <c r="FJ36" s="13">
        <f>AS36*FJ$3</f>
        <v>19.544622499999999</v>
      </c>
      <c r="FK36" s="13">
        <f>BF36*FK$3</f>
        <v>12.2854267</v>
      </c>
      <c r="FL36" s="13">
        <f>BS36*FL$3</f>
        <v>0.61680000000000001</v>
      </c>
      <c r="FM36" s="13">
        <f>CG36*FM$3</f>
        <v>3.2518571428571432</v>
      </c>
      <c r="FN36" s="13">
        <f>CT36</f>
        <v>0.25069855732725893</v>
      </c>
      <c r="FO36" s="13">
        <f t="shared" si="36"/>
        <v>47.454206996322299</v>
      </c>
      <c r="FQ36" s="13">
        <f>S36*FQ$3</f>
        <v>1.9528616119999997</v>
      </c>
      <c r="FR36" s="13">
        <f>AF36*FR$3</f>
        <v>0</v>
      </c>
      <c r="FS36" s="13">
        <f>AU36*FS$3</f>
        <v>5.7966182134185056</v>
      </c>
      <c r="FT36" s="13">
        <f>BH36*FT$3</f>
        <v>1.316902672038855</v>
      </c>
      <c r="FU36" s="13">
        <f>BU36*FU$3</f>
        <v>0.14468431323114159</v>
      </c>
      <c r="FV36" s="13">
        <f>CI36*FV$3</f>
        <v>1.3635848642286101</v>
      </c>
      <c r="FW36" s="13">
        <f>CV36</f>
        <v>0.90980584551148225</v>
      </c>
      <c r="FX36" s="13">
        <f>SUM(FR36:FW36)*(1+DU36)</f>
        <v>20.418117938428118</v>
      </c>
      <c r="GA36" s="13">
        <f>U36*GA$3</f>
        <v>2.5303221399999996</v>
      </c>
      <c r="GB36" s="13">
        <f>AH36*GB$3</f>
        <v>0</v>
      </c>
      <c r="GC36" s="13">
        <f>AW36*GC$3</f>
        <v>9.9049412042940652</v>
      </c>
      <c r="GD36" s="13">
        <f>BJ36*GD$3</f>
        <v>2.710422710103356</v>
      </c>
      <c r="GE36" s="13">
        <f>BX36*GE$3</f>
        <v>1.1201694467905403</v>
      </c>
      <c r="GF36" s="13">
        <f>CK36*GF$3</f>
        <v>4.5500517445114754</v>
      </c>
      <c r="GG36" s="13">
        <f>CX36</f>
        <v>0.45894032485875702</v>
      </c>
      <c r="GH36" s="13">
        <f>SUM(GB36:GG36)*(1+DZ36)</f>
        <v>22.949922130463044</v>
      </c>
      <c r="GI36" s="13"/>
      <c r="GJ36" s="13"/>
      <c r="GK36" s="13">
        <f>V36*GK$3</f>
        <v>0.94635914399999987</v>
      </c>
      <c r="GL36" s="13">
        <f>AJ36*GL$3</f>
        <v>0</v>
      </c>
      <c r="GM36" s="13">
        <f>AY36*GM$3</f>
        <v>11.546267996204509</v>
      </c>
      <c r="GN36" s="13">
        <f>BL36*GN$3</f>
        <v>4.8722727231857546</v>
      </c>
      <c r="GO36" s="13">
        <f>BZ36*GO$3</f>
        <v>0</v>
      </c>
      <c r="GP36" s="13">
        <f>CM36*GP$3</f>
        <v>7.6132489873914313</v>
      </c>
      <c r="GQ36" s="13">
        <f>CZ36</f>
        <v>0</v>
      </c>
      <c r="GR36" s="13">
        <f>SUM(GL36:GQ36)*(1+EH36)</f>
        <v>24.031789706781694</v>
      </c>
      <c r="GV36">
        <v>213111</v>
      </c>
      <c r="GW36" s="108" t="s">
        <v>340</v>
      </c>
      <c r="GY36" s="148">
        <f>Q36*0.001</f>
        <v>178.9</v>
      </c>
      <c r="GZ36" s="148">
        <f>R36*0.001</f>
        <v>235.71899999999999</v>
      </c>
      <c r="HA36" s="148">
        <f>S36*0.001</f>
        <v>572.351</v>
      </c>
      <c r="HB36" s="149">
        <f t="shared" ref="HB36:HC42" si="119">U36*0.001</f>
        <v>741.59500000000003</v>
      </c>
      <c r="HC36" s="149">
        <f t="shared" si="119"/>
        <v>277.36200000000002</v>
      </c>
      <c r="HD36" s="219">
        <f>'Preliminary estimates - 2017'!AT33</f>
        <v>1840.4950000000001</v>
      </c>
      <c r="HF36" s="148">
        <f t="shared" ref="HF36:HF42" si="120">EW36</f>
        <v>29.017034155272604</v>
      </c>
      <c r="HG36" s="148">
        <f t="shared" ref="HG36:HG42" si="121">FF36</f>
        <v>36.422102562119058</v>
      </c>
      <c r="HH36" s="148">
        <f t="shared" ref="HH36:HH42" si="122">FO36</f>
        <v>47.454206996322299</v>
      </c>
      <c r="HI36" s="148">
        <f t="shared" ref="HI36:HI42" si="123">FX36</f>
        <v>20.418117938428118</v>
      </c>
      <c r="HJ36" s="148">
        <f t="shared" ref="HJ36:HJ42" si="124">GH36</f>
        <v>22.949922130463044</v>
      </c>
      <c r="HK36" s="148">
        <f t="shared" si="0"/>
        <v>24.031789706781694</v>
      </c>
      <c r="HL36" s="148">
        <f>'Preliminary estimates - 2017'!AL33</f>
        <v>11.754590642379634</v>
      </c>
      <c r="HN36">
        <f>Prices!D33</f>
        <v>1982</v>
      </c>
      <c r="HO36" s="13">
        <f>Prices!E33</f>
        <v>0.69984447900466562</v>
      </c>
      <c r="HP36" s="16">
        <f>Prices!F33</f>
        <v>0</v>
      </c>
      <c r="HQ36" s="13">
        <f>Prices!G33</f>
        <v>0.15597737698305422</v>
      </c>
      <c r="HR36" s="16">
        <f>Prices!H33</f>
        <v>0</v>
      </c>
      <c r="HS36" s="13">
        <f>Prices!I33</f>
        <v>0.1984196020687187</v>
      </c>
      <c r="HT36" s="16">
        <f>Prices!J33</f>
        <v>0</v>
      </c>
      <c r="HU36" s="13">
        <f>Prices!K33</f>
        <v>0.20861530892167041</v>
      </c>
      <c r="HV36" s="16">
        <f>Prices!L33</f>
        <v>0</v>
      </c>
      <c r="HW36" s="13">
        <f>Prices!M33</f>
        <v>0.2656330749354005</v>
      </c>
      <c r="HX36" s="16">
        <f>Prices!N33</f>
        <v>0</v>
      </c>
      <c r="HY36" s="13">
        <f>Prices!O33</f>
        <v>9.6497991873316341E-2</v>
      </c>
    </row>
    <row r="37" spans="1:235" x14ac:dyDescent="0.2">
      <c r="C37">
        <v>213112</v>
      </c>
      <c r="D37" s="108" t="s">
        <v>354</v>
      </c>
      <c r="H37" s="3"/>
      <c r="J37" s="3"/>
      <c r="K37" s="3"/>
      <c r="L37" s="3"/>
      <c r="M37" s="3"/>
      <c r="N37" s="3"/>
      <c r="O37" s="3"/>
      <c r="P37" s="3"/>
      <c r="Q37" s="3"/>
      <c r="R37" s="3">
        <v>1348058</v>
      </c>
      <c r="S37" s="3">
        <v>585114</v>
      </c>
      <c r="T37" s="78">
        <v>213112</v>
      </c>
      <c r="U37" s="91">
        <v>1572079</v>
      </c>
      <c r="V37" s="91">
        <f>[3]Sheet1!D33</f>
        <v>1320367</v>
      </c>
      <c r="W37" s="91"/>
      <c r="X37" s="3"/>
      <c r="Y37" s="3"/>
      <c r="Z37" s="3"/>
      <c r="AA37" s="3"/>
      <c r="AB37" s="3"/>
      <c r="AC37" s="3"/>
      <c r="AG37">
        <v>1393</v>
      </c>
      <c r="AH37" s="95">
        <f>AG37/HO$15</f>
        <v>34.142156862745104</v>
      </c>
      <c r="AI37" s="6">
        <f>Pivot_Table_2012!C28</f>
        <v>1377</v>
      </c>
      <c r="AJ37" s="84">
        <f>AI37/(AG37*AI$4)*AH37</f>
        <v>20.850999394306481</v>
      </c>
      <c r="AK37" s="84"/>
      <c r="AL37" s="84"/>
      <c r="AM37" s="16"/>
      <c r="AR37">
        <v>52058</v>
      </c>
      <c r="AS37" s="4">
        <v>1424.8</v>
      </c>
      <c r="AT37" s="8">
        <v>30946</v>
      </c>
      <c r="AU37" s="84">
        <f>AT37/(AR37*AU$4)*AS37</f>
        <v>722.50973379430252</v>
      </c>
      <c r="AV37">
        <v>369615</v>
      </c>
      <c r="AW37" s="174">
        <f>AV37/(AT37*AW$4)*AU37</f>
        <v>3076.2110961545122</v>
      </c>
      <c r="AX37" s="6">
        <f>Pivot_Table_2012!E28</f>
        <v>700716</v>
      </c>
      <c r="AY37" s="174">
        <f t="shared" si="3"/>
        <v>4167.5155614278674</v>
      </c>
      <c r="AZ37" s="16"/>
      <c r="BE37" s="8">
        <v>24203</v>
      </c>
      <c r="BF37" s="8">
        <v>1032.0999999999999</v>
      </c>
      <c r="BG37" s="59">
        <v>88000</v>
      </c>
      <c r="BH37" s="84">
        <f>BG37/(BE37*HV$14)*BF37</f>
        <v>2869.6549528376395</v>
      </c>
      <c r="BI37" s="6">
        <v>66362</v>
      </c>
      <c r="BJ37" s="174">
        <f>BI37/(BG37*BJ$4)*BH37</f>
        <v>882.28907530802928</v>
      </c>
      <c r="BK37" s="6">
        <f>Pivot_Table_2012!I28</f>
        <v>425421</v>
      </c>
      <c r="BL37" s="174">
        <f t="shared" si="26"/>
        <v>2974.7889940601485</v>
      </c>
      <c r="BM37" s="16"/>
      <c r="BN37" s="8"/>
      <c r="BO37" s="8"/>
      <c r="BP37" s="6"/>
      <c r="BQ37" s="6"/>
      <c r="BR37" s="6">
        <v>2662</v>
      </c>
      <c r="BS37" s="6">
        <v>1.4</v>
      </c>
      <c r="BT37" s="59">
        <v>5000</v>
      </c>
      <c r="BU37" s="84">
        <f>BT37/(BR37*HX$14)*BS37</f>
        <v>2.3483259883901302</v>
      </c>
      <c r="BV37" s="6"/>
      <c r="BW37" s="6">
        <v>73268</v>
      </c>
      <c r="BX37" s="169">
        <f>BW37/(BT37*BX$4)*BU37</f>
        <v>18.012232735411967</v>
      </c>
      <c r="BY37" s="8">
        <f>Pivot_Table_2012!F28</f>
        <v>84702</v>
      </c>
      <c r="BZ37" s="169">
        <f t="shared" si="34"/>
        <v>41.21699946555956</v>
      </c>
      <c r="CA37" s="6"/>
      <c r="CB37" s="6"/>
      <c r="CC37" s="6"/>
      <c r="CD37" s="6"/>
      <c r="CE37" s="6"/>
      <c r="CF37" s="8">
        <v>59115</v>
      </c>
      <c r="CG37" s="8">
        <v>37.6</v>
      </c>
      <c r="CH37" s="8">
        <v>62932</v>
      </c>
      <c r="CI37" s="84">
        <f>CH37/(CF37*HR14)*CG37</f>
        <v>34.874384443948166</v>
      </c>
      <c r="CJ37" s="6">
        <v>288682</v>
      </c>
      <c r="CK37" s="174">
        <f>CJ37/HQ$15*0.001</f>
        <v>125.67784066173269</v>
      </c>
      <c r="CL37" s="8">
        <f>Pivot_Table_2012!G28</f>
        <v>635349</v>
      </c>
      <c r="CM37" s="174">
        <f>(CL37/(CJ37*HT$16))*CK37</f>
        <v>197.66055246021665</v>
      </c>
      <c r="CN37" s="16"/>
      <c r="CO37" s="6"/>
      <c r="CP37" s="6"/>
      <c r="CQ37" s="6"/>
      <c r="CR37" s="6"/>
      <c r="CS37" s="6">
        <v>8954</v>
      </c>
      <c r="CT37" s="122">
        <f>HY$39*0.001*CS37</f>
        <v>0.93143356112376618</v>
      </c>
      <c r="CU37" s="6">
        <v>18997</v>
      </c>
      <c r="CV37" s="93">
        <f>HY$40*0.001*CU37</f>
        <v>1.8111266527487822</v>
      </c>
      <c r="CW37" s="6">
        <v>15366</v>
      </c>
      <c r="CX37" s="122">
        <f>HY$41*0.001*CW37</f>
        <v>0.74334110169491519</v>
      </c>
      <c r="CY37" s="141">
        <f t="shared" si="27"/>
        <v>15334</v>
      </c>
      <c r="CZ37" s="115"/>
      <c r="DA37" s="131"/>
      <c r="DB37" s="131"/>
      <c r="DC37" s="131"/>
      <c r="DD37" s="131"/>
      <c r="DE37" s="131"/>
      <c r="DF37" s="131"/>
      <c r="DG37" s="131"/>
      <c r="DH37" s="131"/>
      <c r="DI37" s="131"/>
      <c r="DJ37" s="131"/>
      <c r="DK37" s="131"/>
      <c r="DL37" s="137"/>
      <c r="DM37" s="131"/>
      <c r="DN37" s="131"/>
      <c r="DO37" s="121">
        <f>DT37/(DT37-DP37)-1</f>
        <v>0.90585387084489422</v>
      </c>
      <c r="DP37" s="6">
        <v>133204</v>
      </c>
      <c r="DQ37" s="6"/>
      <c r="DR37" s="6"/>
      <c r="DS37" s="34">
        <f>AC37+AR37+BE37+BR37+CF37+CS37</f>
        <v>146992</v>
      </c>
      <c r="DT37" s="117">
        <f>268252+12000</f>
        <v>280252</v>
      </c>
      <c r="DU37" s="21">
        <f>DY37/DX37-1</f>
        <v>0.24539647844565882</v>
      </c>
      <c r="DV37" s="92">
        <v>50210</v>
      </c>
      <c r="DW37" s="92"/>
      <c r="DX37" s="33">
        <f>AE37+AT37+BG37+CH37+BT37+CU37</f>
        <v>205875</v>
      </c>
      <c r="DY37">
        <v>256396</v>
      </c>
      <c r="DZ37" s="21">
        <f t="shared" si="118"/>
        <v>6.9559314877142953E-2</v>
      </c>
      <c r="EA37">
        <v>56669</v>
      </c>
      <c r="EB37">
        <v>15366</v>
      </c>
      <c r="EC37" s="27">
        <f>AG37+AV37+BI37+BW37+CJ37</f>
        <v>799320</v>
      </c>
      <c r="ED37" s="27">
        <v>871355</v>
      </c>
      <c r="EE37" s="27"/>
      <c r="EF37" s="27"/>
      <c r="EH37" s="179">
        <f t="shared" si="4"/>
        <v>2.2658233216079626E-3</v>
      </c>
      <c r="EI37">
        <f>Pivot_Table_2012!K28</f>
        <v>4221</v>
      </c>
      <c r="EJ37" s="27">
        <f t="shared" si="5"/>
        <v>15334</v>
      </c>
      <c r="EK37">
        <f>Pivot_Table_2012!H28</f>
        <v>15334</v>
      </c>
      <c r="EL37" s="27">
        <f>AI37+AX37+BK37+BY37+CL37</f>
        <v>1847565</v>
      </c>
      <c r="EM37">
        <f>Pivot_Table_2012!J28</f>
        <v>1867120</v>
      </c>
      <c r="EP37" s="13">
        <f>EP38+EP39</f>
        <v>0</v>
      </c>
      <c r="EQ37" s="13">
        <f t="shared" ref="EQ37:EW37" si="125">EQ38+EQ39</f>
        <v>0</v>
      </c>
      <c r="ER37" s="13">
        <f t="shared" si="125"/>
        <v>9.3141749999999988</v>
      </c>
      <c r="ES37" s="13">
        <f t="shared" si="125"/>
        <v>0</v>
      </c>
      <c r="ET37" s="13">
        <f t="shared" si="125"/>
        <v>4.3175999999999997</v>
      </c>
      <c r="EU37" s="13">
        <f t="shared" si="125"/>
        <v>8.2046857142857146</v>
      </c>
      <c r="EV37" s="13">
        <f t="shared" si="125"/>
        <v>0.91456464134628801</v>
      </c>
      <c r="EW37" s="13">
        <f t="shared" si="125"/>
        <v>37.959453233727352</v>
      </c>
      <c r="EY37" s="13">
        <f>EY38+EY39</f>
        <v>0</v>
      </c>
      <c r="EZ37" s="13">
        <f t="shared" ref="EZ37:FF37" si="126">EZ38+EZ39</f>
        <v>0</v>
      </c>
      <c r="FA37" s="13">
        <f t="shared" si="126"/>
        <v>9.8990049999999989</v>
      </c>
      <c r="FB37" s="13">
        <f t="shared" si="126"/>
        <v>1.2548851999999999</v>
      </c>
      <c r="FC37" s="13">
        <f t="shared" si="126"/>
        <v>1.7476</v>
      </c>
      <c r="FD37" s="13">
        <f t="shared" si="126"/>
        <v>4.3524857142857147</v>
      </c>
      <c r="FE37" s="13">
        <f t="shared" si="126"/>
        <v>0.4865333611387383</v>
      </c>
      <c r="FF37" s="13">
        <f t="shared" si="126"/>
        <v>37.934920266251055</v>
      </c>
      <c r="FH37" s="13">
        <f>R37*FH$3</f>
        <v>4.5995738959999999</v>
      </c>
      <c r="FI37" s="13">
        <f>AD37*FI$3</f>
        <v>0</v>
      </c>
      <c r="FJ37" s="13">
        <f>AS37*FJ$3</f>
        <v>8.2994599999999998</v>
      </c>
      <c r="FK37" s="13">
        <f>BF37*FK$3</f>
        <v>6.4888126999999995</v>
      </c>
      <c r="FL37" s="13">
        <f>BS37*FL$3</f>
        <v>1.4392</v>
      </c>
      <c r="FM37" s="13">
        <f>CG37*FM$3</f>
        <v>4.7026857142857148</v>
      </c>
      <c r="FN37" s="13">
        <f>CT37</f>
        <v>0.93143356112376618</v>
      </c>
      <c r="FO37" s="13">
        <f t="shared" si="36"/>
        <v>41.664999689165832</v>
      </c>
      <c r="FQ37" s="13">
        <f>S37*FQ$3</f>
        <v>1.9964089679999999</v>
      </c>
      <c r="FR37" s="13">
        <f>AF37*FR$3</f>
        <v>0</v>
      </c>
      <c r="FS37" s="13">
        <f>AU37*FS$3</f>
        <v>4.2086191993518121</v>
      </c>
      <c r="FT37" s="13">
        <f>BH37*FT$3</f>
        <v>18.041520688490241</v>
      </c>
      <c r="FU37" s="13">
        <f>BU37*FU$3</f>
        <v>2.4140791160650541</v>
      </c>
      <c r="FV37" s="13">
        <f>CI37*FV$3</f>
        <v>4.3617890829538029</v>
      </c>
      <c r="FW37" s="13">
        <f>CV37</f>
        <v>1.8111266527487822</v>
      </c>
      <c r="FX37" s="13">
        <f>SUM(FR37:FW37)*(1+DU37)</f>
        <v>38.404459010064201</v>
      </c>
      <c r="FZ37" s="13"/>
      <c r="GA37" s="13">
        <f>U37*GA$3</f>
        <v>5.3639335479999994</v>
      </c>
      <c r="GB37" s="13">
        <f>AH37*GB$3</f>
        <v>0.70817661764705897</v>
      </c>
      <c r="GC37" s="13">
        <f>AW37*GC$3</f>
        <v>17.918929635100032</v>
      </c>
      <c r="GD37" s="13">
        <f>BJ37*GD$3</f>
        <v>5.5469514164615799</v>
      </c>
      <c r="GE37" s="13">
        <f>BX37*GE$3</f>
        <v>18.516575252003502</v>
      </c>
      <c r="GF37" s="13">
        <f>CK37*GF$3</f>
        <v>15.718707071335283</v>
      </c>
      <c r="GG37" s="13">
        <f>CX37</f>
        <v>0.74334110169491519</v>
      </c>
      <c r="GH37" s="13">
        <f>SUM(GB37:GG37)*(1+DZ37)</f>
        <v>63.267301064303993</v>
      </c>
      <c r="GI37" s="13"/>
      <c r="GJ37" s="13"/>
      <c r="GK37" s="13">
        <f>V37*GK$3</f>
        <v>4.5050922039999994</v>
      </c>
      <c r="GL37" s="13">
        <f>AJ37*GL$3</f>
        <v>0.43249142943670504</v>
      </c>
      <c r="GM37" s="13">
        <f>AY37*GM$3</f>
        <v>24.275778145317325</v>
      </c>
      <c r="GN37" s="13">
        <f>BL37*GN$3</f>
        <v>18.702498405656154</v>
      </c>
      <c r="GO37" s="13">
        <f>BZ37*GO$3</f>
        <v>42.371075450595228</v>
      </c>
      <c r="GP37" s="13">
        <f>CM37*GP$3</f>
        <v>24.721687668417101</v>
      </c>
      <c r="GQ37" s="13">
        <f>CZ37</f>
        <v>0</v>
      </c>
      <c r="GR37" s="13">
        <f>SUM(GL37:GQ37)*(1+EH37)</f>
        <v>110.75391257730762</v>
      </c>
      <c r="GV37">
        <v>213112</v>
      </c>
      <c r="GW37" s="108" t="s">
        <v>354</v>
      </c>
      <c r="GY37" s="148">
        <f>GY38+GY39</f>
        <v>955</v>
      </c>
      <c r="GZ37" s="148">
        <f t="shared" ref="GZ37:HA42" si="127">R37*0.001</f>
        <v>1348.058</v>
      </c>
      <c r="HA37" s="148">
        <f t="shared" si="127"/>
        <v>585.11400000000003</v>
      </c>
      <c r="HB37" s="149">
        <f t="shared" si="119"/>
        <v>1572.079</v>
      </c>
      <c r="HC37" s="149">
        <f t="shared" si="119"/>
        <v>1320.367</v>
      </c>
      <c r="HD37" s="149">
        <f>'Preliminary estimates - 2017'!AT34</f>
        <v>6545.8850000000002</v>
      </c>
      <c r="HF37" s="148">
        <f t="shared" si="120"/>
        <v>37.959453233727352</v>
      </c>
      <c r="HG37" s="148">
        <f t="shared" si="121"/>
        <v>37.934920266251055</v>
      </c>
      <c r="HH37" s="148">
        <f t="shared" si="122"/>
        <v>41.664999689165832</v>
      </c>
      <c r="HI37" s="148">
        <f t="shared" si="123"/>
        <v>38.404459010064201</v>
      </c>
      <c r="HJ37" s="148">
        <f t="shared" si="124"/>
        <v>63.267301064303993</v>
      </c>
      <c r="HK37" s="148">
        <f t="shared" si="0"/>
        <v>110.75391257730762</v>
      </c>
      <c r="HL37" s="148">
        <f>'Preliminary estimates - 2017'!AL34</f>
        <v>123.88651419850765</v>
      </c>
      <c r="HN37">
        <f>Prices!D34</f>
        <v>1987</v>
      </c>
      <c r="HO37" s="13">
        <f>Prices!E34</f>
        <v>0.79815537424618654</v>
      </c>
      <c r="HP37" s="16">
        <f>Prices!F34</f>
        <v>0</v>
      </c>
      <c r="HQ37" s="13">
        <f>Prices!G34</f>
        <v>0.2132348951160741</v>
      </c>
      <c r="HR37" s="16">
        <f>Prices!H34</f>
        <v>0</v>
      </c>
      <c r="HS37" s="13">
        <f>Prices!I34</f>
        <v>0.25857696886007225</v>
      </c>
      <c r="HT37" s="16">
        <f>Prices!J34</f>
        <v>0</v>
      </c>
      <c r="HU37" s="13">
        <f>Prices!K34</f>
        <v>0.33918223303698158</v>
      </c>
      <c r="HV37" s="16">
        <f>Prices!L34</f>
        <v>0</v>
      </c>
      <c r="HW37" s="13">
        <f>Prices!M34</f>
        <v>0.34965986394557824</v>
      </c>
      <c r="HX37" s="16">
        <f>Prices!N34</f>
        <v>0</v>
      </c>
      <c r="HY37" s="13">
        <f>Prices!O34</f>
        <v>0.12702286685365111</v>
      </c>
    </row>
    <row r="38" spans="1:235" x14ac:dyDescent="0.2">
      <c r="D38" s="108" t="s">
        <v>353</v>
      </c>
      <c r="H38" s="3"/>
      <c r="J38" s="3"/>
      <c r="K38" s="3"/>
      <c r="L38" s="3"/>
      <c r="M38" s="3"/>
      <c r="N38" s="3"/>
      <c r="O38" s="3"/>
      <c r="P38" s="3"/>
      <c r="Q38" s="3">
        <v>126300</v>
      </c>
      <c r="R38" s="3"/>
      <c r="S38" s="3"/>
      <c r="T38" s="78"/>
      <c r="U38" s="91"/>
      <c r="X38" s="3"/>
      <c r="Y38" s="3"/>
      <c r="Z38" s="3"/>
      <c r="AA38" s="3"/>
      <c r="AB38" s="3"/>
      <c r="AC38" s="3"/>
      <c r="AH38" s="95"/>
      <c r="AM38" s="16"/>
      <c r="AN38">
        <v>4.5999999999999996</v>
      </c>
      <c r="AO38">
        <v>157.9</v>
      </c>
      <c r="AP38">
        <v>4.3</v>
      </c>
      <c r="AQ38">
        <v>176.7</v>
      </c>
      <c r="AS38" s="4"/>
      <c r="AT38" s="8"/>
      <c r="AU38" s="84"/>
      <c r="AW38" s="174"/>
      <c r="AY38" s="148"/>
      <c r="AZ38" s="16"/>
      <c r="BE38" s="8"/>
      <c r="BF38" s="8"/>
      <c r="BG38" s="59"/>
      <c r="BH38" s="84"/>
      <c r="BI38" s="6"/>
      <c r="BJ38" s="174"/>
      <c r="BL38" s="175"/>
      <c r="BM38" s="16"/>
      <c r="BN38" s="8">
        <v>0.2</v>
      </c>
      <c r="BO38" s="8">
        <v>0.1</v>
      </c>
      <c r="BP38" s="6"/>
      <c r="BQ38" s="6"/>
      <c r="BR38" s="6"/>
      <c r="BS38" s="6"/>
      <c r="BT38" s="59"/>
      <c r="BU38" s="84"/>
      <c r="BV38" s="6"/>
      <c r="BW38" s="6"/>
      <c r="BX38" s="169"/>
      <c r="BZ38" s="131"/>
      <c r="CA38" s="6"/>
      <c r="CB38" s="8">
        <v>5.9</v>
      </c>
      <c r="CC38" s="8">
        <v>5.9</v>
      </c>
      <c r="CD38" s="6">
        <v>3.8</v>
      </c>
      <c r="CE38" s="8">
        <v>3.6</v>
      </c>
      <c r="CF38" s="8"/>
      <c r="CG38" s="8"/>
      <c r="CH38" s="8"/>
      <c r="CI38" s="84"/>
      <c r="CJ38" s="6"/>
      <c r="CK38" s="174"/>
      <c r="CM38" s="148"/>
      <c r="CN38" s="16"/>
      <c r="CO38" s="6"/>
      <c r="CP38" s="6"/>
      <c r="CQ38" s="6"/>
      <c r="CR38" s="6"/>
      <c r="CS38" s="6"/>
      <c r="CT38" s="122"/>
      <c r="CU38" s="6"/>
      <c r="CV38" s="93"/>
      <c r="CW38" s="6"/>
      <c r="CX38" s="122"/>
      <c r="CY38" s="141"/>
      <c r="CZ38" s="115"/>
      <c r="DA38" s="110">
        <f>DF38/DD38-1</f>
        <v>1.9626168224299065</v>
      </c>
      <c r="DB38" s="131"/>
      <c r="DC38" s="131"/>
      <c r="DD38" s="147">
        <f>DE38</f>
        <v>10.7</v>
      </c>
      <c r="DE38" s="133">
        <f>Y38+AN38+BA38+BN38+CB38+CO38</f>
        <v>10.7</v>
      </c>
      <c r="DF38" s="131">
        <v>31.7</v>
      </c>
      <c r="DG38" s="131"/>
      <c r="DH38" s="110">
        <f>DM38/DK38-1</f>
        <v>2.617283950617284</v>
      </c>
      <c r="DI38" s="131">
        <v>7.9</v>
      </c>
      <c r="DJ38" s="131"/>
      <c r="DK38" s="131">
        <f>DL38</f>
        <v>8.1</v>
      </c>
      <c r="DL38" s="136">
        <f>AA38+AP38+BC38+BP38+CD38+CQ38</f>
        <v>8.1</v>
      </c>
      <c r="DM38" s="131">
        <v>29.3</v>
      </c>
      <c r="DN38" s="131"/>
      <c r="DO38" s="121"/>
      <c r="DP38" s="6"/>
      <c r="DQ38" s="6"/>
      <c r="DR38" s="6"/>
      <c r="DS38" s="34"/>
      <c r="DT38" s="117"/>
      <c r="DU38" s="21"/>
      <c r="DV38" s="92"/>
      <c r="DW38" s="92"/>
      <c r="DX38" s="33"/>
      <c r="DZ38" s="21"/>
      <c r="EC38" s="27"/>
      <c r="ED38" s="27"/>
      <c r="EE38" s="27"/>
      <c r="EF38" s="27"/>
      <c r="EL38" s="27">
        <f>AI38+AX38+BK38+BY38+CL38</f>
        <v>0</v>
      </c>
      <c r="EP38" s="13">
        <f>C38*EP$3</f>
        <v>0</v>
      </c>
      <c r="EQ38" s="13">
        <f>Z38*EQ$3</f>
        <v>0</v>
      </c>
      <c r="ER38" s="13">
        <f>AO38*ER$3</f>
        <v>0.91976749999999996</v>
      </c>
      <c r="ES38" s="13">
        <f>BB38*ES$3</f>
        <v>0</v>
      </c>
      <c r="ET38" s="13">
        <f>BO38*ET$3</f>
        <v>0.1028</v>
      </c>
      <c r="EU38" s="13">
        <f>CC38*EU$3</f>
        <v>0.73792142857142873</v>
      </c>
      <c r="EV38" s="13">
        <f>CP38</f>
        <v>0</v>
      </c>
      <c r="EW38" s="13">
        <f>SUM(EQ38:EV38)*(1+DA38)</f>
        <v>5.2156541154873164</v>
      </c>
      <c r="EY38" s="13">
        <f>C38*EY$3</f>
        <v>0</v>
      </c>
      <c r="EZ38" s="13">
        <f>AB38*EZ$3</f>
        <v>0</v>
      </c>
      <c r="FA38" s="13">
        <f>AQ38*FA$3</f>
        <v>1.0292774999999998</v>
      </c>
      <c r="FB38" s="13">
        <f>BD38*FB$3</f>
        <v>0</v>
      </c>
      <c r="FC38" s="13">
        <f>BQ38*FC$3</f>
        <v>0</v>
      </c>
      <c r="FD38" s="13">
        <f>CE38*FD$3</f>
        <v>0.45025714285714291</v>
      </c>
      <c r="FE38" s="13">
        <f>CR38</f>
        <v>0</v>
      </c>
      <c r="FF38" s="13">
        <f>SUM(EZ38:FE38)*(1+DH38)</f>
        <v>5.3518969179894178</v>
      </c>
      <c r="FH38" s="13"/>
      <c r="FI38" s="13"/>
      <c r="FJ38" s="13"/>
      <c r="FK38" s="13"/>
      <c r="FL38" s="13"/>
      <c r="FM38" s="13"/>
      <c r="FN38" s="13"/>
      <c r="FO38" s="13"/>
      <c r="FQ38" s="13"/>
      <c r="FR38" s="13"/>
      <c r="FS38" s="13"/>
      <c r="FT38" s="13"/>
      <c r="FU38" s="13"/>
      <c r="FV38" s="13"/>
      <c r="FW38" s="13"/>
      <c r="FX38" s="13"/>
      <c r="FZ38" s="13"/>
      <c r="GA38" s="13"/>
      <c r="GB38" s="13"/>
      <c r="GC38" s="13"/>
      <c r="GD38" s="13"/>
      <c r="GE38" s="13"/>
      <c r="GF38" s="13"/>
      <c r="GG38" s="13"/>
      <c r="GH38" s="13"/>
      <c r="GI38" s="13"/>
      <c r="GJ38" s="13"/>
      <c r="GK38" s="13"/>
      <c r="GL38" s="13"/>
      <c r="GM38" s="13"/>
      <c r="GN38" s="13"/>
      <c r="GO38" s="13"/>
      <c r="GP38" s="13"/>
      <c r="GW38" s="108" t="s">
        <v>353</v>
      </c>
      <c r="GY38" s="148">
        <f>Q38*0.001</f>
        <v>126.3</v>
      </c>
      <c r="GZ38" s="148">
        <f t="shared" si="127"/>
        <v>0</v>
      </c>
      <c r="HA38" s="148">
        <f t="shared" si="127"/>
        <v>0</v>
      </c>
      <c r="HB38" s="149">
        <f t="shared" si="119"/>
        <v>0</v>
      </c>
      <c r="HC38" s="149">
        <f t="shared" si="119"/>
        <v>0</v>
      </c>
      <c r="HF38" s="148">
        <f t="shared" si="120"/>
        <v>5.2156541154873164</v>
      </c>
      <c r="HG38" s="148">
        <f t="shared" si="121"/>
        <v>5.3518969179894178</v>
      </c>
      <c r="HH38" s="148">
        <f t="shared" si="122"/>
        <v>0</v>
      </c>
      <c r="HI38" s="148">
        <f t="shared" si="123"/>
        <v>0</v>
      </c>
      <c r="HJ38" s="148">
        <f t="shared" si="124"/>
        <v>0</v>
      </c>
      <c r="HK38" s="148"/>
      <c r="HN38">
        <f>Prices!D35</f>
        <v>1992</v>
      </c>
      <c r="HO38" s="13">
        <f>Prices!E35</f>
        <v>0.84017923823749063</v>
      </c>
      <c r="HP38" s="16">
        <f>Prices!F35</f>
        <v>0</v>
      </c>
      <c r="HQ38" s="13">
        <f>Prices!G35</f>
        <v>0.17936706350491416</v>
      </c>
      <c r="HR38" s="16">
        <f>Prices!H35</f>
        <v>0</v>
      </c>
      <c r="HS38" s="13">
        <f>Prices!I35</f>
        <v>0.21772983132505383</v>
      </c>
      <c r="HT38" s="16">
        <f>Prices!J35</f>
        <v>0</v>
      </c>
      <c r="HU38" s="13">
        <f>Prices!K35</f>
        <v>0.42546543266919629</v>
      </c>
      <c r="HV38" s="16">
        <f>Prices!L35</f>
        <v>0</v>
      </c>
      <c r="HW38" s="13">
        <f>Prices!M35</f>
        <v>0.36197183098591551</v>
      </c>
      <c r="HX38" s="16">
        <f>Prices!N35</f>
        <v>0</v>
      </c>
      <c r="HY38" s="13">
        <f>Prices!O35</f>
        <v>0.13149550301046981</v>
      </c>
    </row>
    <row r="39" spans="1:235" x14ac:dyDescent="0.2">
      <c r="D39" s="108" t="s">
        <v>352</v>
      </c>
      <c r="H39" s="3"/>
      <c r="J39" s="3"/>
      <c r="K39" s="3"/>
      <c r="L39" s="3"/>
      <c r="M39" s="3"/>
      <c r="N39" s="3"/>
      <c r="O39" s="3"/>
      <c r="P39" s="3"/>
      <c r="Q39" s="3">
        <v>828700</v>
      </c>
      <c r="R39" s="3"/>
      <c r="S39" s="3"/>
      <c r="T39" s="78"/>
      <c r="U39" s="91"/>
      <c r="X39" s="3"/>
      <c r="Y39" s="3"/>
      <c r="Z39" s="3"/>
      <c r="AA39" s="3"/>
      <c r="AB39" s="3"/>
      <c r="AC39" s="3"/>
      <c r="AH39" s="95"/>
      <c r="AM39" s="16"/>
      <c r="AN39">
        <v>44.8</v>
      </c>
      <c r="AO39">
        <v>1441.1</v>
      </c>
      <c r="AP39">
        <v>59.1</v>
      </c>
      <c r="AQ39">
        <v>1522.7</v>
      </c>
      <c r="AS39" s="4"/>
      <c r="AT39" s="8"/>
      <c r="AU39" s="84"/>
      <c r="AW39" s="174"/>
      <c r="AY39" s="148"/>
      <c r="AZ39" s="16"/>
      <c r="BC39">
        <v>8</v>
      </c>
      <c r="BD39">
        <v>199.6</v>
      </c>
      <c r="BE39" s="8"/>
      <c r="BF39" s="8"/>
      <c r="BG39" s="59"/>
      <c r="BH39" s="84"/>
      <c r="BI39" s="6"/>
      <c r="BJ39" s="174"/>
      <c r="BL39" s="175"/>
      <c r="BM39" s="16"/>
      <c r="BN39" s="8">
        <v>8</v>
      </c>
      <c r="BO39" s="6">
        <v>4.0999999999999996</v>
      </c>
      <c r="BP39" s="6">
        <v>3</v>
      </c>
      <c r="BQ39" s="8">
        <v>1.7</v>
      </c>
      <c r="BR39" s="6"/>
      <c r="BS39" s="6"/>
      <c r="BT39" s="59"/>
      <c r="BU39" s="84"/>
      <c r="BV39" s="6"/>
      <c r="BW39" s="6"/>
      <c r="BX39" s="169"/>
      <c r="BZ39" s="131"/>
      <c r="CA39" s="6"/>
      <c r="CB39" s="8">
        <v>56.8</v>
      </c>
      <c r="CC39" s="8">
        <v>59.7</v>
      </c>
      <c r="CD39" s="8">
        <v>32.700000000000003</v>
      </c>
      <c r="CE39" s="8">
        <v>31.2</v>
      </c>
      <c r="CF39" s="8"/>
      <c r="CG39" s="8"/>
      <c r="CH39" s="8"/>
      <c r="CI39" s="84"/>
      <c r="CJ39" s="6"/>
      <c r="CK39" s="174"/>
      <c r="CM39" s="148"/>
      <c r="CN39" s="16"/>
      <c r="CO39" s="6">
        <v>7.2</v>
      </c>
      <c r="CP39" s="93">
        <f>HY$37*CO39</f>
        <v>0.91456464134628801</v>
      </c>
      <c r="CQ39" s="6">
        <v>3.7</v>
      </c>
      <c r="CR39" s="93">
        <f>HY$38*CQ39</f>
        <v>0.4865333611387383</v>
      </c>
      <c r="CS39" s="6"/>
      <c r="CT39" s="122"/>
      <c r="CU39" s="6"/>
      <c r="CV39" s="93"/>
      <c r="CW39" s="6"/>
      <c r="CX39" s="122"/>
      <c r="CY39" s="141"/>
      <c r="CZ39" s="115"/>
      <c r="DA39" s="110">
        <f>DF39/DD39-1</f>
        <v>0.55993150684931492</v>
      </c>
      <c r="DB39" s="131">
        <v>65.5</v>
      </c>
      <c r="DC39" s="131">
        <f>DE39+DB39</f>
        <v>182.3</v>
      </c>
      <c r="DD39" s="147">
        <f>DE39</f>
        <v>116.8</v>
      </c>
      <c r="DE39" s="133">
        <f>Y39+AN39+BA39+BN39+CB39+CO39</f>
        <v>116.8</v>
      </c>
      <c r="DF39" s="131">
        <v>182.2</v>
      </c>
      <c r="DG39" s="131"/>
      <c r="DH39" s="110">
        <f>DM39/DK39-1</f>
        <v>1.0037558685446011</v>
      </c>
      <c r="DI39" s="131">
        <v>107</v>
      </c>
      <c r="DJ39" s="137">
        <f>DL39+DI39</f>
        <v>213.5</v>
      </c>
      <c r="DK39" s="131">
        <f>DL39</f>
        <v>106.5</v>
      </c>
      <c r="DL39" s="136">
        <f>AA39+AP39+BC39+BP39+CD39+CQ39</f>
        <v>106.5</v>
      </c>
      <c r="DM39" s="131">
        <v>213.4</v>
      </c>
      <c r="DN39" s="131"/>
      <c r="DO39" s="121"/>
      <c r="DP39" s="6"/>
      <c r="DQ39" s="6"/>
      <c r="DR39" s="6"/>
      <c r="DS39" s="34"/>
      <c r="DT39" s="117"/>
      <c r="DU39" s="21"/>
      <c r="DV39" s="92"/>
      <c r="DW39" s="92"/>
      <c r="DX39" s="33"/>
      <c r="DZ39" s="21"/>
      <c r="EC39" s="27"/>
      <c r="ED39" s="27"/>
      <c r="EE39" s="27"/>
      <c r="EF39" s="27"/>
      <c r="EP39" s="13">
        <f>C39*EP$3</f>
        <v>0</v>
      </c>
      <c r="EQ39" s="13">
        <f>Z39*EQ$3</f>
        <v>0</v>
      </c>
      <c r="ER39" s="13">
        <f>AO39*ER$3</f>
        <v>8.394407499999998</v>
      </c>
      <c r="ES39" s="13">
        <f>BB39*ES$3</f>
        <v>0</v>
      </c>
      <c r="ET39" s="13">
        <f>BO39*ET$3</f>
        <v>4.2147999999999994</v>
      </c>
      <c r="EU39" s="13">
        <f>CC39*EU$3</f>
        <v>7.4667642857142864</v>
      </c>
      <c r="EV39" s="13">
        <f>CP39</f>
        <v>0.91456464134628801</v>
      </c>
      <c r="EW39" s="13">
        <f>SUM(EQ39:EV39)*(1+DA39)</f>
        <v>32.743799118240034</v>
      </c>
      <c r="EY39" s="13">
        <f>C39*EY$3</f>
        <v>0</v>
      </c>
      <c r="EZ39" s="13">
        <f>AB39*EZ$3</f>
        <v>0</v>
      </c>
      <c r="FA39" s="13">
        <f>AQ39*FA$3</f>
        <v>8.8697274999999998</v>
      </c>
      <c r="FB39" s="13">
        <f>BD39*FB$3</f>
        <v>1.2548851999999999</v>
      </c>
      <c r="FC39" s="13">
        <f>BQ39*FC$3</f>
        <v>1.7476</v>
      </c>
      <c r="FD39" s="13">
        <f>CE39*FD$3</f>
        <v>3.9022285714285716</v>
      </c>
      <c r="FE39" s="13">
        <f>CR39</f>
        <v>0.4865333611387383</v>
      </c>
      <c r="FF39" s="13">
        <f>SUM(EZ39:FE39)*(1+DH39)</f>
        <v>32.583023348261641</v>
      </c>
      <c r="FH39" s="13"/>
      <c r="FI39" s="13"/>
      <c r="FJ39" s="13"/>
      <c r="FK39" s="13"/>
      <c r="FL39" s="13"/>
      <c r="FM39" s="13"/>
      <c r="FN39" s="13"/>
      <c r="FO39" s="13"/>
      <c r="FQ39" s="13"/>
      <c r="FR39" s="13"/>
      <c r="FS39" s="13"/>
      <c r="FT39" s="13"/>
      <c r="FU39" s="13"/>
      <c r="FV39" s="13"/>
      <c r="FW39" s="13"/>
      <c r="FX39" s="13"/>
      <c r="FZ39" s="13"/>
      <c r="GA39" s="13"/>
      <c r="GB39" s="13"/>
      <c r="GC39" s="13"/>
      <c r="GD39" s="13"/>
      <c r="GE39" s="13"/>
      <c r="GF39" s="13"/>
      <c r="GG39" s="13"/>
      <c r="GH39" s="13"/>
      <c r="GI39" s="13"/>
      <c r="GJ39" s="13"/>
      <c r="GK39" s="13"/>
      <c r="GL39" s="13"/>
      <c r="GM39" s="13"/>
      <c r="GN39" s="13"/>
      <c r="GO39" s="13"/>
      <c r="GP39" s="13"/>
      <c r="GW39" s="108" t="s">
        <v>352</v>
      </c>
      <c r="GY39" s="148">
        <f>Q39*0.001</f>
        <v>828.7</v>
      </c>
      <c r="GZ39" s="148">
        <f t="shared" si="127"/>
        <v>0</v>
      </c>
      <c r="HA39" s="148">
        <f t="shared" si="127"/>
        <v>0</v>
      </c>
      <c r="HB39" s="149">
        <f t="shared" si="119"/>
        <v>0</v>
      </c>
      <c r="HC39" s="149">
        <f t="shared" si="119"/>
        <v>0</v>
      </c>
      <c r="HF39" s="148">
        <f t="shared" si="120"/>
        <v>32.743799118240034</v>
      </c>
      <c r="HG39" s="148">
        <f t="shared" si="121"/>
        <v>32.583023348261641</v>
      </c>
      <c r="HH39" s="148">
        <f t="shared" si="122"/>
        <v>0</v>
      </c>
      <c r="HI39" s="148">
        <f t="shared" si="123"/>
        <v>0</v>
      </c>
      <c r="HJ39" s="148">
        <f t="shared" si="124"/>
        <v>0</v>
      </c>
      <c r="HK39" s="148"/>
      <c r="HN39">
        <f>Prices!D36</f>
        <v>1997</v>
      </c>
      <c r="HO39" s="13">
        <f>Prices!E36</f>
        <v>0.91314935064935066</v>
      </c>
      <c r="HP39" s="16">
        <f>Prices!F36</f>
        <v>0</v>
      </c>
      <c r="HQ39" s="13">
        <f>Prices!G36</f>
        <v>0.15862905671822869</v>
      </c>
      <c r="HR39" s="16">
        <f>Prices!H36</f>
        <v>0</v>
      </c>
      <c r="HS39" s="13">
        <f>Prices!I36</f>
        <v>0.19424436441243165</v>
      </c>
      <c r="HT39" s="16">
        <f>Prices!J36</f>
        <v>0</v>
      </c>
      <c r="HU39" s="13">
        <f>Prices!K36</f>
        <v>0.3489288489288489</v>
      </c>
      <c r="HV39" s="16">
        <f>Prices!L36</f>
        <v>0</v>
      </c>
      <c r="HW39" s="13">
        <f>Prices!M36</f>
        <v>0.28635097493036216</v>
      </c>
      <c r="HX39" s="16">
        <f>Prices!N36</f>
        <v>0</v>
      </c>
      <c r="HY39" s="13">
        <f>Prices!O36</f>
        <v>0.10402429764616553</v>
      </c>
    </row>
    <row r="40" spans="1:235" x14ac:dyDescent="0.2">
      <c r="C40">
        <v>213113</v>
      </c>
      <c r="D40" s="108" t="s">
        <v>342</v>
      </c>
      <c r="H40" s="3"/>
      <c r="J40" s="3"/>
      <c r="K40" s="3"/>
      <c r="L40" s="3"/>
      <c r="M40" s="3"/>
      <c r="N40" s="3"/>
      <c r="O40" s="3"/>
      <c r="P40" s="3"/>
      <c r="Q40" s="3">
        <v>94600</v>
      </c>
      <c r="R40" s="3">
        <v>123480</v>
      </c>
      <c r="S40" s="3">
        <v>168596</v>
      </c>
      <c r="T40" s="78">
        <v>213113</v>
      </c>
      <c r="U40" s="91">
        <v>382808</v>
      </c>
      <c r="V40" s="91">
        <f>[3]Sheet1!D34</f>
        <v>157711</v>
      </c>
      <c r="W40" s="91"/>
      <c r="X40" s="3"/>
      <c r="Y40" s="3"/>
      <c r="Z40" s="3"/>
      <c r="AA40" s="3"/>
      <c r="AB40" s="3"/>
      <c r="AC40" s="3"/>
      <c r="AE40" s="120">
        <v>1000</v>
      </c>
      <c r="AF40" s="95">
        <f>AE40/HO$14</f>
        <v>37.636432066240118</v>
      </c>
      <c r="AG40">
        <v>1787</v>
      </c>
      <c r="AH40" s="95">
        <f>AG40/HO$15</f>
        <v>43.799019607843142</v>
      </c>
      <c r="AI40" s="6">
        <f>Pivot_Table_2012!C29</f>
        <v>1155</v>
      </c>
      <c r="AJ40" s="84">
        <f>AI40/(AG40*AI$4)*AH40</f>
        <v>17.489400363416113</v>
      </c>
      <c r="AK40" s="84"/>
      <c r="AL40" s="84"/>
      <c r="AM40" s="16"/>
      <c r="AN40">
        <v>9.3000000000000007</v>
      </c>
      <c r="AO40">
        <v>340.4</v>
      </c>
      <c r="AP40">
        <v>7.1</v>
      </c>
      <c r="AQ40">
        <v>240.8</v>
      </c>
      <c r="AR40">
        <v>5583</v>
      </c>
      <c r="AS40" s="4">
        <v>166.4</v>
      </c>
      <c r="AT40" s="8">
        <v>3612</v>
      </c>
      <c r="AU40" s="84">
        <f>AT40/(AR40*AU$4)*AS40</f>
        <v>91.834568457625792</v>
      </c>
      <c r="AV40">
        <v>22347</v>
      </c>
      <c r="AW40" s="174">
        <f>AV40/(AT40*AW$4)*AU40</f>
        <v>202.53731219225071</v>
      </c>
      <c r="AX40" s="6">
        <f>Pivot_Table_2012!E29</f>
        <v>61063</v>
      </c>
      <c r="AY40" s="174">
        <f>AX40/(AV40*AY$4)*AW40</f>
        <v>395.48735281775333</v>
      </c>
      <c r="AZ40" s="16"/>
      <c r="BD40" s="6"/>
      <c r="BE40" s="8">
        <v>1327</v>
      </c>
      <c r="BF40" s="8">
        <v>47.8</v>
      </c>
      <c r="BG40" s="6">
        <v>7404</v>
      </c>
      <c r="BH40" s="8">
        <v>180.7</v>
      </c>
      <c r="BI40" s="8">
        <v>37469</v>
      </c>
      <c r="BJ40" s="174">
        <f>BI40/(BG40*BJ$4)*BH40</f>
        <v>372.82778639256912</v>
      </c>
      <c r="BK40" s="6">
        <f>Pivot_Table_2012!I29</f>
        <v>19995</v>
      </c>
      <c r="BL40" s="174">
        <f>BK40/(BI40*BL$4)*BJ40</f>
        <v>104.64136222998577</v>
      </c>
      <c r="BM40" s="16"/>
      <c r="BN40" s="6"/>
      <c r="BO40" s="6"/>
      <c r="BP40" s="6"/>
      <c r="BQ40" s="6"/>
      <c r="BR40" s="6"/>
      <c r="BS40" s="6"/>
      <c r="BT40" s="6">
        <v>96</v>
      </c>
      <c r="BU40" s="6">
        <v>0.02</v>
      </c>
      <c r="BV40" s="6"/>
      <c r="BW40" s="59">
        <v>100</v>
      </c>
      <c r="BX40" s="169">
        <f>BW40/(BT40*BX$4)*BU40</f>
        <v>1.0904947916666666E-2</v>
      </c>
      <c r="BY40" s="8">
        <f>Pivot_Table_2012!F29</f>
        <v>345</v>
      </c>
      <c r="BZ40" s="169">
        <f>BY40/(BW40*BZ$4)*BX40</f>
        <v>7.4468427835051546E-2</v>
      </c>
      <c r="CA40" s="6"/>
      <c r="CB40" s="8">
        <v>1</v>
      </c>
      <c r="CC40" s="8">
        <v>1.1000000000000001</v>
      </c>
      <c r="CD40" s="8">
        <v>1.6</v>
      </c>
      <c r="CE40" s="8">
        <v>1.5</v>
      </c>
      <c r="CF40" s="8">
        <v>990</v>
      </c>
      <c r="CG40" s="8">
        <v>0.9</v>
      </c>
      <c r="CH40" s="8">
        <v>4108</v>
      </c>
      <c r="CI40" s="84">
        <f>CH40/(CF40*HR14)*CG40</f>
        <v>3.253738270608415</v>
      </c>
      <c r="CJ40" s="8">
        <v>8890</v>
      </c>
      <c r="CK40" s="174">
        <f>CJ40/HQ$15*0.001</f>
        <v>3.8702655637788417</v>
      </c>
      <c r="CL40" s="8">
        <f>Pivot_Table_2012!G29</f>
        <v>20498</v>
      </c>
      <c r="CM40" s="174">
        <f>(CL40/(CJ40*HT$16))*CK40</f>
        <v>6.3770400273385519</v>
      </c>
      <c r="CN40" s="16"/>
      <c r="CO40" s="6"/>
      <c r="CP40" s="6"/>
      <c r="CQ40" s="6"/>
      <c r="CR40" s="6"/>
      <c r="CS40" s="59">
        <v>2000</v>
      </c>
      <c r="CT40" s="122">
        <f>HY$39*0.001*CS40</f>
        <v>0.20804859529233108</v>
      </c>
      <c r="CU40" s="59">
        <v>1000</v>
      </c>
      <c r="CV40" s="93">
        <f>HY$40*0.001*CU40</f>
        <v>9.5337508698677798E-2</v>
      </c>
      <c r="CW40" s="6">
        <v>1787</v>
      </c>
      <c r="CX40" s="6"/>
      <c r="CY40" s="141">
        <f>EJ40</f>
        <v>933</v>
      </c>
      <c r="CZ40" s="115"/>
      <c r="DA40" s="110">
        <f>DF40/DD40-1</f>
        <v>0.65048543689320382</v>
      </c>
      <c r="DB40" s="131">
        <v>0</v>
      </c>
      <c r="DC40" s="131">
        <f>DE40+DB40</f>
        <v>10.3</v>
      </c>
      <c r="DD40" s="147">
        <f>DE40</f>
        <v>10.3</v>
      </c>
      <c r="DE40" s="133">
        <f>Y40+AN40+BA40+BN40+CB40+CO40</f>
        <v>10.3</v>
      </c>
      <c r="DF40" s="131">
        <v>17</v>
      </c>
      <c r="DG40" s="8"/>
      <c r="DH40" s="110">
        <f>DM40/DK40-1</f>
        <v>1.3793103448275863</v>
      </c>
      <c r="DI40" s="131">
        <v>0</v>
      </c>
      <c r="DJ40" s="137">
        <f>DL40+DI40</f>
        <v>8.6999999999999993</v>
      </c>
      <c r="DK40" s="131">
        <f>DL40</f>
        <v>8.6999999999999993</v>
      </c>
      <c r="DL40" s="136">
        <f>AA40+AP40+BC40+BP40+CD40+CQ40</f>
        <v>8.6999999999999993</v>
      </c>
      <c r="DM40" s="131">
        <v>20.7</v>
      </c>
      <c r="DN40" s="8"/>
      <c r="DO40" s="121">
        <f>DT40/(DT40-DP40)-1</f>
        <v>1.1191372469223726</v>
      </c>
      <c r="DP40" s="59">
        <v>11000</v>
      </c>
      <c r="DQ40" s="6"/>
      <c r="DR40" s="6"/>
      <c r="DS40" s="34">
        <f>AC40+AR40+BE40+BR40+CF40+CS40</f>
        <v>9900</v>
      </c>
      <c r="DT40" s="6">
        <v>20829</v>
      </c>
      <c r="DU40" s="21">
        <f>DY40/DX40-1</f>
        <v>0.6821138211382114</v>
      </c>
      <c r="DV40" s="6">
        <v>11766</v>
      </c>
      <c r="DW40" s="6"/>
      <c r="DX40" s="33">
        <f>AE40+AT40+BG40+CH40+BT40+CU40</f>
        <v>17220</v>
      </c>
      <c r="DY40">
        <v>28966</v>
      </c>
      <c r="DZ40" s="21">
        <f t="shared" si="118"/>
        <v>5.1050013815971296E-2</v>
      </c>
      <c r="EA40">
        <v>3971</v>
      </c>
      <c r="EB40">
        <v>1787</v>
      </c>
      <c r="EC40" s="27">
        <f>AG40+AV40+BI40+BW40+CJ40</f>
        <v>70593</v>
      </c>
      <c r="ED40" s="27">
        <v>76075</v>
      </c>
      <c r="EE40" s="27"/>
      <c r="EF40" s="27"/>
      <c r="EH40" s="21">
        <f>EM40/(EJ40+EL40)-1</f>
        <v>2.8781890392252985E-2</v>
      </c>
      <c r="EI40">
        <f>Pivot_Table_2012!K29</f>
        <v>2993</v>
      </c>
      <c r="EJ40" s="27">
        <f>EM40-EL40-EI40</f>
        <v>933</v>
      </c>
      <c r="EK40">
        <f>Pivot_Table_2012!H29</f>
        <v>933</v>
      </c>
      <c r="EL40" s="27">
        <f>AI40+AX40+BK40+BY40+CL40</f>
        <v>103056</v>
      </c>
      <c r="EM40">
        <f>Pivot_Table_2012!J29</f>
        <v>106982</v>
      </c>
      <c r="EP40" s="13">
        <f>C40*EP$3</f>
        <v>0.72714155599999997</v>
      </c>
      <c r="EQ40" s="13">
        <f>Z40*EQ$3</f>
        <v>0</v>
      </c>
      <c r="ER40" s="13">
        <f>AO40*ER$3</f>
        <v>1.9828299999999996</v>
      </c>
      <c r="ES40" s="13">
        <f>BB40*ES$3</f>
        <v>0</v>
      </c>
      <c r="ET40" s="13">
        <f>BO40*ET$3</f>
        <v>0</v>
      </c>
      <c r="EU40" s="13">
        <f>CC40*EU$3</f>
        <v>0.13757857142857144</v>
      </c>
      <c r="EV40" s="13">
        <f>CP40</f>
        <v>0</v>
      </c>
      <c r="EW40" s="13">
        <f>SUM(EQ40:EV40)*(1+DA40)</f>
        <v>3.4997034674063792</v>
      </c>
      <c r="EY40" s="13">
        <f>C40*EY$3</f>
        <v>0.72714155599999997</v>
      </c>
      <c r="EZ40" s="13">
        <f>AB40*EZ$3</f>
        <v>0</v>
      </c>
      <c r="FA40" s="13">
        <f>AQ40*FA$3</f>
        <v>1.40266</v>
      </c>
      <c r="FB40" s="13">
        <f>BD40*FB$3</f>
        <v>0</v>
      </c>
      <c r="FC40" s="13">
        <f>BQ40*FC$3</f>
        <v>0</v>
      </c>
      <c r="FD40" s="13">
        <f>CE40*FD$3</f>
        <v>0.18760714285714286</v>
      </c>
      <c r="FE40" s="13">
        <f>CR40</f>
        <v>0</v>
      </c>
      <c r="FF40" s="13">
        <f>SUM(EZ40:FE40)*(1+DH40)</f>
        <v>3.7837390640394091</v>
      </c>
      <c r="FH40" s="13">
        <f>R40*FH$3</f>
        <v>0.42131375999999998</v>
      </c>
      <c r="FI40" s="13">
        <f>AD40*FI$3</f>
        <v>0</v>
      </c>
      <c r="FJ40" s="13">
        <f>AS40*FJ$3</f>
        <v>0.96927999999999992</v>
      </c>
      <c r="FK40" s="13">
        <f>BF40*FK$3</f>
        <v>0.30051859999999997</v>
      </c>
      <c r="FL40" s="13">
        <f>BS40*FL$3</f>
        <v>0</v>
      </c>
      <c r="FM40" s="13">
        <f>CG40*FM$3</f>
        <v>0.11256428571428573</v>
      </c>
      <c r="FN40" s="13">
        <f>CT40</f>
        <v>0.20804859529233108</v>
      </c>
      <c r="FO40" s="13">
        <f t="shared" si="36"/>
        <v>3.3703002073340946</v>
      </c>
      <c r="FQ40" s="13">
        <f>S40*FQ$3</f>
        <v>0.57524955199999994</v>
      </c>
      <c r="FR40" s="13">
        <f>AF40*FR$3</f>
        <v>0.78065487391795252</v>
      </c>
      <c r="FS40" s="13">
        <f>AU40*FS$3</f>
        <v>0.53493636126567023</v>
      </c>
      <c r="FT40" s="13">
        <f>BH40*FT$3</f>
        <v>1.1360608999999999</v>
      </c>
      <c r="FU40" s="13">
        <f>BU40*FU$3</f>
        <v>2.0560000000000002E-2</v>
      </c>
      <c r="FV40" s="13">
        <f>CI40*FV$3</f>
        <v>0.40694969370252393</v>
      </c>
      <c r="FW40" s="13">
        <f>CV40</f>
        <v>9.5337508698677798E-2</v>
      </c>
      <c r="FX40" s="13">
        <f>SUM(FR40:FW40)*(1+DU40)</f>
        <v>5.0034464467178879</v>
      </c>
      <c r="GA40" s="13">
        <f>U40*GA$3</f>
        <v>1.3061408959999998</v>
      </c>
      <c r="GB40" s="13">
        <f>AH40*GB$3</f>
        <v>0.90847926470588247</v>
      </c>
      <c r="GC40" s="13">
        <f>AW40*GC$3</f>
        <v>1.1797798435198603</v>
      </c>
      <c r="GD40" s="13">
        <f>BJ40*GD$3</f>
        <v>2.3439682930500823</v>
      </c>
      <c r="GE40" s="13">
        <f>BX40*GE$3</f>
        <v>1.1210286458333333E-2</v>
      </c>
      <c r="GF40" s="13">
        <f>CK40*GF$3</f>
        <v>0.48405964301262516</v>
      </c>
      <c r="GG40" s="13">
        <f>CX40</f>
        <v>0</v>
      </c>
      <c r="GH40" s="13">
        <f>SUM(GB40:GG40)*(1+DZ40)</f>
        <v>5.1790461375595687</v>
      </c>
      <c r="GI40" s="13"/>
      <c r="GJ40" s="13"/>
      <c r="GK40" s="13">
        <f>V40*GK$3</f>
        <v>0.5381099319999999</v>
      </c>
      <c r="GL40" s="13">
        <f>AJ40*GL$3</f>
        <v>0.36276514233797702</v>
      </c>
      <c r="GM40" s="13">
        <f>AY40*GM$3</f>
        <v>2.3037138301634128</v>
      </c>
      <c r="GN40" s="13">
        <f>BL40*GN$3</f>
        <v>0.65788024433992054</v>
      </c>
      <c r="GO40" s="13">
        <f>BZ40*GO$3</f>
        <v>7.6553543814432995E-2</v>
      </c>
      <c r="GP40" s="13">
        <f>CM40*GP$3</f>
        <v>0.79758550627641467</v>
      </c>
      <c r="GQ40" s="13">
        <f>CZ40</f>
        <v>0</v>
      </c>
      <c r="GR40" s="13">
        <f>SUM(GL40:GQ40)*(1+EH40)</f>
        <v>4.3193389838630631</v>
      </c>
      <c r="GV40">
        <v>213113</v>
      </c>
      <c r="GW40" s="108" t="s">
        <v>342</v>
      </c>
      <c r="GY40" s="148">
        <f>Q40*0.001</f>
        <v>94.600000000000009</v>
      </c>
      <c r="GZ40" s="148">
        <f t="shared" si="127"/>
        <v>123.48</v>
      </c>
      <c r="HA40" s="148">
        <f t="shared" si="127"/>
        <v>168.596</v>
      </c>
      <c r="HB40" s="149">
        <f t="shared" si="119"/>
        <v>382.80799999999999</v>
      </c>
      <c r="HC40" s="149">
        <f t="shared" si="119"/>
        <v>157.71100000000001</v>
      </c>
      <c r="HD40" s="149">
        <f>'Preliminary estimates - 2017'!AT35</f>
        <v>144.398</v>
      </c>
      <c r="HF40" s="148">
        <f t="shared" si="120"/>
        <v>3.4997034674063792</v>
      </c>
      <c r="HG40" s="148">
        <f t="shared" si="121"/>
        <v>3.7837390640394091</v>
      </c>
      <c r="HH40" s="148">
        <f t="shared" si="122"/>
        <v>3.3703002073340946</v>
      </c>
      <c r="HI40" s="148">
        <f t="shared" si="123"/>
        <v>5.0034464467178879</v>
      </c>
      <c r="HJ40" s="148">
        <f t="shared" si="124"/>
        <v>5.1790461375595687</v>
      </c>
      <c r="HK40" s="148">
        <f t="shared" si="0"/>
        <v>4.3193389838630631</v>
      </c>
      <c r="HL40" s="148">
        <f>'Preliminary estimates - 2017'!AL35</f>
        <v>1.4908342939357209</v>
      </c>
      <c r="HN40">
        <f>Prices!D37</f>
        <v>2002</v>
      </c>
      <c r="HO40" s="13">
        <f>Prices!E37</f>
        <v>0.84681972149040274</v>
      </c>
      <c r="HP40" s="16">
        <f>Prices!F37</f>
        <v>0</v>
      </c>
      <c r="HQ40" s="13">
        <f>Prices!G37</f>
        <v>0.13820622588658107</v>
      </c>
      <c r="HR40" s="16">
        <f>Prices!H37</f>
        <v>0</v>
      </c>
      <c r="HS40" s="13">
        <f>Prices!I37</f>
        <v>0.1656994936564829</v>
      </c>
      <c r="HT40" s="16">
        <f>Prices!J37</f>
        <v>0</v>
      </c>
      <c r="HU40" s="13">
        <f>Prices!K37</f>
        <v>0.26682794329853149</v>
      </c>
      <c r="HV40" s="16">
        <f>Prices!L37</f>
        <v>0</v>
      </c>
      <c r="HW40" s="13">
        <f>Prices!M37</f>
        <v>0.25572139303482588</v>
      </c>
      <c r="HX40" s="16">
        <f>Prices!N37</f>
        <v>0</v>
      </c>
      <c r="HY40" s="13">
        <f>Prices!O37</f>
        <v>9.5337508698677798E-2</v>
      </c>
    </row>
    <row r="41" spans="1:235" x14ac:dyDescent="0.2">
      <c r="C41">
        <v>213114</v>
      </c>
      <c r="D41" s="108" t="s">
        <v>343</v>
      </c>
      <c r="H41" s="3"/>
      <c r="J41" s="3"/>
      <c r="K41" s="3"/>
      <c r="L41" s="3"/>
      <c r="M41" s="3"/>
      <c r="N41" s="3"/>
      <c r="O41" s="3"/>
      <c r="P41" s="3"/>
      <c r="Q41" s="3">
        <v>42800</v>
      </c>
      <c r="R41" s="3">
        <v>21911</v>
      </c>
      <c r="S41" s="3">
        <v>29605</v>
      </c>
      <c r="T41" s="78">
        <v>213114</v>
      </c>
      <c r="U41" s="91">
        <v>143853</v>
      </c>
      <c r="V41" s="91">
        <f>[3]Sheet1!D35</f>
        <v>105493</v>
      </c>
      <c r="W41" s="91"/>
      <c r="X41" s="3"/>
      <c r="Y41" s="3"/>
      <c r="Z41" s="3"/>
      <c r="AA41" s="3"/>
      <c r="AB41" s="3"/>
      <c r="AC41" s="3"/>
      <c r="AF41" s="108"/>
      <c r="AI41" s="6">
        <f>Pivot_Table_2012!C30</f>
        <v>0</v>
      </c>
      <c r="AM41" s="16"/>
      <c r="AN41">
        <v>8.1</v>
      </c>
      <c r="AO41">
        <v>259.8</v>
      </c>
      <c r="AP41">
        <v>7.2</v>
      </c>
      <c r="AQ41">
        <v>232.8</v>
      </c>
      <c r="AR41">
        <v>3988</v>
      </c>
      <c r="AS41" s="4">
        <v>113.9</v>
      </c>
      <c r="AT41" s="8">
        <v>658</v>
      </c>
      <c r="AU41" s="84">
        <f>AT41/(AR41*AU$4)*AS41</f>
        <v>16.031243910944301</v>
      </c>
      <c r="AV41">
        <v>24542</v>
      </c>
      <c r="AW41" s="174">
        <f>AV41/(AT41*AW$4)*AU41</f>
        <v>213.14671582891773</v>
      </c>
      <c r="AX41" s="6">
        <f>Pivot_Table_2012!E30</f>
        <v>16878</v>
      </c>
      <c r="AY41" s="174">
        <f>AX41/(AV41*AY$4)*AW41</f>
        <v>104.75103568080353</v>
      </c>
      <c r="AZ41" s="16"/>
      <c r="BA41">
        <v>0.2</v>
      </c>
      <c r="BB41">
        <v>4.2</v>
      </c>
      <c r="BC41" s="120">
        <v>0.2</v>
      </c>
      <c r="BD41" s="84">
        <f>BC41/(BA41*HW$12)*BB41</f>
        <v>5.2684210526315791</v>
      </c>
      <c r="BE41" s="6"/>
      <c r="BF41" s="6"/>
      <c r="BG41" s="6"/>
      <c r="BH41" s="6"/>
      <c r="BI41" s="8">
        <v>3327</v>
      </c>
      <c r="BJ41" s="99">
        <f>BI41/(HU$15*42)</f>
        <v>57.568521594684391</v>
      </c>
      <c r="BK41" s="6">
        <f>Pivot_Table_2012!I30</f>
        <v>3639</v>
      </c>
      <c r="BL41" s="174">
        <f>BK41/(BI41*BL$4)*BJ41</f>
        <v>33.117697708863126</v>
      </c>
      <c r="BM41" s="16"/>
      <c r="BR41" s="6"/>
      <c r="BS41" s="6"/>
      <c r="BT41" s="6"/>
      <c r="BU41" s="6"/>
      <c r="BV41" s="6"/>
      <c r="BW41" s="8">
        <v>2249</v>
      </c>
      <c r="BX41" s="122">
        <f>BW41/HW$15*0.001</f>
        <v>0.29283854166666667</v>
      </c>
      <c r="BY41" s="8">
        <f>Pivot_Table_2012!F30</f>
        <v>1049</v>
      </c>
      <c r="BZ41" s="169">
        <f>BY41/(BW41*BZ$4)*BX41</f>
        <v>0.27036082474226802</v>
      </c>
      <c r="CA41" s="6"/>
      <c r="CB41" s="6">
        <v>3</v>
      </c>
      <c r="CC41" s="6">
        <v>2.9</v>
      </c>
      <c r="CD41" s="8">
        <v>4.5999999999999996</v>
      </c>
      <c r="CE41" s="8">
        <v>3.7</v>
      </c>
      <c r="CF41" s="8">
        <v>2189</v>
      </c>
      <c r="CG41" s="8">
        <v>1.8</v>
      </c>
      <c r="CH41" s="8">
        <v>515</v>
      </c>
      <c r="CI41" s="84">
        <f>CH41/(CF41*HR15)*CG41</f>
        <v>0.16611076119108226</v>
      </c>
      <c r="CJ41" s="8">
        <v>5953</v>
      </c>
      <c r="CK41" s="174">
        <f>CJ41/HQ$15*0.001</f>
        <v>2.5916412712233345</v>
      </c>
      <c r="CL41" s="8">
        <f>Pivot_Table_2012!G30</f>
        <v>8402</v>
      </c>
      <c r="CM41" s="174">
        <f>(CL41/(CJ41*HT$16))*CK41</f>
        <v>2.613908201273222</v>
      </c>
      <c r="CN41" s="16"/>
      <c r="CO41" s="6">
        <v>0.2</v>
      </c>
      <c r="CP41" s="93">
        <f>HY$37*CO41</f>
        <v>2.5404573370730224E-2</v>
      </c>
      <c r="CQ41" s="59">
        <v>0.3</v>
      </c>
      <c r="CR41" s="93">
        <f>HY$38*CQ41</f>
        <v>3.9448650903140939E-2</v>
      </c>
      <c r="CS41" s="6"/>
      <c r="CT41" s="6"/>
      <c r="CU41" s="6"/>
      <c r="CV41" s="6"/>
      <c r="CW41" s="8">
        <v>457</v>
      </c>
      <c r="CX41" s="122">
        <f>HY$41*0.001*CW41</f>
        <v>2.2107697740112994E-2</v>
      </c>
      <c r="CY41" s="141">
        <f>EJ41</f>
        <v>4425</v>
      </c>
      <c r="CZ41" s="115"/>
      <c r="DA41" s="110">
        <f>DF41/DD41-1</f>
        <v>0.17391304347826098</v>
      </c>
      <c r="DB41" s="131">
        <v>2</v>
      </c>
      <c r="DC41" s="131"/>
      <c r="DD41" s="116">
        <f>DE41</f>
        <v>11.499999999999998</v>
      </c>
      <c r="DE41" s="133">
        <f>Y41+AN41+BA41+BN41+CB41+CO41</f>
        <v>11.499999999999998</v>
      </c>
      <c r="DF41" s="131">
        <v>13.5</v>
      </c>
      <c r="DG41" s="131"/>
      <c r="DH41" s="110">
        <f>DM41/DK41-1</f>
        <v>0.31707317073170715</v>
      </c>
      <c r="DI41" s="138">
        <v>2</v>
      </c>
      <c r="DJ41" s="131"/>
      <c r="DK41" s="131">
        <f>DL41</f>
        <v>12.3</v>
      </c>
      <c r="DL41" s="136">
        <f>AA41+AP41+BC41+BP41+CD41+CQ41</f>
        <v>12.3</v>
      </c>
      <c r="DM41" s="131">
        <v>16.2</v>
      </c>
      <c r="DN41" s="131"/>
      <c r="DO41" s="121">
        <f>DT41/(DT41-DP41)-1</f>
        <v>0.34579893152015551</v>
      </c>
      <c r="DP41" s="92">
        <f>DT41-DS41</f>
        <v>2136</v>
      </c>
      <c r="DQ41" s="6"/>
      <c r="DR41" s="6"/>
      <c r="DS41" s="34">
        <f>AC41+AR41+BE41+BR41+CF41+CS41</f>
        <v>6177</v>
      </c>
      <c r="DT41" s="6">
        <v>8313</v>
      </c>
      <c r="DU41" s="6"/>
      <c r="DV41" s="8">
        <v>7453</v>
      </c>
      <c r="DW41" s="8"/>
      <c r="DX41" s="6"/>
      <c r="DY41">
        <v>9214</v>
      </c>
      <c r="DZ41" s="21">
        <f t="shared" si="118"/>
        <v>0.18635019710906708</v>
      </c>
      <c r="EA41">
        <v>6807</v>
      </c>
      <c r="EB41">
        <v>457</v>
      </c>
      <c r="EC41" s="27">
        <f>AG41+AV41+BI41+BW41+CJ41</f>
        <v>36071</v>
      </c>
      <c r="ED41" s="27">
        <v>43335</v>
      </c>
      <c r="EE41" s="27"/>
      <c r="EF41" s="27"/>
      <c r="EH41" s="21">
        <f>EM41/(EJ41+EL41)-1</f>
        <v>0</v>
      </c>
      <c r="EI41">
        <f>Pivot_Table_2012!K30</f>
        <v>0</v>
      </c>
      <c r="EJ41" s="27">
        <f>EM41-EL41-EI41</f>
        <v>4425</v>
      </c>
      <c r="EK41">
        <f>Pivot_Table_2012!H30</f>
        <v>0</v>
      </c>
      <c r="EL41" s="27">
        <f>AI41+AX41+BK41+BY41+CL41</f>
        <v>29968</v>
      </c>
      <c r="EM41">
        <f>Pivot_Table_2012!J30</f>
        <v>34393</v>
      </c>
      <c r="EP41" s="13">
        <f>C41*EP$3</f>
        <v>0.72714496799999995</v>
      </c>
      <c r="EQ41" s="13">
        <f>Z41*EQ$3</f>
        <v>0</v>
      </c>
      <c r="ER41" s="13">
        <f>AO41*ER$3</f>
        <v>1.5133349999999999</v>
      </c>
      <c r="ES41" s="13">
        <f>BB41*ES$3</f>
        <v>2.6405400000000002E-2</v>
      </c>
      <c r="ET41" s="13">
        <f>BO41*ET$3</f>
        <v>0</v>
      </c>
      <c r="EU41" s="13">
        <f>CC41*EU$3</f>
        <v>0.36270714285714289</v>
      </c>
      <c r="EV41" s="13">
        <f>CP41</f>
        <v>2.5404573370730224E-2</v>
      </c>
      <c r="EW41" s="13">
        <f>SUM(EQ41:EV41)*(1+DA41)</f>
        <v>2.2631307451370684</v>
      </c>
      <c r="EY41" s="13">
        <f>C41*EY$3</f>
        <v>0.72714496799999995</v>
      </c>
      <c r="EZ41" s="13">
        <f>AB41*EZ$3</f>
        <v>0</v>
      </c>
      <c r="FA41" s="13">
        <f>AQ41*FA$3</f>
        <v>1.35606</v>
      </c>
      <c r="FB41" s="13">
        <f>BD41*FB$3</f>
        <v>3.312256315789474E-2</v>
      </c>
      <c r="FC41" s="13">
        <f>BQ41*FC$3</f>
        <v>0</v>
      </c>
      <c r="FD41" s="13">
        <f>CE41*FD$3</f>
        <v>0.46276428571428579</v>
      </c>
      <c r="FE41" s="13">
        <f>CR41</f>
        <v>3.9448650903140939E-2</v>
      </c>
      <c r="FF41" s="13">
        <f>SUM(EZ41:FE41)*(1+DH41)</f>
        <v>2.4911062679967642</v>
      </c>
      <c r="FH41" s="13">
        <f>R41*FH$3</f>
        <v>7.4760331999999999E-2</v>
      </c>
      <c r="FI41" s="13">
        <f>AD41*FI$3</f>
        <v>0</v>
      </c>
      <c r="FJ41" s="13">
        <f>AS41*FJ$3</f>
        <v>0.66346749999999999</v>
      </c>
      <c r="FK41" s="13">
        <f>BF41*FK$3</f>
        <v>0</v>
      </c>
      <c r="FL41" s="13">
        <f>BS41*FL$3</f>
        <v>0</v>
      </c>
      <c r="FM41" s="13">
        <f>CG41*FM$3</f>
        <v>0.22512857142857146</v>
      </c>
      <c r="FN41" s="13">
        <f>CT41</f>
        <v>0</v>
      </c>
      <c r="FO41" s="13">
        <f t="shared" si="36"/>
        <v>1.1958716434815793</v>
      </c>
      <c r="FQ41" s="13">
        <f>S41*FQ$3</f>
        <v>0.10101225999999999</v>
      </c>
      <c r="FX41" s="119">
        <f>3381/5008*FO41</f>
        <v>0.80735663470671315</v>
      </c>
      <c r="FY41" s="108" t="s">
        <v>345</v>
      </c>
      <c r="FZ41" s="108" t="s">
        <v>346</v>
      </c>
      <c r="GA41" s="13">
        <f>U41*GA$3</f>
        <v>0.49082643599999998</v>
      </c>
      <c r="GB41" s="13">
        <f>AH41*GB$3</f>
        <v>0</v>
      </c>
      <c r="GC41" s="13">
        <f>AW41*GC$3</f>
        <v>1.2415796197034457</v>
      </c>
      <c r="GD41" s="13">
        <f>BJ41*GD$3</f>
        <v>0.36193329526578077</v>
      </c>
      <c r="GE41" s="13">
        <f>BX41*GE$3</f>
        <v>0.30103802083333336</v>
      </c>
      <c r="GF41" s="13">
        <f>CK41*GF$3</f>
        <v>0.32414027613657564</v>
      </c>
      <c r="GG41" s="13">
        <f>CX41</f>
        <v>2.2107697740112994E-2</v>
      </c>
      <c r="GH41" s="13">
        <f>SUM(GB41:GG41)*(1+DZ41)</f>
        <v>2.6702357301508495</v>
      </c>
      <c r="GI41" s="13"/>
      <c r="GJ41" s="13"/>
      <c r="GK41" s="13">
        <f>V41*GK$3</f>
        <v>0.35994211599999998</v>
      </c>
      <c r="GL41" s="13">
        <f>AJ41*GL$3</f>
        <v>0</v>
      </c>
      <c r="GM41" s="13">
        <f>AY41*GM$3</f>
        <v>0.6101747828406805</v>
      </c>
      <c r="GN41" s="13">
        <f>BL41*GN$3</f>
        <v>0.20821096549562249</v>
      </c>
      <c r="GO41" s="13">
        <f>BZ41*GO$3</f>
        <v>0.27793092783505152</v>
      </c>
      <c r="GP41" s="13">
        <f>CM41*GP$3</f>
        <v>0.32692523288781516</v>
      </c>
      <c r="GQ41" s="13">
        <f>CZ41</f>
        <v>0</v>
      </c>
      <c r="GR41" s="13">
        <f>SUM(GL41:GQ41)*(1+EH41)</f>
        <v>1.4232419090591697</v>
      </c>
      <c r="GV41">
        <v>213114</v>
      </c>
      <c r="GW41" s="108" t="s">
        <v>343</v>
      </c>
      <c r="GY41" s="148">
        <f>Q41*0.001</f>
        <v>42.800000000000004</v>
      </c>
      <c r="GZ41" s="148">
        <f t="shared" si="127"/>
        <v>21.911000000000001</v>
      </c>
      <c r="HA41" s="148">
        <f t="shared" si="127"/>
        <v>29.605</v>
      </c>
      <c r="HB41" s="149">
        <f t="shared" si="119"/>
        <v>143.85300000000001</v>
      </c>
      <c r="HC41" s="149">
        <f t="shared" si="119"/>
        <v>105.49300000000001</v>
      </c>
      <c r="HD41" s="149">
        <f>'Preliminary estimates - 2017'!AT36</f>
        <v>72.338000000000008</v>
      </c>
      <c r="HF41" s="148">
        <f t="shared" si="120"/>
        <v>2.2631307451370684</v>
      </c>
      <c r="HG41" s="148">
        <f t="shared" si="121"/>
        <v>2.4911062679967642</v>
      </c>
      <c r="HH41" s="148">
        <f t="shared" si="122"/>
        <v>1.1958716434815793</v>
      </c>
      <c r="HI41" s="148">
        <f t="shared" si="123"/>
        <v>0.80735663470671315</v>
      </c>
      <c r="HJ41" s="148">
        <f t="shared" si="124"/>
        <v>2.6702357301508495</v>
      </c>
      <c r="HK41" s="148">
        <f t="shared" si="0"/>
        <v>1.4232419090591697</v>
      </c>
      <c r="HL41" s="148">
        <f>'Preliminary estimates - 2017'!AL36</f>
        <v>0.94848325802050393</v>
      </c>
      <c r="HN41">
        <f>Prices!D38</f>
        <v>2007</v>
      </c>
      <c r="HO41" s="13">
        <f>Prices!E38</f>
        <v>0.55147058823529416</v>
      </c>
      <c r="HP41" s="16">
        <f>Prices!F38</f>
        <v>0</v>
      </c>
      <c r="HQ41" s="13">
        <f>Prices!G38</f>
        <v>5.421149739826274E-2</v>
      </c>
      <c r="HR41" s="16">
        <f>Prices!H38</f>
        <v>0</v>
      </c>
      <c r="HS41" s="13">
        <f>Prices!I38</f>
        <v>5.9067494118601453E-2</v>
      </c>
      <c r="HT41" s="16">
        <f>Prices!J38</f>
        <v>0</v>
      </c>
      <c r="HU41" s="13">
        <f>Prices!K38</f>
        <v>0.10878668327796236</v>
      </c>
      <c r="HV41" s="16">
        <f>Prices!L38</f>
        <v>0</v>
      </c>
      <c r="HW41" s="13">
        <f>Prices!M38</f>
        <v>0.13385416666666669</v>
      </c>
      <c r="HX41" s="16">
        <f>Prices!N38</f>
        <v>0</v>
      </c>
      <c r="HY41" s="13">
        <f>Prices!O38</f>
        <v>4.8375706214689264E-2</v>
      </c>
      <c r="IA41">
        <f>0.75*HU41+0.25*HS41</f>
        <v>9.6356885988122129E-2</v>
      </c>
    </row>
    <row r="42" spans="1:235" x14ac:dyDescent="0.2">
      <c r="C42">
        <v>213115</v>
      </c>
      <c r="D42" s="108" t="s">
        <v>344</v>
      </c>
      <c r="Q42" s="3">
        <v>23400</v>
      </c>
      <c r="R42" s="3">
        <v>32545</v>
      </c>
      <c r="S42" s="3">
        <v>61620</v>
      </c>
      <c r="T42" s="78">
        <v>213115</v>
      </c>
      <c r="U42" s="91">
        <v>31550</v>
      </c>
      <c r="V42" s="91">
        <f>[3]Sheet1!D36</f>
        <v>34268</v>
      </c>
      <c r="W42" s="91"/>
      <c r="AI42" s="6">
        <f>Pivot_Table_2012!C31</f>
        <v>0</v>
      </c>
      <c r="AM42" s="16"/>
      <c r="AN42">
        <v>3.8</v>
      </c>
      <c r="AO42">
        <v>133.30000000000001</v>
      </c>
      <c r="AP42">
        <v>4.7</v>
      </c>
      <c r="AQ42">
        <v>150.4</v>
      </c>
      <c r="AR42">
        <v>4465</v>
      </c>
      <c r="AS42" s="8">
        <v>127.4</v>
      </c>
      <c r="AT42" s="8">
        <v>11798</v>
      </c>
      <c r="AU42" s="84">
        <f>AT42/(AR42*AU$4)*AS42</f>
        <v>287.1634156542122</v>
      </c>
      <c r="AV42" s="8">
        <v>12140</v>
      </c>
      <c r="AW42" s="174">
        <f>AV42/(AT42*AW$4)*AU42</f>
        <v>105.33356200316298</v>
      </c>
      <c r="AX42" s="6">
        <f>Pivot_Table_2012!E31</f>
        <v>24170</v>
      </c>
      <c r="AY42" s="174">
        <f>AX42/(AV42*AY$4)*AW42</f>
        <v>149.86264166851197</v>
      </c>
      <c r="AZ42" s="16"/>
      <c r="BE42" s="8">
        <v>972</v>
      </c>
      <c r="BF42" s="8">
        <v>33</v>
      </c>
      <c r="BG42" s="59">
        <v>1500</v>
      </c>
      <c r="BH42" s="84">
        <f>BG42/(BE42*HV$14)*BF42</f>
        <v>38.943355119825696</v>
      </c>
      <c r="BI42" s="8">
        <v>6929</v>
      </c>
      <c r="BJ42" s="174">
        <f>BI42/(BG42*BJ$4)*BH42</f>
        <v>73.342733903962099</v>
      </c>
      <c r="BK42" s="6">
        <f>Pivot_Table_2012!I31</f>
        <v>4178</v>
      </c>
      <c r="BL42" s="174">
        <f>BK42/(BI42*BL$4)*BJ42</f>
        <v>23.259521456676669</v>
      </c>
      <c r="BM42" s="16"/>
      <c r="BN42" s="120">
        <v>0.3</v>
      </c>
      <c r="BO42" s="120">
        <v>0.1</v>
      </c>
      <c r="BP42" s="120">
        <v>0.2</v>
      </c>
      <c r="BQ42" s="120">
        <v>7.0000000000000007E-2</v>
      </c>
      <c r="BT42" s="8">
        <v>1457</v>
      </c>
      <c r="BU42">
        <v>0.4</v>
      </c>
      <c r="BW42" s="59">
        <v>5000</v>
      </c>
      <c r="BX42" s="169">
        <f>BW42/(BT42*BX$4)*BU42</f>
        <v>0.71851407000686329</v>
      </c>
      <c r="BY42" s="8">
        <f>Pivot_Table_2012!F31</f>
        <v>0</v>
      </c>
      <c r="BZ42" s="169">
        <f>BY42/(BW42*BZ$4)*BX42</f>
        <v>0</v>
      </c>
      <c r="CB42">
        <v>1.1000000000000001</v>
      </c>
      <c r="CC42">
        <v>1.2</v>
      </c>
      <c r="CD42">
        <v>0.4</v>
      </c>
      <c r="CE42">
        <v>0.4</v>
      </c>
      <c r="CF42" s="8">
        <v>786</v>
      </c>
      <c r="CG42" s="8">
        <v>0.7</v>
      </c>
      <c r="CH42" s="59">
        <v>1000</v>
      </c>
      <c r="CI42" s="84">
        <f>CH42/(CF42*HR14)*CG42</f>
        <v>0.77592609851084327</v>
      </c>
      <c r="CJ42" s="8">
        <v>3199</v>
      </c>
      <c r="CK42" s="174">
        <f>CJ42/HQ$15*0.001</f>
        <v>1.3926861123204177</v>
      </c>
      <c r="CL42" s="8">
        <f>Pivot_Table_2012!G31</f>
        <v>9996</v>
      </c>
      <c r="CM42" s="174">
        <f>(CL42/(CJ42*HT$16))*CK42</f>
        <v>3.1098103284845426</v>
      </c>
      <c r="CO42">
        <v>1.8</v>
      </c>
      <c r="CP42" s="93">
        <f>HY$37*CO42</f>
        <v>0.228641160336572</v>
      </c>
      <c r="CQ42">
        <v>0.3</v>
      </c>
      <c r="CR42" s="93">
        <f>HY$38*CQ42</f>
        <v>3.9448650903140939E-2</v>
      </c>
      <c r="CU42" s="8">
        <v>287</v>
      </c>
      <c r="CV42" s="93">
        <f>HY$40*0.001*CU42</f>
        <v>2.7361864996520529E-2</v>
      </c>
      <c r="CW42" s="59">
        <v>1000</v>
      </c>
      <c r="CX42" s="122">
        <f>HY$41*0.001*CW42</f>
        <v>4.8375706214689264E-2</v>
      </c>
      <c r="CY42" s="141">
        <f>EJ42</f>
        <v>9114</v>
      </c>
      <c r="CZ42" s="115"/>
      <c r="DA42" s="110">
        <f>DF42/DD42-1</f>
        <v>0.84285714285714319</v>
      </c>
      <c r="DB42" s="131">
        <v>5.9</v>
      </c>
      <c r="DC42" s="131">
        <f>DE42+DB42</f>
        <v>12.899999999999999</v>
      </c>
      <c r="DD42" s="116">
        <f>DE42</f>
        <v>6.9999999999999991</v>
      </c>
      <c r="DE42" s="133">
        <f>Y42+AN42+BA42+BN42+CB42+CO42</f>
        <v>6.9999999999999991</v>
      </c>
      <c r="DF42" s="131">
        <v>12.9</v>
      </c>
      <c r="DG42" s="131"/>
      <c r="DH42" s="110">
        <f>DM42/DK42-1</f>
        <v>0.96428571428571419</v>
      </c>
      <c r="DI42" s="131">
        <v>5.4</v>
      </c>
      <c r="DJ42" s="131"/>
      <c r="DK42" s="131">
        <f>DL42</f>
        <v>5.6000000000000005</v>
      </c>
      <c r="DL42" s="136">
        <f>AA42+AP42+BC42+BP42+CD42+CQ42</f>
        <v>5.6000000000000005</v>
      </c>
      <c r="DM42" s="131">
        <v>11</v>
      </c>
      <c r="DN42" s="131"/>
      <c r="DO42" s="121">
        <f>DT42/(DT42-DP42)-1</f>
        <v>0.69279897812549907</v>
      </c>
      <c r="DP42" s="8">
        <v>4339</v>
      </c>
      <c r="DS42" s="34">
        <f>AC42+AR42+BE42+BR42+CF42+CS42</f>
        <v>6223</v>
      </c>
      <c r="DT42">
        <f>9602+1000</f>
        <v>10602</v>
      </c>
      <c r="DU42" s="21">
        <f>DY42/DX42-1</f>
        <v>1.0684453310061088</v>
      </c>
      <c r="DV42" s="8">
        <v>17124</v>
      </c>
      <c r="DW42" s="8"/>
      <c r="DX42" s="33">
        <f>AE42+AT42+BG42+CH42+BT42+CU42</f>
        <v>16042</v>
      </c>
      <c r="DY42">
        <v>33182</v>
      </c>
      <c r="DZ42" s="21">
        <f t="shared" si="118"/>
        <v>0.44403967538322808</v>
      </c>
      <c r="EA42">
        <v>12487</v>
      </c>
      <c r="EB42">
        <v>457</v>
      </c>
      <c r="EC42" s="27">
        <f>AG42+AV42+BI42+BW42+CJ42</f>
        <v>27268</v>
      </c>
      <c r="ED42" s="27">
        <v>40036</v>
      </c>
      <c r="EE42" s="27"/>
      <c r="EF42" s="27"/>
      <c r="EH42" s="21">
        <f>EM42/(EJ42+EL42)-1</f>
        <v>0</v>
      </c>
      <c r="EI42">
        <f>Pivot_Table_2012!K31</f>
        <v>0</v>
      </c>
      <c r="EJ42" s="27">
        <f>EM42-EL42-EI42</f>
        <v>9114</v>
      </c>
      <c r="EK42">
        <f>Pivot_Table_2012!H31</f>
        <v>57</v>
      </c>
      <c r="EL42" s="27">
        <f>AI42+AX42+BK42+BY42+CL42</f>
        <v>38344</v>
      </c>
      <c r="EM42">
        <f>Pivot_Table_2012!J31</f>
        <v>47458</v>
      </c>
      <c r="EP42" s="13">
        <f>C42*EP$3</f>
        <v>0.72714837999999993</v>
      </c>
      <c r="EQ42" s="13">
        <f>Z42*EQ$3</f>
        <v>0</v>
      </c>
      <c r="ER42" s="13">
        <f>AO42*ER$3</f>
        <v>0.77647250000000001</v>
      </c>
      <c r="ES42" s="13">
        <f>BB42*ES$3</f>
        <v>0</v>
      </c>
      <c r="ET42" s="13">
        <f>BO42*ET$3</f>
        <v>0.1028</v>
      </c>
      <c r="EU42" s="13">
        <f>CC42*EU$3</f>
        <v>0.15008571428571429</v>
      </c>
      <c r="EV42" s="13">
        <f>CP42</f>
        <v>0.228641160336572</v>
      </c>
      <c r="EW42" s="13">
        <f>SUM(EQ42:EV42)*(1+DA42)</f>
        <v>2.3183131332324995</v>
      </c>
      <c r="EY42" s="13">
        <f>C42*EY$3</f>
        <v>0.72714837999999993</v>
      </c>
      <c r="EZ42" s="13">
        <f>AB42*EZ$3</f>
        <v>0</v>
      </c>
      <c r="FA42" s="13">
        <f>AQ42*FA$3</f>
        <v>0.87607999999999997</v>
      </c>
      <c r="FB42" s="13">
        <f>BD42*FB$3</f>
        <v>0</v>
      </c>
      <c r="FC42" s="13">
        <f>BQ42*FC$3</f>
        <v>7.196000000000001E-2</v>
      </c>
      <c r="FD42" s="13">
        <f>CE42*FD$3</f>
        <v>5.0028571428571436E-2</v>
      </c>
      <c r="FE42" s="13">
        <f>CR42</f>
        <v>3.9448650903140939E-2</v>
      </c>
      <c r="FF42" s="13">
        <f>SUM(EZ42:FE42)*(1+DH42)</f>
        <v>2.037980258151578</v>
      </c>
      <c r="FH42" s="13">
        <f>R42*FH$3</f>
        <v>0.11104354</v>
      </c>
      <c r="FI42" s="13">
        <f>AD42*FI$3</f>
        <v>0</v>
      </c>
      <c r="FJ42" s="13">
        <f>AS42*FJ$3</f>
        <v>0.74210500000000001</v>
      </c>
      <c r="FK42" s="13">
        <f>BF42*FK$3</f>
        <v>0.20747099999999999</v>
      </c>
      <c r="FL42" s="13">
        <f>BS42*FL$3</f>
        <v>0</v>
      </c>
      <c r="FM42" s="13">
        <f>CG42*FM$3</f>
        <v>8.7550000000000003E-2</v>
      </c>
      <c r="FN42" s="13">
        <f>CT42</f>
        <v>0</v>
      </c>
      <c r="FO42" s="13">
        <f t="shared" si="36"/>
        <v>1.7556458329873863</v>
      </c>
      <c r="FQ42" s="13">
        <f>S42*FQ$3</f>
        <v>0.21024743999999998</v>
      </c>
      <c r="FR42" s="13">
        <f>AF42*FR$3</f>
        <v>0</v>
      </c>
      <c r="FS42" s="13">
        <f>AU42*FS$3</f>
        <v>1.672726896185786</v>
      </c>
      <c r="FT42" s="13">
        <f>BH42*FT$3</f>
        <v>0.24483687363834417</v>
      </c>
      <c r="FU42" s="13">
        <f>BU42*FU$3</f>
        <v>0.41120000000000001</v>
      </c>
      <c r="FV42" s="13">
        <f>CI42*FV$3</f>
        <v>9.7046185606606189E-2</v>
      </c>
      <c r="FW42" s="13">
        <f>CV42</f>
        <v>2.7361864996520529E-2</v>
      </c>
      <c r="FX42" s="13">
        <f>SUM(FR42:FW42)*(1+DU42)</f>
        <v>5.0742517981185165</v>
      </c>
      <c r="FY42">
        <v>2601</v>
      </c>
      <c r="FZ42">
        <v>6904</v>
      </c>
      <c r="GA42" s="13">
        <f>U42*GA$3</f>
        <v>0.1076486</v>
      </c>
      <c r="GB42" s="13">
        <f>AH42*GB$3</f>
        <v>0</v>
      </c>
      <c r="GC42" s="13">
        <f>AW42*GC$3</f>
        <v>0.61356799866842426</v>
      </c>
      <c r="GD42" s="13">
        <f>BJ42*GD$3</f>
        <v>0.46110576805420972</v>
      </c>
      <c r="GE42" s="13">
        <f>BX42*GE$3</f>
        <v>0.73863246396705551</v>
      </c>
      <c r="GF42" s="13">
        <f>CK42*GF$3</f>
        <v>0.17418524161950369</v>
      </c>
      <c r="GG42" s="13">
        <f>CX42</f>
        <v>4.8375706214689264E-2</v>
      </c>
      <c r="GH42" s="13">
        <f>SUM(GB42:GG42)*(1+DZ42)</f>
        <v>2.9398729795989955</v>
      </c>
      <c r="GI42" s="13"/>
      <c r="GJ42" s="13"/>
      <c r="GK42" s="13">
        <f>V42*GK$3</f>
        <v>0.11692241599999999</v>
      </c>
      <c r="GL42" s="13">
        <f>AJ42*GL$3</f>
        <v>0</v>
      </c>
      <c r="GM42" s="13">
        <f>AY42*GM$3</f>
        <v>0.87294988771908211</v>
      </c>
      <c r="GN42" s="13">
        <f>BL42*GN$3</f>
        <v>0.14623261139812621</v>
      </c>
      <c r="GO42" s="13">
        <f>BZ42*GO$3</f>
        <v>0</v>
      </c>
      <c r="GP42" s="13">
        <f>CM42*GP$3</f>
        <v>0.38894842036974531</v>
      </c>
      <c r="GQ42" s="13">
        <f>CZ42</f>
        <v>0</v>
      </c>
      <c r="GR42" s="13">
        <f>SUM(GL42:GQ42)*(1+EH42)</f>
        <v>1.4081309194869536</v>
      </c>
      <c r="GV42">
        <v>213115</v>
      </c>
      <c r="GW42" s="108" t="s">
        <v>344</v>
      </c>
      <c r="GY42" s="148">
        <f>Q42*0.001</f>
        <v>23.400000000000002</v>
      </c>
      <c r="GZ42" s="148">
        <f t="shared" si="127"/>
        <v>32.545000000000002</v>
      </c>
      <c r="HA42" s="148">
        <f t="shared" si="127"/>
        <v>61.620000000000005</v>
      </c>
      <c r="HB42" s="149">
        <f t="shared" si="119"/>
        <v>31.55</v>
      </c>
      <c r="HC42" s="149">
        <f t="shared" si="119"/>
        <v>34.268000000000001</v>
      </c>
      <c r="HD42" s="149">
        <f>'Preliminary estimates - 2017'!AT37</f>
        <v>51.036999999999999</v>
      </c>
      <c r="HF42" s="148">
        <f t="shared" si="120"/>
        <v>2.3183131332324995</v>
      </c>
      <c r="HG42" s="148">
        <f t="shared" si="121"/>
        <v>2.037980258151578</v>
      </c>
      <c r="HH42" s="148">
        <f t="shared" si="122"/>
        <v>1.7556458329873863</v>
      </c>
      <c r="HI42" s="148">
        <f t="shared" si="123"/>
        <v>5.0742517981185165</v>
      </c>
      <c r="HJ42" s="148">
        <f t="shared" si="124"/>
        <v>2.9398729795989955</v>
      </c>
      <c r="HK42" s="148">
        <f t="shared" si="0"/>
        <v>1.4081309194869536</v>
      </c>
      <c r="HL42" s="148">
        <f>'Preliminary estimates - 2017'!AL37</f>
        <v>1.0226107013212928</v>
      </c>
      <c r="HN42">
        <v>2012</v>
      </c>
      <c r="HO42" s="13">
        <f>Prices!E39</f>
        <v>0.34070260448213202</v>
      </c>
      <c r="HP42" s="16">
        <f>Prices!F39</f>
        <v>0</v>
      </c>
      <c r="HQ42" s="13">
        <f>Prices!G39</f>
        <v>4.0306265503781274E-2</v>
      </c>
      <c r="HR42" s="16">
        <f>Prices!H39</f>
        <v>0</v>
      </c>
      <c r="HS42" s="13">
        <f>Prices!I39</f>
        <v>4.2210179216877593E-2</v>
      </c>
      <c r="HT42" s="16">
        <f>Prices!J39</f>
        <v>0</v>
      </c>
      <c r="HU42" s="13">
        <f>Prices!K39</f>
        <v>5.7216533524490923E-2</v>
      </c>
      <c r="HV42" s="16">
        <f>Prices!L39</f>
        <v>0</v>
      </c>
      <c r="HW42" s="13">
        <f>Prices!M39</f>
        <v>0.26494845360824743</v>
      </c>
      <c r="HX42" s="16">
        <f>Prices!N39</f>
        <v>0</v>
      </c>
      <c r="HY42" s="13">
        <f>Prices!O39</f>
        <v>6.3240936394795721E-2</v>
      </c>
    </row>
    <row r="43" spans="1:235" x14ac:dyDescent="0.2">
      <c r="AI43" s="6"/>
      <c r="AM43" s="16"/>
      <c r="AX43" s="6"/>
      <c r="AZ43" s="16"/>
      <c r="BD43" s="6"/>
      <c r="BE43" s="6"/>
      <c r="BK43" s="6"/>
      <c r="BL43" s="6"/>
      <c r="BM43" s="16"/>
      <c r="BX43" s="13"/>
      <c r="BY43" s="130"/>
      <c r="BZ43" s="170"/>
      <c r="CG43" s="6"/>
      <c r="CH43" s="6"/>
      <c r="CI43" s="6"/>
      <c r="CJ43" s="6"/>
      <c r="CK43" s="6"/>
      <c r="CL43" s="8"/>
      <c r="CN43" s="16"/>
      <c r="CO43" s="6"/>
      <c r="CP43" s="6"/>
      <c r="CQ43" s="6"/>
      <c r="CR43" s="6"/>
      <c r="CS43" s="6"/>
      <c r="CT43" s="6"/>
      <c r="CU43" s="6"/>
      <c r="CV43" s="6"/>
      <c r="CW43" s="6"/>
      <c r="CX43" s="6"/>
      <c r="CY43" s="141"/>
      <c r="CZ43" s="115"/>
      <c r="DA43" s="8"/>
      <c r="DB43" s="8"/>
      <c r="DC43" s="8"/>
      <c r="DD43" s="8"/>
      <c r="DE43" s="8"/>
      <c r="DF43" s="8"/>
      <c r="DG43" s="8"/>
      <c r="DH43" s="8"/>
      <c r="DI43" s="8"/>
      <c r="DJ43" s="8"/>
      <c r="DK43" s="8"/>
      <c r="DL43" s="137"/>
      <c r="DM43" s="8"/>
      <c r="DN43" s="8"/>
      <c r="EL43" s="27">
        <f>AI43+AX43+BK43+BY43+CL43</f>
        <v>0</v>
      </c>
    </row>
    <row r="44" spans="1:235" x14ac:dyDescent="0.2">
      <c r="C44" s="60" t="s">
        <v>172</v>
      </c>
      <c r="R44" s="3">
        <f>SUM(R7:R34)</f>
        <v>78409475</v>
      </c>
      <c r="S44" s="3">
        <f>SUM(S7:S34)</f>
        <v>70158411.69255051</v>
      </c>
      <c r="T44" s="3"/>
      <c r="U44" s="3">
        <f>SUM(U7:U34)</f>
        <v>71400325</v>
      </c>
      <c r="V44" s="3"/>
      <c r="W44" s="3"/>
      <c r="X44" s="3">
        <f>SUM(X7:X34)</f>
        <v>71291431.846275255</v>
      </c>
      <c r="Y44" s="3"/>
      <c r="Z44" s="3"/>
      <c r="AA44" s="3"/>
      <c r="AI44" s="6"/>
      <c r="AM44" s="16"/>
      <c r="AX44" s="6"/>
      <c r="AZ44" s="16"/>
      <c r="BD44" s="6"/>
      <c r="BE44" s="6"/>
      <c r="BK44" s="6"/>
      <c r="BL44" s="6"/>
      <c r="BM44" s="16"/>
      <c r="BX44" s="13"/>
      <c r="BY44" s="130"/>
      <c r="BZ44" s="170"/>
      <c r="CK44" s="130"/>
      <c r="CL44" s="130"/>
      <c r="CY44" s="141"/>
      <c r="CZ44" s="115"/>
      <c r="DA44" s="8"/>
      <c r="DB44" s="8"/>
      <c r="DC44" s="8"/>
      <c r="DD44" s="8"/>
      <c r="DE44" s="8"/>
      <c r="DF44" s="8"/>
      <c r="DG44" s="8"/>
      <c r="DH44" s="8"/>
      <c r="DI44" s="8"/>
      <c r="DJ44" s="8"/>
      <c r="DK44" s="8"/>
      <c r="DL44" s="137"/>
      <c r="DM44" s="8"/>
      <c r="DN44" s="8"/>
    </row>
    <row r="45" spans="1:235" x14ac:dyDescent="0.2">
      <c r="R45">
        <f>0.000003412*R44</f>
        <v>267.53312870000002</v>
      </c>
      <c r="S45">
        <f>0.000003412*S44</f>
        <v>239.38050069498235</v>
      </c>
      <c r="T45">
        <f>0.000003412*T44</f>
        <v>0</v>
      </c>
      <c r="U45">
        <f>0.000003412*U44</f>
        <v>243.6179089</v>
      </c>
      <c r="X45">
        <f>0.000003412*X44</f>
        <v>243.24636545949119</v>
      </c>
      <c r="AI45" s="6"/>
      <c r="AM45" s="16"/>
      <c r="AX45" s="6"/>
      <c r="AZ45" s="16"/>
      <c r="BK45" s="6"/>
      <c r="BL45" s="6"/>
      <c r="BM45" s="6"/>
      <c r="BX45" s="13"/>
      <c r="BY45" s="130"/>
      <c r="BZ45" s="13"/>
      <c r="CY45" s="141"/>
      <c r="CZ45" s="115"/>
      <c r="DA45" s="8"/>
      <c r="DB45" s="8"/>
      <c r="DC45" s="8"/>
      <c r="DD45" s="8"/>
      <c r="DE45" s="8"/>
      <c r="DF45" s="8"/>
      <c r="DG45" s="8"/>
      <c r="DH45" s="8"/>
      <c r="DI45" s="8"/>
      <c r="DJ45" s="8"/>
      <c r="DK45" s="8"/>
      <c r="DL45" s="137"/>
      <c r="DM45" s="8"/>
      <c r="DN45" s="8"/>
      <c r="GV45" s="108" t="s">
        <v>357</v>
      </c>
      <c r="GY45" s="148">
        <f>GY7+GY9+GY36</f>
        <v>32120.9</v>
      </c>
      <c r="GZ45" s="148">
        <f>GZ7+GZ9</f>
        <v>32798.486000000004</v>
      </c>
      <c r="HA45" s="148">
        <f>HA7+HA9</f>
        <v>29690.671000000002</v>
      </c>
      <c r="HB45" s="148">
        <f>HB7+HB9</f>
        <v>23811.115999999998</v>
      </c>
      <c r="HC45" s="148">
        <f>HC7+HC9</f>
        <v>37233.163</v>
      </c>
      <c r="HD45" s="148">
        <f>HD7+HD9</f>
        <v>38107.448000000004</v>
      </c>
      <c r="HF45" s="148">
        <f t="shared" ref="HF45:HK45" si="128">HF7+HF9</f>
        <v>422.11916578335422</v>
      </c>
      <c r="HG45" s="148">
        <f t="shared" si="128"/>
        <v>371.82265757592904</v>
      </c>
      <c r="HH45" s="148">
        <f t="shared" si="128"/>
        <v>344.50948796388559</v>
      </c>
      <c r="HI45" s="148">
        <f t="shared" si="128"/>
        <v>347.65763221967148</v>
      </c>
      <c r="HJ45" s="148">
        <f t="shared" si="128"/>
        <v>261.64656974062268</v>
      </c>
      <c r="HK45" s="148">
        <f t="shared" si="128"/>
        <v>284.05789150507343</v>
      </c>
      <c r="HL45" s="148">
        <f t="shared" ref="HL45" si="129">HL7+HL9</f>
        <v>736.08531814343405</v>
      </c>
    </row>
    <row r="46" spans="1:235" x14ac:dyDescent="0.2">
      <c r="AI46" s="6"/>
      <c r="AM46" s="16"/>
      <c r="AX46" s="6"/>
      <c r="AZ46" s="16"/>
      <c r="BK46" s="6"/>
      <c r="BL46" s="6"/>
      <c r="BM46" s="6"/>
      <c r="BY46" s="130"/>
      <c r="BZ46" s="13"/>
      <c r="CY46" s="8"/>
      <c r="CZ46" s="115"/>
      <c r="DA46" s="8"/>
      <c r="DB46" s="8"/>
      <c r="DC46" s="8"/>
      <c r="DD46" s="8"/>
      <c r="DE46" s="8"/>
      <c r="DF46" s="8"/>
      <c r="DG46" s="8"/>
      <c r="DH46" s="8"/>
      <c r="DI46" s="8"/>
      <c r="DJ46" s="8"/>
      <c r="DK46" s="8"/>
      <c r="DL46" s="8"/>
      <c r="DM46" s="8"/>
      <c r="DN46" s="8"/>
      <c r="EW46" s="13">
        <f>SUM(EW7:EW33)</f>
        <v>795.83232083296298</v>
      </c>
      <c r="FF46" s="13">
        <f>SUM(FF7:FF33)</f>
        <v>752.02909835619414</v>
      </c>
      <c r="FO46" s="13">
        <f>SUM(FO7:FO33)</f>
        <v>725.15903149747783</v>
      </c>
      <c r="FX46" s="13">
        <f>SUM(FX7:FX33)</f>
        <v>644.92564550072291</v>
      </c>
      <c r="FZ46" t="s">
        <v>57</v>
      </c>
      <c r="GA46" s="13">
        <f>SUM(GA7:GA33)</f>
        <v>230.35821156000003</v>
      </c>
      <c r="GB46" s="13">
        <f t="shared" ref="GB46:GG46" si="130">SUM(GB7:GB33)</f>
        <v>34.574579247113917</v>
      </c>
      <c r="GC46" s="13">
        <f t="shared" si="130"/>
        <v>171.61289598343205</v>
      </c>
      <c r="GD46" s="13">
        <f t="shared" si="130"/>
        <v>30.329685062443229</v>
      </c>
      <c r="GE46" s="13">
        <f t="shared" si="130"/>
        <v>285.84364922019256</v>
      </c>
      <c r="GF46" s="13">
        <f t="shared" si="130"/>
        <v>22.107986104802489</v>
      </c>
      <c r="GG46" s="13">
        <f t="shared" si="130"/>
        <v>7.7479213088028622</v>
      </c>
      <c r="GH46" s="13">
        <f>SUM(GH7:GH33)</f>
        <v>588.5712845054768</v>
      </c>
      <c r="GI46" s="13"/>
      <c r="GJ46" s="13"/>
      <c r="GK46" s="13"/>
      <c r="GL46" s="13"/>
      <c r="GM46" s="13"/>
      <c r="GN46" s="13"/>
      <c r="GO46" s="13"/>
      <c r="GP46" s="13"/>
      <c r="GV46" s="108" t="s">
        <v>358</v>
      </c>
      <c r="GY46" s="148">
        <f t="shared" ref="GY46:HD46" si="131">GY11+GY12+GY13</f>
        <v>12576.9</v>
      </c>
      <c r="GZ46" s="148">
        <f t="shared" si="131"/>
        <v>11355.11</v>
      </c>
      <c r="HA46" s="148">
        <f t="shared" si="131"/>
        <v>10034.416999999999</v>
      </c>
      <c r="HB46" s="148">
        <f t="shared" si="131"/>
        <v>11447.768</v>
      </c>
      <c r="HC46" s="148">
        <f t="shared" si="131"/>
        <v>12019.213</v>
      </c>
      <c r="HD46" s="148">
        <f t="shared" si="131"/>
        <v>9276.11</v>
      </c>
      <c r="HE46" s="148"/>
      <c r="HF46" s="148">
        <f t="shared" ref="HF46:HK46" si="132">HF11+HF12+HF13</f>
        <v>91.875300141611234</v>
      </c>
      <c r="HG46" s="148">
        <f t="shared" si="132"/>
        <v>93.598483169573683</v>
      </c>
      <c r="HH46" s="148">
        <f t="shared" si="132"/>
        <v>81.963785539079012</v>
      </c>
      <c r="HI46" s="148">
        <f t="shared" si="132"/>
        <v>61.979917178648627</v>
      </c>
      <c r="HJ46" s="148">
        <f t="shared" si="132"/>
        <v>83.668979445828001</v>
      </c>
      <c r="HK46" s="148">
        <f t="shared" si="132"/>
        <v>98.622817830946644</v>
      </c>
      <c r="HL46" s="148">
        <f t="shared" ref="HL46" si="133">HL11+HL12+HL13</f>
        <v>64.388053020237038</v>
      </c>
    </row>
    <row r="47" spans="1:235" x14ac:dyDescent="0.2">
      <c r="U47">
        <f>SUM(U36:U42)</f>
        <v>2871885</v>
      </c>
      <c r="AI47" s="6"/>
      <c r="AM47" s="6"/>
      <c r="AX47" s="6"/>
      <c r="AZ47" s="16"/>
      <c r="BK47" s="6"/>
      <c r="BL47" s="6"/>
      <c r="BM47" s="6"/>
      <c r="BY47" s="130"/>
      <c r="BZ47" s="13"/>
      <c r="CY47" s="8"/>
      <c r="CZ47" s="115"/>
      <c r="DA47" s="8"/>
      <c r="DB47" s="8"/>
      <c r="DC47" s="8"/>
      <c r="DD47" s="8"/>
      <c r="DE47" s="8"/>
      <c r="DF47" s="8"/>
      <c r="DG47" s="8"/>
      <c r="DH47" s="8"/>
      <c r="DI47" s="8"/>
      <c r="DJ47" s="8"/>
      <c r="DK47" s="8"/>
      <c r="DL47" s="8"/>
      <c r="DM47" s="8"/>
      <c r="DN47" s="8"/>
      <c r="GV47" s="108" t="s">
        <v>359</v>
      </c>
      <c r="GY47" s="148">
        <f t="shared" ref="GY47:HD47" si="134">SUM(GY15:GY21)</f>
        <v>18519.899999999998</v>
      </c>
      <c r="GZ47" s="148">
        <f t="shared" si="134"/>
        <v>20039.987000000001</v>
      </c>
      <c r="HA47" s="148">
        <f t="shared" si="134"/>
        <v>16109.473000000002</v>
      </c>
      <c r="HB47" s="148">
        <f t="shared" si="134"/>
        <v>19959.304999999997</v>
      </c>
      <c r="HC47" s="148">
        <f t="shared" si="134"/>
        <v>21922.157999999999</v>
      </c>
      <c r="HD47" s="148">
        <f t="shared" si="134"/>
        <v>21568.555</v>
      </c>
      <c r="HF47" s="148">
        <f t="shared" ref="HF47:HK47" si="135">SUM(HF15:HF21)</f>
        <v>63.800780767941376</v>
      </c>
      <c r="HG47" s="148">
        <f t="shared" si="135"/>
        <v>79.489875739691414</v>
      </c>
      <c r="HH47" s="148">
        <f t="shared" si="135"/>
        <v>100.84990431171951</v>
      </c>
      <c r="HI47" s="148">
        <f t="shared" si="135"/>
        <v>66.030536724243518</v>
      </c>
      <c r="HJ47" s="148">
        <f t="shared" si="135"/>
        <v>87.072698492979939</v>
      </c>
      <c r="HK47" s="148">
        <f t="shared" si="135"/>
        <v>202.71801720025496</v>
      </c>
      <c r="HL47" s="148">
        <f t="shared" ref="HL47" si="136">SUM(HL15:HL21)</f>
        <v>253.5933887380871</v>
      </c>
      <c r="HN47" t="s">
        <v>331</v>
      </c>
    </row>
    <row r="48" spans="1:235" x14ac:dyDescent="0.2">
      <c r="U48">
        <f>0.000003412*U47</f>
        <v>9.7988716199999999</v>
      </c>
      <c r="AI48" s="6"/>
      <c r="AM48" s="6"/>
      <c r="AX48" s="6"/>
      <c r="AZ48" s="16"/>
      <c r="BK48" s="6"/>
      <c r="BL48" s="6"/>
      <c r="BM48" s="6"/>
      <c r="BY48" s="130"/>
      <c r="BZ48" s="13"/>
      <c r="CY48" s="8"/>
      <c r="CZ48" s="115"/>
      <c r="DA48" s="8"/>
      <c r="DB48" s="8"/>
      <c r="DC48" s="8"/>
      <c r="DD48" s="8"/>
      <c r="DE48" s="8"/>
      <c r="DF48" s="8"/>
      <c r="DG48" s="8"/>
      <c r="DH48" s="8"/>
      <c r="DI48" s="8"/>
      <c r="DJ48" s="8"/>
      <c r="DK48" s="8"/>
      <c r="DL48" s="8"/>
      <c r="DM48" s="8"/>
      <c r="DN48" s="8"/>
      <c r="GV48" s="108" t="s">
        <v>361</v>
      </c>
      <c r="GY48" s="148">
        <f t="shared" ref="GY48:HD48" si="137">SUM(GY23:GY34)-GY33</f>
        <v>12477.2</v>
      </c>
      <c r="GZ48" s="148">
        <f t="shared" si="137"/>
        <v>14003.207</v>
      </c>
      <c r="HA48" s="148">
        <f t="shared" si="137"/>
        <v>14130.563352272726</v>
      </c>
      <c r="HB48" s="148">
        <f t="shared" si="137"/>
        <v>15913.846</v>
      </c>
      <c r="HC48" s="148">
        <f t="shared" si="137"/>
        <v>11505.765027674068</v>
      </c>
      <c r="HD48" s="148">
        <f t="shared" si="137"/>
        <v>12818.384000000004</v>
      </c>
      <c r="HF48" s="148">
        <f t="shared" ref="HF48:HK48" si="138">SUM(HF23:HF34)-HF33</f>
        <v>207.40910412535271</v>
      </c>
      <c r="HG48" s="148">
        <f t="shared" si="138"/>
        <v>189.706624903071</v>
      </c>
      <c r="HH48" s="148">
        <f t="shared" si="138"/>
        <v>204.0361952754256</v>
      </c>
      <c r="HI48" s="148">
        <f t="shared" si="138"/>
        <v>177.79703676212029</v>
      </c>
      <c r="HJ48" s="148">
        <f t="shared" si="138"/>
        <v>159.95729554801926</v>
      </c>
      <c r="HK48" s="148">
        <f t="shared" si="138"/>
        <v>171.24078189275644</v>
      </c>
      <c r="HL48" s="148">
        <f t="shared" ref="HL48" si="139">SUM(HL23:HL34)-HL33</f>
        <v>143.772986604837</v>
      </c>
      <c r="HP48">
        <f>SUMPRODUCT(HR15:HZ15,HR48:HZ48)</f>
        <v>2.3766809035071508</v>
      </c>
      <c r="HR48" s="104">
        <f>CJ32</f>
        <v>6.0422960725075518E-2</v>
      </c>
      <c r="HT48" s="104">
        <f>AV32</f>
        <v>0.56334340382678749</v>
      </c>
      <c r="HV48" s="104">
        <f>BI32</f>
        <v>0.12520652852040182</v>
      </c>
      <c r="HX48" s="104">
        <f>BV32</f>
        <v>7.2306143001007045E-2</v>
      </c>
      <c r="HZ48">
        <v>0.1</v>
      </c>
    </row>
    <row r="49" spans="29:220" x14ac:dyDescent="0.2">
      <c r="AX49" s="6"/>
      <c r="AZ49" s="16"/>
      <c r="BK49" s="6"/>
      <c r="BL49" s="6"/>
      <c r="BM49" s="6"/>
      <c r="BY49" s="130"/>
      <c r="BZ49" s="13"/>
      <c r="CY49" s="8"/>
      <c r="CZ49" s="115"/>
      <c r="DA49" s="130"/>
      <c r="DB49" s="130"/>
      <c r="DC49" s="130"/>
      <c r="DD49" s="130"/>
      <c r="DE49" s="130"/>
      <c r="DF49" s="130"/>
      <c r="DG49" s="130"/>
      <c r="DH49" s="130"/>
      <c r="DI49" s="130"/>
      <c r="DJ49" s="130"/>
      <c r="DK49" s="130"/>
      <c r="DL49" s="130"/>
      <c r="DM49" s="130"/>
      <c r="DN49" s="130"/>
      <c r="FV49" t="s">
        <v>60</v>
      </c>
      <c r="FX49" t="s">
        <v>64</v>
      </c>
      <c r="FY49" t="s">
        <v>65</v>
      </c>
      <c r="GV49" s="108" t="s">
        <v>362</v>
      </c>
      <c r="GY49" s="148">
        <f t="shared" ref="GY49:HD49" si="140">GY33</f>
        <v>293.7</v>
      </c>
      <c r="GZ49" s="148">
        <f t="shared" si="140"/>
        <v>212.685</v>
      </c>
      <c r="HA49" s="148">
        <f t="shared" si="140"/>
        <v>193.28734027777779</v>
      </c>
      <c r="HB49" s="148">
        <f t="shared" si="140"/>
        <v>268.29000000000002</v>
      </c>
      <c r="HC49" s="148">
        <f t="shared" si="140"/>
        <v>255.98938869077944</v>
      </c>
      <c r="HD49" s="148">
        <f t="shared" si="140"/>
        <v>223.00200000000001</v>
      </c>
      <c r="HF49" s="148">
        <f t="shared" ref="HF49:HK49" si="141">HF33</f>
        <v>20.71064726771942</v>
      </c>
      <c r="HG49" s="148">
        <f t="shared" si="141"/>
        <v>26.151961369281246</v>
      </c>
      <c r="HH49" s="148">
        <f t="shared" si="141"/>
        <v>0.80410090096910947</v>
      </c>
      <c r="HI49" s="148">
        <f t="shared" si="141"/>
        <v>0.9232062499999999</v>
      </c>
      <c r="HJ49" s="148">
        <f t="shared" si="141"/>
        <v>1.3766604573762173</v>
      </c>
      <c r="HK49" s="148">
        <f t="shared" si="141"/>
        <v>1.074347625719795</v>
      </c>
      <c r="HL49" s="148">
        <f t="shared" ref="HL49" si="142">HL33</f>
        <v>1.1368257491720202</v>
      </c>
    </row>
    <row r="50" spans="29:220" x14ac:dyDescent="0.2">
      <c r="AX50" s="6"/>
      <c r="AZ50" s="16"/>
      <c r="BK50" s="6"/>
      <c r="BL50" s="6"/>
      <c r="BM50" s="6"/>
      <c r="BY50" s="130"/>
      <c r="BZ50" s="13"/>
      <c r="DA50" s="130"/>
      <c r="DB50" s="130"/>
      <c r="DC50" s="130"/>
      <c r="DD50" s="130"/>
      <c r="DE50" s="130"/>
      <c r="DF50" s="130"/>
      <c r="DG50" s="130"/>
      <c r="DH50" s="130"/>
      <c r="DI50" s="130"/>
      <c r="DJ50" s="130"/>
      <c r="DK50" s="130"/>
      <c r="DL50" s="130"/>
      <c r="DM50" s="130"/>
      <c r="DN50" s="130"/>
      <c r="FS50" t="s">
        <v>52</v>
      </c>
      <c r="FV50" s="13">
        <f>FQ7</f>
        <v>91.873415895999997</v>
      </c>
      <c r="FW50" s="13"/>
      <c r="FX50" s="13">
        <f>FX7</f>
        <v>210.51008737667502</v>
      </c>
      <c r="FY50" s="13">
        <f>SUM(FV50:FX50)</f>
        <v>302.383503272675</v>
      </c>
      <c r="GV50" s="108" t="s">
        <v>340</v>
      </c>
      <c r="GY50" s="148">
        <f t="shared" ref="GY50:HC51" si="143">GY36</f>
        <v>178.9</v>
      </c>
      <c r="GZ50" s="148">
        <f t="shared" si="143"/>
        <v>235.71899999999999</v>
      </c>
      <c r="HA50" s="148">
        <f t="shared" si="143"/>
        <v>572.351</v>
      </c>
      <c r="HB50" s="148">
        <f t="shared" si="143"/>
        <v>741.59500000000003</v>
      </c>
      <c r="HC50" s="148">
        <f t="shared" si="143"/>
        <v>277.36200000000002</v>
      </c>
      <c r="HD50" s="148">
        <f t="shared" ref="HD50" si="144">HD36</f>
        <v>1840.4950000000001</v>
      </c>
      <c r="HE50" s="148"/>
      <c r="HF50" s="148">
        <f t="shared" ref="HF50:HK51" si="145">HF36</f>
        <v>29.017034155272604</v>
      </c>
      <c r="HG50" s="148">
        <f t="shared" si="145"/>
        <v>36.422102562119058</v>
      </c>
      <c r="HH50" s="148">
        <f t="shared" si="145"/>
        <v>47.454206996322299</v>
      </c>
      <c r="HI50" s="148">
        <f t="shared" si="145"/>
        <v>20.418117938428118</v>
      </c>
      <c r="HJ50" s="148">
        <f t="shared" si="145"/>
        <v>22.949922130463044</v>
      </c>
      <c r="HK50" s="148">
        <f t="shared" si="145"/>
        <v>24.031789706781694</v>
      </c>
      <c r="HL50" s="148">
        <f t="shared" ref="HL50" si="146">HL36</f>
        <v>11.754590642379634</v>
      </c>
    </row>
    <row r="51" spans="29:220" x14ac:dyDescent="0.2">
      <c r="AX51" s="6"/>
      <c r="AZ51" s="16"/>
      <c r="BK51" s="6"/>
      <c r="BL51" s="6"/>
      <c r="BM51" s="6"/>
      <c r="BY51" s="130"/>
      <c r="DA51" s="130"/>
      <c r="DB51" s="130"/>
      <c r="DC51" s="130"/>
      <c r="DD51" s="130"/>
      <c r="DE51" s="130"/>
      <c r="DF51" s="130"/>
      <c r="DG51" s="130"/>
      <c r="DH51" s="130"/>
      <c r="DI51" s="130"/>
      <c r="DJ51" s="130"/>
      <c r="DK51" s="130"/>
      <c r="DL51" s="130"/>
      <c r="DM51" s="130"/>
      <c r="DN51" s="130"/>
      <c r="FS51" t="s">
        <v>55</v>
      </c>
      <c r="FV51" s="13">
        <f>SUM(FQ10:FQ13)</f>
        <v>34.237430803999992</v>
      </c>
      <c r="FW51" s="13"/>
      <c r="FX51">
        <f>SUM(FX10:FX13)</f>
        <v>61.979917178648627</v>
      </c>
      <c r="FY51" s="13">
        <f>SUM(FV51:FX51)</f>
        <v>96.217347982648619</v>
      </c>
      <c r="GV51" s="108" t="s">
        <v>354</v>
      </c>
      <c r="GY51" s="148">
        <f t="shared" si="143"/>
        <v>955</v>
      </c>
      <c r="GZ51" s="148">
        <f t="shared" si="143"/>
        <v>1348.058</v>
      </c>
      <c r="HA51" s="148">
        <f t="shared" si="143"/>
        <v>585.11400000000003</v>
      </c>
      <c r="HB51" s="148">
        <f t="shared" si="143"/>
        <v>1572.079</v>
      </c>
      <c r="HC51" s="148">
        <f t="shared" si="143"/>
        <v>1320.367</v>
      </c>
      <c r="HD51" s="148">
        <f t="shared" ref="HD51" si="147">HD37</f>
        <v>6545.8850000000002</v>
      </c>
      <c r="HE51" s="148"/>
      <c r="HF51" s="148">
        <f t="shared" si="145"/>
        <v>37.959453233727352</v>
      </c>
      <c r="HG51" s="148">
        <f t="shared" si="145"/>
        <v>37.934920266251055</v>
      </c>
      <c r="HH51" s="148">
        <f t="shared" si="145"/>
        <v>41.664999689165832</v>
      </c>
      <c r="HI51" s="148">
        <f t="shared" si="145"/>
        <v>38.404459010064201</v>
      </c>
      <c r="HJ51" s="148">
        <f t="shared" si="145"/>
        <v>63.267301064303993</v>
      </c>
      <c r="HK51" s="148">
        <f t="shared" si="145"/>
        <v>110.75391257730762</v>
      </c>
      <c r="HL51" s="148">
        <f t="shared" ref="HL51" si="148">HL37</f>
        <v>123.88651419850765</v>
      </c>
    </row>
    <row r="52" spans="29:220" x14ac:dyDescent="0.2">
      <c r="AX52" s="6"/>
      <c r="AZ52" s="16"/>
      <c r="BK52" s="6"/>
      <c r="BL52" s="6"/>
      <c r="BM52" s="6"/>
      <c r="BY52" s="130"/>
      <c r="DA52" s="130"/>
      <c r="DB52" s="130"/>
      <c r="DC52" s="130"/>
      <c r="DD52" s="130"/>
      <c r="DE52" s="130"/>
      <c r="DF52" s="130"/>
      <c r="DG52" s="130"/>
      <c r="DH52" s="130"/>
      <c r="DI52" s="130"/>
      <c r="DJ52" s="130"/>
      <c r="DK52" s="130"/>
      <c r="DL52" s="130"/>
      <c r="DM52" s="130"/>
      <c r="DN52" s="130"/>
      <c r="FS52" t="s">
        <v>53</v>
      </c>
      <c r="FV52" s="13">
        <f>SUM(FQ15:FQ21)</f>
        <v>60.227951835999995</v>
      </c>
      <c r="FW52" s="13"/>
      <c r="FX52" s="13">
        <f>SUM(FX15:FX21)</f>
        <v>66.030536724243518</v>
      </c>
      <c r="FY52" s="13">
        <f>SUM(FV52:FX52)</f>
        <v>126.25848856024351</v>
      </c>
      <c r="GV52" s="108" t="s">
        <v>342</v>
      </c>
      <c r="GY52" s="148">
        <f t="shared" ref="GY52:HD52" si="149">GY40</f>
        <v>94.600000000000009</v>
      </c>
      <c r="GZ52" s="148">
        <f t="shared" si="149"/>
        <v>123.48</v>
      </c>
      <c r="HA52" s="148">
        <f t="shared" si="149"/>
        <v>168.596</v>
      </c>
      <c r="HB52" s="148">
        <f t="shared" si="149"/>
        <v>382.80799999999999</v>
      </c>
      <c r="HC52" s="148">
        <f t="shared" si="149"/>
        <v>157.71100000000001</v>
      </c>
      <c r="HD52" s="148">
        <f t="shared" si="149"/>
        <v>144.398</v>
      </c>
      <c r="HE52" s="148"/>
      <c r="HF52" s="148">
        <f t="shared" ref="HF52:HK54" si="150">HF40</f>
        <v>3.4997034674063792</v>
      </c>
      <c r="HG52" s="148">
        <f t="shared" si="150"/>
        <v>3.7837390640394091</v>
      </c>
      <c r="HH52" s="148">
        <f t="shared" si="150"/>
        <v>3.3703002073340946</v>
      </c>
      <c r="HI52" s="148">
        <f t="shared" si="150"/>
        <v>5.0034464467178879</v>
      </c>
      <c r="HJ52" s="148">
        <f t="shared" si="150"/>
        <v>5.1790461375595687</v>
      </c>
      <c r="HK52" s="148">
        <f t="shared" si="150"/>
        <v>4.3193389838630631</v>
      </c>
      <c r="HL52" s="148">
        <f t="shared" ref="HL52" si="151">HL40</f>
        <v>1.4908342939357209</v>
      </c>
    </row>
    <row r="53" spans="29:220" x14ac:dyDescent="0.2">
      <c r="AC53">
        <f>AC31/AB31</f>
        <v>32.974945451809496</v>
      </c>
      <c r="AX53" s="6"/>
      <c r="AZ53" s="16"/>
      <c r="BK53" s="6"/>
      <c r="BL53" s="6"/>
      <c r="BM53" s="6"/>
      <c r="BY53" s="130"/>
      <c r="DA53" s="130"/>
      <c r="DB53" s="130"/>
      <c r="DC53" s="130"/>
      <c r="DD53" s="130"/>
      <c r="DE53" s="130"/>
      <c r="DF53" s="130"/>
      <c r="DG53" s="130"/>
      <c r="DH53" s="130"/>
      <c r="DI53" s="130"/>
      <c r="DJ53" s="130"/>
      <c r="DK53" s="130"/>
      <c r="DL53" s="130"/>
      <c r="DM53" s="130"/>
      <c r="DN53" s="130"/>
      <c r="FS53" s="12" t="s">
        <v>54</v>
      </c>
      <c r="FT53" s="12"/>
      <c r="FU53" s="12"/>
      <c r="FV53" s="22">
        <f>SUM(FQ23:FQ34)</f>
        <v>48.872978562982325</v>
      </c>
      <c r="FW53" s="22"/>
      <c r="FX53" s="22">
        <f>SUM(FX23:FX34)</f>
        <v>178.72024301212028</v>
      </c>
      <c r="FY53" s="13">
        <f>SUM(FV53:FX53)</f>
        <v>227.5932215751026</v>
      </c>
      <c r="GV53" s="108" t="s">
        <v>343</v>
      </c>
      <c r="GY53" s="148">
        <f t="shared" ref="GY53:HB54" si="152">GY41</f>
        <v>42.800000000000004</v>
      </c>
      <c r="GZ53" s="148">
        <f t="shared" si="152"/>
        <v>21.911000000000001</v>
      </c>
      <c r="HA53" s="148">
        <f t="shared" si="152"/>
        <v>29.605</v>
      </c>
      <c r="HB53" s="148">
        <f t="shared" si="152"/>
        <v>143.85300000000001</v>
      </c>
      <c r="HC53" s="148">
        <f>HC41</f>
        <v>105.49300000000001</v>
      </c>
      <c r="HD53" s="148">
        <f>HD41</f>
        <v>72.338000000000008</v>
      </c>
      <c r="HE53" s="148"/>
      <c r="HF53" s="148">
        <f t="shared" si="150"/>
        <v>2.2631307451370684</v>
      </c>
      <c r="HG53" s="148">
        <f t="shared" si="150"/>
        <v>2.4911062679967642</v>
      </c>
      <c r="HH53" s="148">
        <f t="shared" si="150"/>
        <v>1.1958716434815793</v>
      </c>
      <c r="HI53" s="148">
        <f t="shared" si="150"/>
        <v>0.80735663470671315</v>
      </c>
      <c r="HJ53" s="148">
        <f t="shared" si="150"/>
        <v>2.6702357301508495</v>
      </c>
      <c r="HK53" s="148">
        <f t="shared" si="150"/>
        <v>1.4232419090591697</v>
      </c>
      <c r="HL53" s="148">
        <f t="shared" ref="HL53" si="153">HL41</f>
        <v>0.94848325802050393</v>
      </c>
    </row>
    <row r="54" spans="29:220" x14ac:dyDescent="0.2">
      <c r="AX54" s="6"/>
      <c r="AZ54" s="16"/>
      <c r="BK54" s="6"/>
      <c r="BL54" s="6"/>
      <c r="BM54" s="6"/>
      <c r="DA54" s="130"/>
      <c r="DB54" s="130"/>
      <c r="DC54" s="130"/>
      <c r="DD54" s="130"/>
      <c r="DE54" s="130"/>
      <c r="DF54" s="130"/>
      <c r="DG54" s="130"/>
      <c r="DH54" s="130"/>
      <c r="DI54" s="130"/>
      <c r="DJ54" s="130"/>
      <c r="DK54" s="130"/>
      <c r="DL54" s="130"/>
      <c r="DM54" s="130"/>
      <c r="DN54" s="130"/>
      <c r="FU54" t="s">
        <v>57</v>
      </c>
      <c r="FV54" s="13">
        <f>SUM(FV50:FV53)</f>
        <v>235.21177709898231</v>
      </c>
      <c r="FW54" s="13"/>
      <c r="FX54" s="13">
        <f>SUM(FX50:FX53)</f>
        <v>517.24078429168742</v>
      </c>
      <c r="FY54" s="13">
        <f>SUM(FY50:FY53)</f>
        <v>752.45256139066976</v>
      </c>
      <c r="GV54" s="108" t="s">
        <v>344</v>
      </c>
      <c r="GY54" s="148">
        <f t="shared" si="152"/>
        <v>23.400000000000002</v>
      </c>
      <c r="GZ54" s="148">
        <f t="shared" si="152"/>
        <v>32.545000000000002</v>
      </c>
      <c r="HA54" s="148">
        <f t="shared" si="152"/>
        <v>61.620000000000005</v>
      </c>
      <c r="HB54" s="148">
        <f t="shared" si="152"/>
        <v>31.55</v>
      </c>
      <c r="HC54" s="148">
        <f>HC42</f>
        <v>34.268000000000001</v>
      </c>
      <c r="HD54" s="148">
        <f>HD42</f>
        <v>51.036999999999999</v>
      </c>
      <c r="HE54" s="148"/>
      <c r="HF54" s="148">
        <f t="shared" si="150"/>
        <v>2.3183131332324995</v>
      </c>
      <c r="HG54" s="148">
        <f t="shared" si="150"/>
        <v>2.037980258151578</v>
      </c>
      <c r="HH54" s="148">
        <f t="shared" si="150"/>
        <v>1.7556458329873863</v>
      </c>
      <c r="HI54" s="148">
        <f t="shared" si="150"/>
        <v>5.0742517981185165</v>
      </c>
      <c r="HJ54" s="148">
        <f t="shared" si="150"/>
        <v>2.9398729795989955</v>
      </c>
      <c r="HK54" s="148">
        <f t="shared" si="150"/>
        <v>1.4081309194869536</v>
      </c>
      <c r="HL54" s="148">
        <f t="shared" ref="HL54" si="154">HL42</f>
        <v>1.0226107013212928</v>
      </c>
    </row>
    <row r="55" spans="29:220" x14ac:dyDescent="0.2">
      <c r="AX55" s="6"/>
      <c r="AZ55" s="16"/>
      <c r="BL55" s="6"/>
      <c r="DA55" s="130"/>
      <c r="DB55" s="130"/>
      <c r="DC55" s="130"/>
      <c r="DD55" s="130"/>
      <c r="DE55" s="130"/>
      <c r="DF55" s="130"/>
      <c r="DG55" s="130"/>
      <c r="DH55" s="130"/>
      <c r="DI55" s="130"/>
      <c r="DJ55" s="130"/>
      <c r="DK55" s="130"/>
      <c r="DL55" s="130"/>
      <c r="DM55" s="130"/>
      <c r="DN55" s="130"/>
      <c r="FU55" t="s">
        <v>56</v>
      </c>
    </row>
    <row r="56" spans="29:220" x14ac:dyDescent="0.2">
      <c r="AX56" s="6"/>
      <c r="AZ56" s="16"/>
      <c r="DA56" s="130"/>
      <c r="DB56" s="130"/>
      <c r="DC56" s="130"/>
      <c r="DD56" s="130"/>
      <c r="DE56" s="130"/>
      <c r="DF56" s="130"/>
      <c r="DG56" s="130"/>
      <c r="DH56" s="130"/>
      <c r="DI56" s="130"/>
      <c r="DJ56" s="130"/>
      <c r="DK56" s="130"/>
      <c r="DL56" s="130"/>
      <c r="DM56" s="130"/>
      <c r="DN56" s="130"/>
    </row>
    <row r="57" spans="29:220" x14ac:dyDescent="0.2">
      <c r="AX57" s="6"/>
      <c r="AZ57" s="16"/>
      <c r="DA57" s="130"/>
      <c r="DB57" s="130"/>
      <c r="DC57" s="130"/>
      <c r="DD57" s="130"/>
      <c r="DE57" s="130"/>
      <c r="DF57" s="130"/>
      <c r="DG57" s="130"/>
      <c r="DH57" s="130"/>
      <c r="DI57" s="130"/>
      <c r="DJ57" s="130"/>
      <c r="DK57" s="130"/>
      <c r="DL57" s="130"/>
      <c r="DM57" s="130"/>
      <c r="DN57" s="130"/>
    </row>
    <row r="58" spans="29:220" x14ac:dyDescent="0.2">
      <c r="AX58" s="6"/>
      <c r="AZ58" s="16"/>
      <c r="DA58" s="130"/>
      <c r="DB58" s="130"/>
      <c r="DC58" s="130"/>
      <c r="DD58" s="130"/>
      <c r="DE58" s="130"/>
      <c r="DF58" s="130"/>
      <c r="DG58" s="130"/>
      <c r="DH58" s="130"/>
      <c r="DI58" s="130"/>
      <c r="DJ58" s="130"/>
      <c r="DK58" s="130"/>
      <c r="DL58" s="130"/>
      <c r="DM58" s="130"/>
      <c r="DN58" s="130"/>
    </row>
    <row r="59" spans="29:220" x14ac:dyDescent="0.2">
      <c r="AX59" s="6"/>
      <c r="AZ59" s="16"/>
      <c r="DA59" s="130"/>
      <c r="DB59" s="130"/>
      <c r="DC59" s="130"/>
      <c r="DD59" s="130"/>
      <c r="DE59" s="130"/>
      <c r="DF59" s="130"/>
      <c r="DG59" s="130"/>
      <c r="DH59" s="130"/>
      <c r="DI59" s="130"/>
      <c r="DJ59" s="130"/>
      <c r="DK59" s="130"/>
      <c r="DL59" s="130"/>
      <c r="DM59" s="130"/>
      <c r="DN59" s="130"/>
    </row>
    <row r="60" spans="29:220" x14ac:dyDescent="0.2">
      <c r="AX60" s="6"/>
      <c r="AZ60" s="16"/>
      <c r="DA60" s="130"/>
      <c r="DB60" s="130"/>
      <c r="DC60" s="130"/>
      <c r="DD60" s="130"/>
      <c r="DE60" s="130"/>
      <c r="DF60" s="130"/>
      <c r="DG60" s="130"/>
      <c r="DH60" s="130"/>
      <c r="DI60" s="130"/>
      <c r="DJ60" s="130"/>
      <c r="DK60" s="130"/>
      <c r="DL60" s="130"/>
      <c r="DM60" s="130"/>
      <c r="DN60" s="130"/>
    </row>
    <row r="61" spans="29:220" x14ac:dyDescent="0.2">
      <c r="AX61" s="6"/>
      <c r="AZ61" s="16"/>
      <c r="DA61" s="130"/>
      <c r="DB61" s="130"/>
      <c r="DC61" s="130"/>
      <c r="DD61" s="130"/>
      <c r="DE61" s="130"/>
      <c r="DF61" s="130"/>
      <c r="DG61" s="130"/>
      <c r="DH61" s="130"/>
      <c r="DI61" s="130"/>
      <c r="DJ61" s="130"/>
      <c r="DK61" s="130"/>
      <c r="DL61" s="130"/>
      <c r="DM61" s="130"/>
      <c r="DN61" s="130"/>
    </row>
    <row r="62" spans="29:220" x14ac:dyDescent="0.2">
      <c r="AX62" s="6"/>
      <c r="DA62" s="130"/>
      <c r="DB62" s="130"/>
      <c r="DC62" s="130"/>
      <c r="DD62" s="130"/>
      <c r="DE62" s="130"/>
      <c r="DF62" s="130"/>
      <c r="DG62" s="130"/>
      <c r="DH62" s="130"/>
      <c r="DI62" s="130"/>
      <c r="DJ62" s="130"/>
      <c r="DK62" s="130"/>
      <c r="DL62" s="130"/>
      <c r="DM62" s="130"/>
      <c r="DN62" s="130"/>
    </row>
    <row r="63" spans="29:220" x14ac:dyDescent="0.2">
      <c r="AX63" s="6"/>
      <c r="DA63" s="130"/>
      <c r="DB63" s="130"/>
      <c r="DC63" s="130"/>
      <c r="DD63" s="130"/>
      <c r="DE63" s="130"/>
      <c r="DF63" s="130"/>
      <c r="DG63" s="130"/>
      <c r="DH63" s="130"/>
      <c r="DI63" s="130"/>
      <c r="DJ63" s="130"/>
      <c r="DK63" s="130"/>
      <c r="DL63" s="130"/>
      <c r="DM63" s="130"/>
      <c r="DN63" s="130"/>
    </row>
    <row r="64" spans="29:220" x14ac:dyDescent="0.2">
      <c r="AX64" s="6"/>
      <c r="DA64" s="130"/>
      <c r="DB64" s="130"/>
      <c r="DC64" s="130"/>
      <c r="DD64" s="130"/>
      <c r="DE64" s="130"/>
      <c r="DF64" s="130"/>
      <c r="DG64" s="130"/>
      <c r="DH64" s="130"/>
      <c r="DI64" s="130"/>
      <c r="DJ64" s="130"/>
      <c r="DK64" s="130"/>
      <c r="DL64" s="130"/>
      <c r="DM64" s="130"/>
      <c r="DN64" s="130"/>
    </row>
    <row r="65" spans="50:118" x14ac:dyDescent="0.2">
      <c r="AX65" s="6"/>
      <c r="DA65" s="130"/>
      <c r="DB65" s="130"/>
      <c r="DC65" s="130"/>
      <c r="DD65" s="130"/>
      <c r="DE65" s="130"/>
      <c r="DF65" s="130"/>
      <c r="DG65" s="130"/>
      <c r="DH65" s="130"/>
      <c r="DI65" s="130"/>
      <c r="DJ65" s="130"/>
      <c r="DK65" s="130"/>
      <c r="DL65" s="130"/>
      <c r="DM65" s="130"/>
      <c r="DN65" s="130"/>
    </row>
    <row r="66" spans="50:118" x14ac:dyDescent="0.2">
      <c r="AX66" s="6"/>
      <c r="DA66" s="130"/>
      <c r="DB66" s="130"/>
      <c r="DC66" s="130"/>
      <c r="DD66" s="130"/>
      <c r="DE66" s="130"/>
      <c r="DF66" s="130"/>
      <c r="DG66" s="130"/>
      <c r="DH66" s="130"/>
      <c r="DI66" s="130"/>
      <c r="DJ66" s="130"/>
      <c r="DK66" s="130"/>
      <c r="DL66" s="130"/>
      <c r="DM66" s="130"/>
      <c r="DN66" s="130"/>
    </row>
  </sheetData>
  <mergeCells count="9">
    <mergeCell ref="BF3:BM3"/>
    <mergeCell ref="BQ3:CA3"/>
    <mergeCell ref="CG3:CN3"/>
    <mergeCell ref="G5:H5"/>
    <mergeCell ref="I5:J5"/>
    <mergeCell ref="AD3:AM3"/>
    <mergeCell ref="AS3:AZ3"/>
    <mergeCell ref="K5:L5"/>
    <mergeCell ref="M5:N5"/>
  </mergeCells>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CFA8-5CB0-4547-8931-3CFD8A0400BD}">
  <dimension ref="B1:BF50"/>
  <sheetViews>
    <sheetView workbookViewId="0">
      <selection activeCell="A4" sqref="A4"/>
    </sheetView>
  </sheetViews>
  <sheetFormatPr defaultRowHeight="12.75" x14ac:dyDescent="0.2"/>
  <cols>
    <col min="2" max="2" width="15.85546875" customWidth="1"/>
    <col min="15" max="16" width="10.7109375" bestFit="1" customWidth="1"/>
    <col min="17" max="19" width="9.28515625" bestFit="1" customWidth="1"/>
    <col min="21" max="21" width="10.7109375" bestFit="1" customWidth="1"/>
    <col min="22" max="22" width="12.42578125" customWidth="1"/>
    <col min="23" max="23" width="13.28515625" customWidth="1"/>
    <col min="25" max="25" width="9.28515625" bestFit="1" customWidth="1"/>
    <col min="26" max="29" width="10.7109375" bestFit="1" customWidth="1"/>
    <col min="30" max="30" width="10.7109375" customWidth="1"/>
    <col min="31" max="31" width="13.7109375" customWidth="1"/>
    <col min="32" max="32" width="10.7109375" customWidth="1"/>
    <col min="34" max="34" width="13.28515625" customWidth="1"/>
    <col min="35" max="35" width="12.5703125" customWidth="1"/>
    <col min="36" max="36" width="12.28515625" customWidth="1"/>
    <col min="37" max="39" width="10.42578125" customWidth="1"/>
    <col min="41" max="41" width="11.7109375" customWidth="1"/>
    <col min="42" max="42" width="10.7109375" customWidth="1"/>
    <col min="43" max="43" width="10.28515625" customWidth="1"/>
    <col min="44" max="44" width="11.5703125" customWidth="1"/>
    <col min="45" max="46" width="10.140625" customWidth="1"/>
    <col min="47" max="47" width="11.7109375" customWidth="1"/>
    <col min="48" max="48" width="16.140625" customWidth="1"/>
    <col min="49" max="50" width="10.140625" customWidth="1"/>
    <col min="52" max="52" width="11.5703125" customWidth="1"/>
    <col min="53" max="53" width="9.28515625" bestFit="1" customWidth="1"/>
    <col min="54" max="54" width="11.5703125" bestFit="1" customWidth="1"/>
    <col min="55" max="56" width="12.5703125" bestFit="1" customWidth="1"/>
    <col min="57" max="57" width="11.5703125" bestFit="1" customWidth="1"/>
    <col min="58" max="58" width="12.5703125" bestFit="1" customWidth="1"/>
  </cols>
  <sheetData>
    <row r="1" spans="2:58" x14ac:dyDescent="0.2">
      <c r="F1" s="108" t="s">
        <v>456</v>
      </c>
      <c r="O1" s="108" t="s">
        <v>488</v>
      </c>
      <c r="AH1" s="108" t="s">
        <v>491</v>
      </c>
      <c r="BA1" s="108" t="s">
        <v>492</v>
      </c>
    </row>
    <row r="2" spans="2:58" ht="32.25" customHeight="1" x14ac:dyDescent="0.2">
      <c r="Y2" s="108" t="s">
        <v>462</v>
      </c>
      <c r="AE2" s="218" t="s">
        <v>489</v>
      </c>
      <c r="AJ2" s="218" t="s">
        <v>490</v>
      </c>
      <c r="AP2" s="108" t="s">
        <v>471</v>
      </c>
      <c r="AT2">
        <v>2017</v>
      </c>
      <c r="AU2">
        <v>2012</v>
      </c>
      <c r="AW2" s="108" t="s">
        <v>477</v>
      </c>
      <c r="BB2" s="108" t="s">
        <v>2</v>
      </c>
      <c r="BC2" s="108" t="s">
        <v>6</v>
      </c>
      <c r="BD2" s="108" t="s">
        <v>40</v>
      </c>
      <c r="BE2" s="108" t="s">
        <v>9</v>
      </c>
      <c r="BF2" s="108" t="s">
        <v>11</v>
      </c>
    </row>
    <row r="3" spans="2:58" ht="25.5" customHeight="1" x14ac:dyDescent="0.2">
      <c r="F3" s="12" t="s">
        <v>60</v>
      </c>
      <c r="G3" s="12" t="s">
        <v>45</v>
      </c>
      <c r="H3" s="12" t="s">
        <v>46</v>
      </c>
      <c r="I3" s="12" t="s">
        <v>8</v>
      </c>
      <c r="J3" s="12" t="s">
        <v>47</v>
      </c>
      <c r="K3" s="12" t="s">
        <v>11</v>
      </c>
      <c r="L3" s="57" t="s">
        <v>320</v>
      </c>
      <c r="M3" s="12" t="s">
        <v>63</v>
      </c>
      <c r="O3" s="108" t="s">
        <v>2</v>
      </c>
      <c r="P3" s="108" t="s">
        <v>6</v>
      </c>
      <c r="Q3" s="108" t="s">
        <v>40</v>
      </c>
      <c r="R3" s="108" t="s">
        <v>9</v>
      </c>
      <c r="S3" s="108" t="s">
        <v>11</v>
      </c>
      <c r="V3" s="108" t="s">
        <v>457</v>
      </c>
      <c r="W3" s="108" t="s">
        <v>458</v>
      </c>
      <c r="Y3" s="149" t="s">
        <v>2</v>
      </c>
      <c r="Z3" s="149" t="s">
        <v>6</v>
      </c>
      <c r="AA3" s="149" t="s">
        <v>40</v>
      </c>
      <c r="AB3" s="149" t="s">
        <v>9</v>
      </c>
      <c r="AC3" s="149" t="s">
        <v>11</v>
      </c>
      <c r="AD3" s="149" t="s">
        <v>476</v>
      </c>
      <c r="AE3" s="149" t="s">
        <v>461</v>
      </c>
      <c r="AF3" s="149"/>
      <c r="AH3">
        <v>2012</v>
      </c>
      <c r="AI3">
        <v>2017</v>
      </c>
      <c r="AJ3" s="218" t="s">
        <v>461</v>
      </c>
      <c r="AK3" s="150" t="s">
        <v>477</v>
      </c>
      <c r="AL3" s="150" t="s">
        <v>493</v>
      </c>
      <c r="AM3" s="108"/>
      <c r="AO3" s="108" t="s">
        <v>465</v>
      </c>
      <c r="AP3" s="108" t="s">
        <v>466</v>
      </c>
      <c r="AQ3" s="150" t="s">
        <v>495</v>
      </c>
      <c r="AR3" s="150" t="s">
        <v>494</v>
      </c>
      <c r="AS3" s="108"/>
      <c r="AT3" s="108" t="s">
        <v>473</v>
      </c>
      <c r="AU3" s="108" t="s">
        <v>472</v>
      </c>
      <c r="AV3" s="108"/>
      <c r="AW3" s="108"/>
      <c r="AX3" s="108"/>
      <c r="BA3" s="108" t="s">
        <v>459</v>
      </c>
      <c r="BB3" s="224">
        <f>Prices!E27</f>
        <v>2.9351111111111114</v>
      </c>
      <c r="BC3" s="224">
        <f>Prices!I27</f>
        <v>23.690967879144978</v>
      </c>
      <c r="BD3" s="224">
        <f>Prices!K27</f>
        <v>17.477465662472557</v>
      </c>
      <c r="BE3" s="224">
        <f>Prices!M27</f>
        <v>3.7743190661478598</v>
      </c>
      <c r="BF3" s="224">
        <f>Prices!G27</f>
        <v>24.810038526297763</v>
      </c>
    </row>
    <row r="4" spans="2:58" x14ac:dyDescent="0.2">
      <c r="C4">
        <v>211111</v>
      </c>
      <c r="F4" s="206">
        <f>'Data 1987-2017'!GK7</f>
        <v>116.29757302799999</v>
      </c>
      <c r="G4" s="206">
        <f>'Data 1987-2017'!GL7</f>
        <v>0</v>
      </c>
      <c r="H4" s="206">
        <f>'Data 1987-2017'!GM7</f>
        <v>37.297815172672983</v>
      </c>
      <c r="I4" s="206">
        <f>'Data 1987-2017'!GN7</f>
        <v>2.8814397315341962</v>
      </c>
      <c r="J4" s="206">
        <f>'Data 1987-2017'!GO7</f>
        <v>178.34364211973099</v>
      </c>
      <c r="K4" s="206">
        <f>'Data 1987-2017'!GP7</f>
        <v>9.2818084015617668</v>
      </c>
      <c r="L4" s="206">
        <f>'Data 1987-2017'!GQ7</f>
        <v>10.465173395547192</v>
      </c>
      <c r="M4" s="206">
        <f>'Data 1987-2017'!GR7</f>
        <v>238.26987882104712</v>
      </c>
      <c r="O4" s="148">
        <f>'Data 1987-2017'!AI7</f>
        <v>0</v>
      </c>
      <c r="P4" s="148">
        <f>'Data 1987-2017'!AX7</f>
        <v>743744</v>
      </c>
      <c r="Q4" s="148">
        <f>'Data 1987-2017'!BK7</f>
        <v>88565</v>
      </c>
      <c r="R4" s="148">
        <f>'Data 1987-2017'!BY7</f>
        <v>558505</v>
      </c>
      <c r="S4" s="148">
        <f>'Data 1987-2017'!CL7</f>
        <v>325708</v>
      </c>
      <c r="T4" s="148"/>
      <c r="U4" s="148">
        <f>SUM(O4:T4)</f>
        <v>1716522</v>
      </c>
      <c r="V4" s="148">
        <f>'Data 1987-2017'!EL7</f>
        <v>1716522</v>
      </c>
      <c r="W4" s="148">
        <f>'Data 1987-2017'!EM7</f>
        <v>1882003</v>
      </c>
      <c r="Y4" s="148">
        <f t="shared" ref="Y4:Y31" si="0">O4*$BB$5</f>
        <v>0</v>
      </c>
      <c r="Z4" s="148">
        <f>P4*$BC$9</f>
        <v>461121.27999999997</v>
      </c>
      <c r="AA4" s="148">
        <f>Q4*$BD$5</f>
        <v>43974.982638888898</v>
      </c>
      <c r="AB4" s="148">
        <f>R4*$BE$5</f>
        <v>587293.91752577317</v>
      </c>
      <c r="AC4" s="148">
        <f>S4*$BF$5</f>
        <v>204058.02409638552</v>
      </c>
      <c r="AD4" s="148">
        <f>SUM(Y4:AC4)</f>
        <v>1296448.2042610475</v>
      </c>
      <c r="AE4" s="184">
        <f>AD4/V4</f>
        <v>0.75527619468963847</v>
      </c>
      <c r="AF4" s="148"/>
      <c r="AH4" s="148">
        <f>'Data 1997-2007_NOT USED'!FK7</f>
        <v>1882003</v>
      </c>
      <c r="AI4" s="148">
        <f>AQ4</f>
        <v>3238335</v>
      </c>
      <c r="AJ4" s="148">
        <f>AI4/AH4</f>
        <v>1.7206853549117616</v>
      </c>
      <c r="AK4" s="13">
        <f>AJ4/AE4</f>
        <v>2.278220029983645</v>
      </c>
      <c r="AL4" s="222">
        <f>AK4*M4</f>
        <v>542.83121047188547</v>
      </c>
      <c r="AM4" s="13"/>
      <c r="AO4">
        <f>C4</f>
        <v>211111</v>
      </c>
      <c r="AP4">
        <f>'Pivot table 2017 (prelim)'!A24</f>
        <v>211120</v>
      </c>
      <c r="AQ4" s="3">
        <f>'Pivot table 2017 (prelim)'!B24</f>
        <v>3238335</v>
      </c>
      <c r="AR4" s="3">
        <f>'Pivot table 2017 (prelim)'!C24</f>
        <v>24676154</v>
      </c>
      <c r="AS4" s="211" t="s">
        <v>475</v>
      </c>
      <c r="AT4" s="217">
        <f>AR4*0.001</f>
        <v>24676.154000000002</v>
      </c>
      <c r="AU4" s="3">
        <f>'Data 1987-2017'!HC7</f>
        <v>34084.868999999999</v>
      </c>
      <c r="AV4" s="3"/>
      <c r="AW4" s="184">
        <f>AT4/AU4</f>
        <v>0.72396211937912991</v>
      </c>
      <c r="AX4" s="3"/>
      <c r="BA4" s="108" t="s">
        <v>460</v>
      </c>
      <c r="BB4" s="224">
        <f>Prices!E28</f>
        <v>2.471111111111111</v>
      </c>
      <c r="BC4" s="224">
        <f>Prices!I28</f>
        <v>14.180716330280344</v>
      </c>
      <c r="BD4" s="224">
        <f>Prices!K28</f>
        <v>8.6780471865749167</v>
      </c>
      <c r="BE4" s="224">
        <f>Prices!M28</f>
        <v>3.9688715953307394</v>
      </c>
      <c r="BF4" s="224">
        <f>Prices!G28</f>
        <v>15.543638594788959</v>
      </c>
    </row>
    <row r="5" spans="2:58" x14ac:dyDescent="0.2">
      <c r="F5" s="206">
        <f>'Data 1987-2017'!GK8</f>
        <v>0</v>
      </c>
      <c r="G5" s="206">
        <f>'Data 1987-2017'!GL8</f>
        <v>0</v>
      </c>
      <c r="H5" s="206">
        <f>'Data 1987-2017'!GM8</f>
        <v>0</v>
      </c>
      <c r="I5" s="206">
        <f>'Data 1987-2017'!GN8</f>
        <v>0</v>
      </c>
      <c r="J5" s="206">
        <f>'Data 1987-2017'!GO8</f>
        <v>0</v>
      </c>
      <c r="K5" s="206">
        <f>'Data 1987-2017'!GP8</f>
        <v>0</v>
      </c>
      <c r="L5" s="206">
        <f>'Data 1987-2017'!GQ8</f>
        <v>0</v>
      </c>
      <c r="M5" s="206">
        <f>'Data 1987-2017'!GR8</f>
        <v>0</v>
      </c>
      <c r="O5" s="148">
        <f>'Data 1987-2017'!AI8</f>
        <v>0</v>
      </c>
      <c r="P5" s="148">
        <f>'Data 1987-2017'!AX8</f>
        <v>0</v>
      </c>
      <c r="Q5" s="148">
        <f>'Data 1987-2017'!BK8</f>
        <v>0</v>
      </c>
      <c r="R5" s="148">
        <f>'Data 1987-2017'!BY8</f>
        <v>0</v>
      </c>
      <c r="S5" s="148">
        <f>'Data 1987-2017'!CL8</f>
        <v>0</v>
      </c>
      <c r="T5" s="148"/>
      <c r="U5" s="148">
        <f t="shared" ref="U5:U37" si="1">SUM(O5:T5)</f>
        <v>0</v>
      </c>
      <c r="V5" s="148">
        <f>'Data 1987-2017'!EL8</f>
        <v>0</v>
      </c>
      <c r="W5" s="148">
        <f>'Data 1987-2017'!EM8</f>
        <v>0</v>
      </c>
      <c r="Y5" s="148">
        <f t="shared" si="0"/>
        <v>0</v>
      </c>
      <c r="Z5" s="148"/>
      <c r="AA5" s="148"/>
      <c r="AB5" s="148"/>
      <c r="AC5" s="148"/>
      <c r="AD5" s="148"/>
      <c r="AE5" s="184"/>
      <c r="AF5" s="148"/>
      <c r="AH5" s="148">
        <f>'Data 1997-2007_NOT USED'!FK8</f>
        <v>0</v>
      </c>
      <c r="AI5" s="148"/>
      <c r="AJ5" s="148"/>
      <c r="AK5" s="13"/>
      <c r="AL5" s="222"/>
      <c r="AM5" s="13"/>
      <c r="AT5" s="217">
        <f t="shared" ref="AT5:AT37" si="2">AR5*0.001</f>
        <v>0</v>
      </c>
      <c r="AU5" s="3"/>
      <c r="AV5" s="3"/>
      <c r="AW5" s="184"/>
      <c r="AX5" s="3"/>
      <c r="BA5" s="108" t="s">
        <v>461</v>
      </c>
      <c r="BB5" s="151">
        <f>BB4/BB3</f>
        <v>0.84191399152029056</v>
      </c>
      <c r="BC5" s="130">
        <f t="shared" ref="BC5:BF5" si="3">BC4/BC3</f>
        <v>0.59857057772483613</v>
      </c>
      <c r="BD5" s="151">
        <f t="shared" si="3"/>
        <v>0.49652777777777785</v>
      </c>
      <c r="BE5" s="151">
        <f t="shared" si="3"/>
        <v>1.0515463917525774</v>
      </c>
      <c r="BF5" s="151">
        <f t="shared" si="3"/>
        <v>0.62650602409638545</v>
      </c>
    </row>
    <row r="6" spans="2:58" x14ac:dyDescent="0.2">
      <c r="C6">
        <v>211112</v>
      </c>
      <c r="F6" s="206">
        <f>'Data 1987-2017'!GK9</f>
        <v>10.741979127999999</v>
      </c>
      <c r="G6" s="206">
        <f>'Data 1987-2017'!GL9</f>
        <v>0</v>
      </c>
      <c r="H6" s="206">
        <f>'Data 1987-2017'!GM9</f>
        <v>0.61074766656170276</v>
      </c>
      <c r="I6" s="206">
        <f>'Data 1987-2017'!GN9</f>
        <v>8.1247477604777116E-2</v>
      </c>
      <c r="J6" s="206">
        <f>'Data 1987-2017'!GO9</f>
        <v>42.928912386529575</v>
      </c>
      <c r="K6" s="206">
        <f>'Data 1987-2017'!GP9</f>
        <v>0.35242477051027898</v>
      </c>
      <c r="L6" s="206">
        <f>'Data 1987-2017'!GQ9</f>
        <v>0.36325593865170663</v>
      </c>
      <c r="M6" s="206">
        <f>'Data 1987-2017'!GR9</f>
        <v>45.788012684026334</v>
      </c>
      <c r="O6" s="148">
        <f>'Data 1987-2017'!AI9</f>
        <v>0</v>
      </c>
      <c r="P6" s="148">
        <f>'Data 1987-2017'!AX9</f>
        <v>13686</v>
      </c>
      <c r="Q6" s="148">
        <f>'Data 1987-2017'!BK9</f>
        <v>1420</v>
      </c>
      <c r="R6" s="148">
        <f>'Data 1987-2017'!BY9</f>
        <v>114195</v>
      </c>
      <c r="S6" s="148">
        <f>'Data 1987-2017'!CL9</f>
        <v>13627</v>
      </c>
      <c r="T6" s="148"/>
      <c r="U6" s="148">
        <f t="shared" si="1"/>
        <v>142928</v>
      </c>
      <c r="V6" s="148">
        <f>'Data 1987-2017'!EL9</f>
        <v>142928</v>
      </c>
      <c r="W6" s="148">
        <f>'Data 1987-2017'!EM9</f>
        <v>153539</v>
      </c>
      <c r="Y6" s="148">
        <f t="shared" si="0"/>
        <v>0</v>
      </c>
      <c r="Z6" s="148">
        <f>P6*$BC$9</f>
        <v>8485.32</v>
      </c>
      <c r="AA6" s="148">
        <f>Q6*$BD$5</f>
        <v>705.06944444444457</v>
      </c>
      <c r="AB6" s="148">
        <f>R6*$BE$5</f>
        <v>120081.34020618557</v>
      </c>
      <c r="AC6" s="148">
        <f>S6*$BF$5</f>
        <v>8537.3975903614446</v>
      </c>
      <c r="AD6" s="148">
        <f t="shared" ref="AD6:AD37" si="4">SUM(Y6:AC6)</f>
        <v>137809.12724099145</v>
      </c>
      <c r="AE6" s="184">
        <f t="shared" ref="AE6:AE37" si="5">AD6/V6</f>
        <v>0.96418565460225747</v>
      </c>
      <c r="AF6" s="148"/>
      <c r="AH6" s="148">
        <f>'Data 1997-2007_NOT USED'!FK9</f>
        <v>153539</v>
      </c>
      <c r="AI6" s="148">
        <f>AQ6</f>
        <v>624822</v>
      </c>
      <c r="AJ6" s="148">
        <f t="shared" ref="AJ6:AJ37" si="6">AI6/AH6</f>
        <v>4.0694676922475725</v>
      </c>
      <c r="AK6" s="13">
        <f t="shared" ref="AK6:AK37" si="7">AJ6/AE6</f>
        <v>4.2206266737356666</v>
      </c>
      <c r="AL6" s="222">
        <f t="shared" ref="AL6:AL37" si="8">AK6*M6</f>
        <v>193.25410767154858</v>
      </c>
      <c r="AM6" s="13"/>
      <c r="AO6">
        <f>C6</f>
        <v>211112</v>
      </c>
      <c r="AP6">
        <f>'Pivot table 2017 (prelim)'!A25</f>
        <v>211130</v>
      </c>
      <c r="AQ6" s="3">
        <f>'Pivot table 2017 (prelim)'!B25</f>
        <v>624822</v>
      </c>
      <c r="AR6" s="3">
        <f>'Pivot table 2017 (prelim)'!C25</f>
        <v>13431294</v>
      </c>
      <c r="AS6" s="3"/>
      <c r="AT6" s="217">
        <f t="shared" si="2"/>
        <v>13431.294</v>
      </c>
      <c r="AU6" s="3">
        <f>'Data 1987-2017'!HC9</f>
        <v>3148.2939999999999</v>
      </c>
      <c r="AV6" s="3"/>
      <c r="AW6" s="184">
        <f t="shared" ref="AW6:AW37" si="9">AT6/AU6</f>
        <v>4.2662133841375676</v>
      </c>
      <c r="AX6" s="3"/>
    </row>
    <row r="7" spans="2:58" x14ac:dyDescent="0.2">
      <c r="F7" s="206">
        <f>'Data 1987-2017'!GK10</f>
        <v>0</v>
      </c>
      <c r="G7" s="206">
        <f>'Data 1987-2017'!GL10</f>
        <v>0</v>
      </c>
      <c r="H7" s="206">
        <f>'Data 1987-2017'!GM10</f>
        <v>0</v>
      </c>
      <c r="I7" s="206">
        <f>'Data 1987-2017'!GN10</f>
        <v>0</v>
      </c>
      <c r="J7" s="206">
        <f>'Data 1987-2017'!GO10</f>
        <v>0</v>
      </c>
      <c r="K7" s="206">
        <f>'Data 1987-2017'!GP10</f>
        <v>0</v>
      </c>
      <c r="L7" s="206">
        <f>'Data 1987-2017'!GQ10</f>
        <v>0</v>
      </c>
      <c r="M7" s="206">
        <f>'Data 1987-2017'!GR10</f>
        <v>0</v>
      </c>
      <c r="O7" s="148">
        <f>'Data 1987-2017'!AI10</f>
        <v>0</v>
      </c>
      <c r="P7" s="148">
        <f>'Data 1987-2017'!AX10</f>
        <v>0</v>
      </c>
      <c r="Q7" s="148">
        <f>'Data 1987-2017'!BK10</f>
        <v>0</v>
      </c>
      <c r="R7" s="148">
        <f>'Data 1987-2017'!BY10</f>
        <v>0</v>
      </c>
      <c r="S7" s="148">
        <f>'Data 1987-2017'!CL10</f>
        <v>0</v>
      </c>
      <c r="T7" s="148"/>
      <c r="U7" s="148">
        <f t="shared" si="1"/>
        <v>0</v>
      </c>
      <c r="V7" s="148">
        <f>'Data 1987-2017'!EL10</f>
        <v>0</v>
      </c>
      <c r="W7" s="148">
        <f>'Data 1987-2017'!EM10</f>
        <v>0</v>
      </c>
      <c r="Y7" s="148">
        <f t="shared" si="0"/>
        <v>0</v>
      </c>
      <c r="Z7" s="148"/>
      <c r="AA7" s="148"/>
      <c r="AB7" s="148"/>
      <c r="AC7" s="148"/>
      <c r="AD7" s="148"/>
      <c r="AE7" s="184"/>
      <c r="AF7" s="148"/>
      <c r="AH7" s="148">
        <f>'Data 1997-2007_NOT USED'!FK10</f>
        <v>0</v>
      </c>
      <c r="AI7" s="148"/>
      <c r="AJ7" s="148"/>
      <c r="AK7" s="13"/>
      <c r="AL7" s="222"/>
      <c r="AM7" s="13"/>
      <c r="AQ7" s="3"/>
      <c r="AR7" s="3"/>
      <c r="AS7" s="3"/>
      <c r="AT7" s="217"/>
      <c r="AU7" s="3"/>
      <c r="AV7" s="3"/>
      <c r="AW7" s="184"/>
      <c r="AX7" s="3"/>
      <c r="AZ7" s="108" t="s">
        <v>478</v>
      </c>
      <c r="BA7" s="108" t="s">
        <v>480</v>
      </c>
      <c r="BC7">
        <f>1.811/3.202</f>
        <v>0.56558400999375391</v>
      </c>
    </row>
    <row r="8" spans="2:58" x14ac:dyDescent="0.2">
      <c r="C8">
        <v>212111</v>
      </c>
      <c r="F8" s="206">
        <f>'Data 1987-2017'!GK11</f>
        <v>13.279456231999999</v>
      </c>
      <c r="G8" s="206">
        <f>'Data 1987-2017'!GL11</f>
        <v>0</v>
      </c>
      <c r="H8" s="206">
        <f>'Data 1987-2017'!GM11</f>
        <v>50.4790962565257</v>
      </c>
      <c r="I8" s="206">
        <f>'Data 1987-2017'!GN11</f>
        <v>15.628540166922654</v>
      </c>
      <c r="J8" s="206">
        <f>'Data 1987-2017'!GO11</f>
        <v>1.7690707912100543</v>
      </c>
      <c r="K8" s="206">
        <f>'Data 1987-2017'!GP11</f>
        <v>2.048297025686912</v>
      </c>
      <c r="L8" s="206">
        <f>'Data 1987-2017'!GQ11</f>
        <v>13.885675348273772</v>
      </c>
      <c r="M8" s="206">
        <f>'Data 1987-2017'!GR11</f>
        <v>83.810679588619081</v>
      </c>
      <c r="O8" s="148">
        <f>'Data 1987-2017'!AI11</f>
        <v>0</v>
      </c>
      <c r="P8" s="148">
        <f>'Data 1987-2017'!AX11</f>
        <v>1241878</v>
      </c>
      <c r="Q8" s="148">
        <f>'Data 1987-2017'!BK11</f>
        <v>446353</v>
      </c>
      <c r="R8" s="148">
        <f>'Data 1987-2017'!BY11</f>
        <v>5570</v>
      </c>
      <c r="S8" s="148">
        <f>'Data 1987-2017'!CL11</f>
        <v>118985</v>
      </c>
      <c r="T8" s="148"/>
      <c r="U8" s="148">
        <f t="shared" si="1"/>
        <v>1812786</v>
      </c>
      <c r="V8" s="148">
        <f>'Data 1987-2017'!EL11</f>
        <v>1812786</v>
      </c>
      <c r="W8" s="148">
        <f>'Data 1987-2017'!EM11</f>
        <v>1853542</v>
      </c>
      <c r="Y8" s="148">
        <f t="shared" si="0"/>
        <v>0</v>
      </c>
      <c r="Z8" s="148">
        <f>P8*$BC$9</f>
        <v>769964.36</v>
      </c>
      <c r="AA8" s="148">
        <f>Q8*$BD$5</f>
        <v>221626.66319444447</v>
      </c>
      <c r="AB8" s="148">
        <f>R8*$BE$5</f>
        <v>5857.1134020618556</v>
      </c>
      <c r="AC8" s="148">
        <f>S8*$BF$5</f>
        <v>74544.819277108429</v>
      </c>
      <c r="AD8" s="148">
        <f t="shared" si="4"/>
        <v>1071992.9558736149</v>
      </c>
      <c r="AE8" s="184">
        <f t="shared" si="5"/>
        <v>0.59135107832563516</v>
      </c>
      <c r="AF8" s="148"/>
      <c r="AH8" s="148">
        <f>'Data 1997-2007_NOT USED'!FK11</f>
        <v>1853542</v>
      </c>
      <c r="AI8" s="148">
        <f>AQ8</f>
        <v>631575</v>
      </c>
      <c r="AJ8" s="148">
        <f t="shared" si="6"/>
        <v>0.34073951386048978</v>
      </c>
      <c r="AK8" s="13">
        <f t="shared" si="7"/>
        <v>0.57620511122642637</v>
      </c>
      <c r="AL8" s="222">
        <f t="shared" si="8"/>
        <v>48.292141954322638</v>
      </c>
      <c r="AM8" s="13"/>
      <c r="AO8">
        <f>C8</f>
        <v>212111</v>
      </c>
      <c r="AP8">
        <f>'Pivot table 2017 (prelim)'!A26</f>
        <v>212111</v>
      </c>
      <c r="AQ8" s="3">
        <f>'Pivot table 2017 (prelim)'!B26</f>
        <v>631575</v>
      </c>
      <c r="AR8" s="3">
        <f>'Pivot table 2017 (prelim)'!C26</f>
        <v>2428470</v>
      </c>
      <c r="AS8" s="3"/>
      <c r="AT8" s="217">
        <f t="shared" si="2"/>
        <v>2428.4700000000003</v>
      </c>
      <c r="AU8" s="3">
        <f>'Data 1987-2017'!HC11</f>
        <v>3891.9859999999999</v>
      </c>
      <c r="AV8" s="3"/>
      <c r="AW8" s="184">
        <f t="shared" si="9"/>
        <v>0.62396678713643894</v>
      </c>
      <c r="AX8" s="3"/>
      <c r="AZ8" s="108" t="s">
        <v>479</v>
      </c>
      <c r="BA8" s="108" t="s">
        <v>481</v>
      </c>
      <c r="BC8">
        <f>2.65/3.968</f>
        <v>0.66784274193548387</v>
      </c>
    </row>
    <row r="9" spans="2:58" x14ac:dyDescent="0.2">
      <c r="C9">
        <v>212112</v>
      </c>
      <c r="F9" s="206">
        <f>'Data 1987-2017'!GK12</f>
        <v>27.398592015999998</v>
      </c>
      <c r="G9" s="206">
        <f>'Data 1987-2017'!GL12</f>
        <v>0.93784996971532408</v>
      </c>
      <c r="H9" s="206">
        <f>'Data 1987-2017'!GM12</f>
        <v>7.2623587001650556</v>
      </c>
      <c r="I9" s="206">
        <f>'Data 1987-2017'!GN12</f>
        <v>3.5159296957498327</v>
      </c>
      <c r="J9" s="206">
        <f>'Data 1987-2017'!GO12</f>
        <v>1.5295210710908176</v>
      </c>
      <c r="K9" s="206">
        <f>'Data 1987-2017'!GP12</f>
        <v>0.83562012293493704</v>
      </c>
      <c r="L9" s="206">
        <f>'Data 1987-2017'!GQ12</f>
        <v>0.16373078432612614</v>
      </c>
      <c r="M9" s="206">
        <f>'Data 1987-2017'!GR12</f>
        <v>14.261320347091559</v>
      </c>
      <c r="O9" s="148">
        <f>'Data 1987-2017'!AI12</f>
        <v>2986</v>
      </c>
      <c r="P9" s="148">
        <f>'Data 1987-2017'!AX12</f>
        <v>137850</v>
      </c>
      <c r="Q9" s="148">
        <f>'Data 1987-2017'!BK12</f>
        <v>97094</v>
      </c>
      <c r="R9" s="148">
        <f>'Data 1987-2017'!BY12</f>
        <v>4648</v>
      </c>
      <c r="S9" s="148">
        <f>'Data 1987-2017'!CL12</f>
        <v>27331</v>
      </c>
      <c r="T9" s="148"/>
      <c r="U9" s="148">
        <f t="shared" si="1"/>
        <v>269909</v>
      </c>
      <c r="V9" s="148">
        <f>'Data 1987-2017'!EL12</f>
        <v>269909</v>
      </c>
      <c r="W9" s="148">
        <f>'Data 1987-2017'!EM12</f>
        <v>272810</v>
      </c>
      <c r="Y9" s="148">
        <f t="shared" si="0"/>
        <v>2513.9551786795878</v>
      </c>
      <c r="Z9" s="148">
        <f>P9*$BC$9</f>
        <v>85467</v>
      </c>
      <c r="AA9" s="148">
        <f>Q9*$BD$5</f>
        <v>48209.868055555562</v>
      </c>
      <c r="AB9" s="148">
        <f>R9*$BE$5</f>
        <v>4887.5876288659792</v>
      </c>
      <c r="AC9" s="148">
        <f>S9*$BF$5</f>
        <v>17123.036144578309</v>
      </c>
      <c r="AD9" s="148">
        <f t="shared" si="4"/>
        <v>158201.44700767947</v>
      </c>
      <c r="AE9" s="184">
        <f t="shared" si="5"/>
        <v>0.58612883233860102</v>
      </c>
      <c r="AF9" s="148"/>
      <c r="AH9" s="148">
        <f>'Data 1997-2007_NOT USED'!FK12</f>
        <v>272810</v>
      </c>
      <c r="AI9" s="148">
        <f t="shared" ref="AI9:AI12" si="10">AQ9</f>
        <v>173075</v>
      </c>
      <c r="AJ9" s="148">
        <f t="shared" si="6"/>
        <v>0.63441589384553354</v>
      </c>
      <c r="AK9" s="13">
        <f t="shared" si="7"/>
        <v>1.0823830169116089</v>
      </c>
      <c r="AL9" s="222">
        <f t="shared" si="8"/>
        <v>15.436210942427874</v>
      </c>
      <c r="AM9" s="13"/>
      <c r="AO9">
        <f>C9</f>
        <v>212112</v>
      </c>
      <c r="AP9">
        <f>'Pivot table 2017 (prelim)'!A27</f>
        <v>212112</v>
      </c>
      <c r="AQ9" s="3">
        <f>'Pivot table 2017 (prelim)'!B27</f>
        <v>173075</v>
      </c>
      <c r="AR9" s="3">
        <f>'Pivot table 2017 (prelim)'!C27</f>
        <v>6793613</v>
      </c>
      <c r="AS9" s="3"/>
      <c r="AT9" s="217">
        <f t="shared" si="2"/>
        <v>6793.6130000000003</v>
      </c>
      <c r="AU9" s="3">
        <f>'Data 1987-2017'!HC12</f>
        <v>8030.0680000000002</v>
      </c>
      <c r="AV9" s="3"/>
      <c r="AW9" s="184">
        <f t="shared" si="9"/>
        <v>0.84602185186974754</v>
      </c>
      <c r="AX9" s="3"/>
      <c r="AZ9" s="108" t="s">
        <v>482</v>
      </c>
      <c r="BC9" s="151">
        <v>0.62</v>
      </c>
    </row>
    <row r="10" spans="2:58" x14ac:dyDescent="0.2">
      <c r="C10">
        <v>212113</v>
      </c>
      <c r="F10" s="206">
        <f>'Data 1987-2017'!GK13</f>
        <v>0.33150650799999998</v>
      </c>
      <c r="G10" s="206">
        <f>'Data 1987-2017'!GL13</f>
        <v>0</v>
      </c>
      <c r="H10" s="206">
        <f>'Data 1987-2017'!GM13</f>
        <v>0.36335533802887904</v>
      </c>
      <c r="I10" s="206">
        <f>'Data 1987-2017'!GN13</f>
        <v>0.10539838913911616</v>
      </c>
      <c r="J10" s="206">
        <f>'Data 1987-2017'!GO13</f>
        <v>0</v>
      </c>
      <c r="K10" s="206">
        <f>'Data 1987-2017'!GP13</f>
        <v>3.1595249833956902E-2</v>
      </c>
      <c r="L10" s="206">
        <f>'Data 1987-2017'!GQ13</f>
        <v>4.1225015142337972E-2</v>
      </c>
      <c r="M10" s="206">
        <f>'Data 1987-2017'!GR13</f>
        <v>0.55081789523601066</v>
      </c>
      <c r="O10" s="148">
        <f>'Data 1987-2017'!AI13</f>
        <v>0</v>
      </c>
      <c r="P10" s="148">
        <f>'Data 1987-2017'!AX13</f>
        <v>8353</v>
      </c>
      <c r="Q10" s="148">
        <f>'Data 1987-2017'!BK13</f>
        <v>3486</v>
      </c>
      <c r="R10" s="148">
        <f>'Data 1987-2017'!BY13</f>
        <v>0</v>
      </c>
      <c r="S10" s="148">
        <f>'Data 1987-2017'!CL13</f>
        <v>812</v>
      </c>
      <c r="T10" s="148"/>
      <c r="U10" s="148">
        <f t="shared" si="1"/>
        <v>12651</v>
      </c>
      <c r="V10" s="148">
        <f>'Data 1987-2017'!EL13</f>
        <v>12651</v>
      </c>
      <c r="W10" s="148">
        <f>'Data 1987-2017'!EM13</f>
        <v>12990</v>
      </c>
      <c r="Y10" s="148">
        <f t="shared" si="0"/>
        <v>0</v>
      </c>
      <c r="Z10" s="148">
        <f>P10*$BC$9</f>
        <v>5178.8599999999997</v>
      </c>
      <c r="AA10" s="148">
        <f>Q10*$BD$5</f>
        <v>1730.8958333333335</v>
      </c>
      <c r="AB10" s="148">
        <f>R10*$BE$5</f>
        <v>0</v>
      </c>
      <c r="AC10" s="148">
        <f>S10*$BF$5</f>
        <v>508.72289156626499</v>
      </c>
      <c r="AD10" s="148">
        <f t="shared" si="4"/>
        <v>7418.4787248995981</v>
      </c>
      <c r="AE10" s="184">
        <f t="shared" si="5"/>
        <v>0.58639465061256801</v>
      </c>
      <c r="AF10" s="148"/>
      <c r="AH10" s="148">
        <f>'Data 1997-2007_NOT USED'!FK13</f>
        <v>12990</v>
      </c>
      <c r="AI10" s="148">
        <f t="shared" si="10"/>
        <v>9123</v>
      </c>
      <c r="AJ10" s="148">
        <f t="shared" si="6"/>
        <v>0.70230946882217093</v>
      </c>
      <c r="AK10" s="13">
        <f t="shared" si="7"/>
        <v>1.1976737306326282</v>
      </c>
      <c r="AL10" s="222">
        <f t="shared" si="8"/>
        <v>0.65970012348652507</v>
      </c>
      <c r="AM10" s="13"/>
      <c r="AO10">
        <f>C10</f>
        <v>212113</v>
      </c>
      <c r="AP10">
        <f>'Pivot table 2017 (prelim)'!A28</f>
        <v>212113</v>
      </c>
      <c r="AQ10" s="3">
        <f>'Pivot table 2017 (prelim)'!B28</f>
        <v>9123</v>
      </c>
      <c r="AR10" s="3">
        <f>'Pivot table 2017 (prelim)'!C28</f>
        <v>54027</v>
      </c>
      <c r="AS10" s="3"/>
      <c r="AT10" s="217">
        <f t="shared" si="2"/>
        <v>54.027000000000001</v>
      </c>
      <c r="AU10" s="3">
        <f>'Data 1987-2017'!HC13</f>
        <v>97.159000000000006</v>
      </c>
      <c r="AV10" s="3"/>
      <c r="AW10" s="184">
        <f t="shared" si="9"/>
        <v>0.55606788871849233</v>
      </c>
      <c r="AX10" s="3"/>
    </row>
    <row r="11" spans="2:58" x14ac:dyDescent="0.2">
      <c r="F11" s="206">
        <f>'Data 1987-2017'!GK14</f>
        <v>0</v>
      </c>
      <c r="G11" s="206">
        <f>'Data 1987-2017'!GL14</f>
        <v>0</v>
      </c>
      <c r="H11" s="206">
        <f>'Data 1987-2017'!GM14</f>
        <v>0</v>
      </c>
      <c r="I11" s="206">
        <f>'Data 1987-2017'!GN14</f>
        <v>0</v>
      </c>
      <c r="J11" s="206">
        <f>'Data 1987-2017'!GO14</f>
        <v>0</v>
      </c>
      <c r="K11" s="206">
        <f>'Data 1987-2017'!GP14</f>
        <v>0</v>
      </c>
      <c r="L11" s="206">
        <f>'Data 1987-2017'!GQ14</f>
        <v>0</v>
      </c>
      <c r="M11" s="206">
        <f>'Data 1987-2017'!GR14</f>
        <v>0</v>
      </c>
      <c r="O11" s="148">
        <f>'Data 1987-2017'!AI14</f>
        <v>0</v>
      </c>
      <c r="P11" s="148">
        <f>'Data 1987-2017'!AX14</f>
        <v>0</v>
      </c>
      <c r="Q11" s="148">
        <f>'Data 1987-2017'!BK14</f>
        <v>0</v>
      </c>
      <c r="R11" s="148">
        <f>'Data 1987-2017'!BY14</f>
        <v>0</v>
      </c>
      <c r="S11" s="148">
        <f>'Data 1987-2017'!CL14</f>
        <v>0</v>
      </c>
      <c r="T11" s="148"/>
      <c r="U11" s="148">
        <f t="shared" si="1"/>
        <v>0</v>
      </c>
      <c r="V11" s="148">
        <f>'Data 1987-2017'!EL14</f>
        <v>0</v>
      </c>
      <c r="W11" s="148">
        <f>'Data 1987-2017'!EM14</f>
        <v>0</v>
      </c>
      <c r="Y11" s="148">
        <f t="shared" si="0"/>
        <v>0</v>
      </c>
      <c r="Z11" s="148"/>
      <c r="AA11" s="148"/>
      <c r="AB11" s="148"/>
      <c r="AC11" s="148"/>
      <c r="AD11" s="148"/>
      <c r="AE11" s="184"/>
      <c r="AF11" s="148"/>
      <c r="AH11" s="148"/>
      <c r="AI11" s="148"/>
      <c r="AJ11" s="148"/>
      <c r="AK11" s="13"/>
      <c r="AL11" s="222"/>
      <c r="AM11" s="13"/>
      <c r="AQ11" s="3"/>
      <c r="AR11" s="3"/>
      <c r="AS11" s="3"/>
      <c r="AT11" s="217"/>
      <c r="AU11" s="3"/>
      <c r="AV11" s="3"/>
      <c r="AW11" s="184"/>
      <c r="AX11" s="3"/>
    </row>
    <row r="12" spans="2:58" x14ac:dyDescent="0.2">
      <c r="B12" t="s">
        <v>18</v>
      </c>
      <c r="C12">
        <v>212210</v>
      </c>
      <c r="F12" s="206">
        <f>'Data 1987-2017'!GK15</f>
        <v>23.883999999999997</v>
      </c>
      <c r="G12" s="206">
        <f>'Data 1987-2017'!GL15</f>
        <v>0</v>
      </c>
      <c r="H12" s="206">
        <f>'Data 1987-2017'!GM15</f>
        <v>4.1467064176806314</v>
      </c>
      <c r="I12" s="206">
        <f>'Data 1987-2017'!GN15</f>
        <v>0</v>
      </c>
      <c r="J12" s="206">
        <f>'Data 1987-2017'!GO15</f>
        <v>33.526908289197586</v>
      </c>
      <c r="K12" s="206">
        <f>'Data 1987-2017'!GP15</f>
        <v>0.15837900790210277</v>
      </c>
      <c r="L12" s="206">
        <f>'Data 1987-2017'!GQ15</f>
        <v>0.25296374557918289</v>
      </c>
      <c r="M12" s="206">
        <f>'Data 1987-2017'!GR15</f>
        <v>38.767078640954949</v>
      </c>
      <c r="O12" s="148">
        <f>'Data 1987-2017'!AI15</f>
        <v>0</v>
      </c>
      <c r="P12" s="148">
        <f>'Data 1987-2017'!AX15</f>
        <v>111679</v>
      </c>
      <c r="Q12" s="148">
        <f>'Data 1987-2017'!BK15</f>
        <v>0</v>
      </c>
      <c r="R12" s="148">
        <f>'Data 1987-2017'!BY15</f>
        <v>103974</v>
      </c>
      <c r="S12" s="148">
        <f>'Data 1987-2017'!CL15</f>
        <v>4182</v>
      </c>
      <c r="T12" s="148"/>
      <c r="U12" s="148">
        <f t="shared" si="1"/>
        <v>219835</v>
      </c>
      <c r="V12" s="148">
        <f>'Data 1987-2017'!EL15</f>
        <v>219835</v>
      </c>
      <c r="W12" s="148">
        <f>'Data 1987-2017'!EM15</f>
        <v>227844</v>
      </c>
      <c r="Y12" s="148">
        <f t="shared" si="0"/>
        <v>0</v>
      </c>
      <c r="Z12" s="148">
        <f>P12*$BC$9</f>
        <v>69240.98</v>
      </c>
      <c r="AA12" s="148">
        <f t="shared" ref="AA12:AA18" si="11">Q12*$BD$5</f>
        <v>0</v>
      </c>
      <c r="AB12" s="148">
        <f t="shared" ref="AB12:AB18" si="12">R12*$BE$5</f>
        <v>109333.48453608248</v>
      </c>
      <c r="AC12" s="148">
        <f t="shared" ref="AC12:AC18" si="13">S12*$BF$5</f>
        <v>2620.0481927710839</v>
      </c>
      <c r="AD12" s="148">
        <f t="shared" si="4"/>
        <v>181194.51272885356</v>
      </c>
      <c r="AE12" s="184">
        <f t="shared" si="5"/>
        <v>0.82422959369005644</v>
      </c>
      <c r="AF12" s="148"/>
      <c r="AH12" s="215">
        <v>227824</v>
      </c>
      <c r="AI12" s="148">
        <f t="shared" si="10"/>
        <v>280016</v>
      </c>
      <c r="AJ12" s="148">
        <f t="shared" si="6"/>
        <v>1.2290891214270665</v>
      </c>
      <c r="AK12" s="13">
        <f t="shared" si="7"/>
        <v>1.4911975144261242</v>
      </c>
      <c r="AL12" s="222">
        <f t="shared" si="8"/>
        <v>57.809371310954113</v>
      </c>
      <c r="AM12" s="170"/>
      <c r="AO12">
        <f t="shared" ref="AO12:AO18" si="14">C12</f>
        <v>212210</v>
      </c>
      <c r="AP12">
        <f>'Pivot table 2017 (prelim)'!A29</f>
        <v>212210</v>
      </c>
      <c r="AQ12" s="3">
        <f>'Pivot table 2017 (prelim)'!B29</f>
        <v>280016</v>
      </c>
      <c r="AR12" s="3">
        <f>'Pivot table 2017 (prelim)'!C29</f>
        <v>6300444</v>
      </c>
      <c r="AS12" s="3"/>
      <c r="AT12" s="217">
        <f t="shared" si="2"/>
        <v>6300.4440000000004</v>
      </c>
      <c r="AU12" s="3">
        <f>'Data 1987-2017'!HC15</f>
        <v>7000</v>
      </c>
      <c r="AV12" s="3"/>
      <c r="AW12" s="184">
        <f t="shared" si="9"/>
        <v>0.90006342857142863</v>
      </c>
      <c r="AX12" s="3"/>
    </row>
    <row r="13" spans="2:58" x14ac:dyDescent="0.2">
      <c r="B13" t="s">
        <v>19</v>
      </c>
      <c r="C13">
        <v>212221</v>
      </c>
      <c r="F13" s="206">
        <f>'Data 1987-2017'!GK16</f>
        <v>24.411590735999997</v>
      </c>
      <c r="G13" s="206">
        <f>'Data 1987-2017'!GL16</f>
        <v>5.4081844033918838</v>
      </c>
      <c r="H13" s="206">
        <f>'Data 1987-2017'!GM16</f>
        <v>11.696558767860212</v>
      </c>
      <c r="I13" s="206">
        <f>'Data 1987-2017'!GN16</f>
        <v>0</v>
      </c>
      <c r="J13" s="206">
        <f>'Data 1987-2017'!GO16</f>
        <v>18.396695876288661</v>
      </c>
      <c r="K13" s="206">
        <f>'Data 1987-2017'!GP16</f>
        <v>0.91035573223908994</v>
      </c>
      <c r="L13" s="206">
        <f>'Data 1987-2017'!GQ16</f>
        <v>93.552846759539662</v>
      </c>
      <c r="M13" s="206">
        <f>'Data 1987-2017'!GR16</f>
        <v>129.9646415393195</v>
      </c>
      <c r="O13" s="148">
        <f>'Data 1987-2017'!AI16</f>
        <v>17219</v>
      </c>
      <c r="P13" s="148">
        <f>'Data 1987-2017'!AX16</f>
        <v>326273</v>
      </c>
      <c r="Q13" s="148">
        <f>'Data 1987-2017'!BK16</f>
        <v>0</v>
      </c>
      <c r="R13" s="148">
        <f>'Data 1987-2017'!BY16</f>
        <v>69435</v>
      </c>
      <c r="S13" s="148">
        <f>'Data 1987-2017'!CL16</f>
        <v>19119</v>
      </c>
      <c r="T13" s="148"/>
      <c r="U13" s="148">
        <f t="shared" si="1"/>
        <v>432046</v>
      </c>
      <c r="V13" s="148">
        <f>'Data 1987-2017'!EL16</f>
        <v>432046</v>
      </c>
      <c r="W13" s="148">
        <f>'Data 1987-2017'!EM16</f>
        <v>706634</v>
      </c>
      <c r="Y13" s="148">
        <f t="shared" si="0"/>
        <v>14496.917019987883</v>
      </c>
      <c r="Z13" s="148">
        <f>P13*$BC$9</f>
        <v>202289.26</v>
      </c>
      <c r="AA13" s="148">
        <f t="shared" si="11"/>
        <v>0</v>
      </c>
      <c r="AB13" s="148">
        <f t="shared" si="12"/>
        <v>73014.123711340202</v>
      </c>
      <c r="AC13" s="148">
        <f t="shared" si="13"/>
        <v>11978.168674698793</v>
      </c>
      <c r="AD13" s="148">
        <f t="shared" si="4"/>
        <v>301778.46940602688</v>
      </c>
      <c r="AE13" s="184">
        <f t="shared" si="5"/>
        <v>0.69848689585374446</v>
      </c>
      <c r="AF13" s="148"/>
      <c r="AH13" s="148">
        <f>'Data 1997-2007_NOT USED'!FK16</f>
        <v>706634</v>
      </c>
      <c r="AI13" s="214">
        <v>700000</v>
      </c>
      <c r="AJ13" s="148">
        <f t="shared" si="6"/>
        <v>0.99061183016950782</v>
      </c>
      <c r="AK13" s="119">
        <v>1.1000000000000001</v>
      </c>
      <c r="AL13" s="222">
        <f t="shared" si="8"/>
        <v>142.96110569325145</v>
      </c>
      <c r="AM13" s="170"/>
      <c r="AO13">
        <f t="shared" si="14"/>
        <v>212221</v>
      </c>
      <c r="AP13">
        <f>'Pivot table 2017 (prelim)'!A30</f>
        <v>212221</v>
      </c>
      <c r="AQ13" s="3">
        <f>'Pivot table 2017 (prelim)'!B30</f>
        <v>0</v>
      </c>
      <c r="AR13" s="3">
        <f>'Pivot table 2017 (prelim)'!C30</f>
        <v>7776033</v>
      </c>
      <c r="AS13" s="3"/>
      <c r="AT13" s="217">
        <f t="shared" si="2"/>
        <v>7776.0330000000004</v>
      </c>
      <c r="AU13" s="3">
        <f>'Data 1987-2017'!HC16</f>
        <v>7154.6279999999997</v>
      </c>
      <c r="AV13" s="3"/>
      <c r="AW13" s="184">
        <f t="shared" si="9"/>
        <v>1.0868535722611994</v>
      </c>
      <c r="AX13" s="3"/>
    </row>
    <row r="14" spans="2:58" x14ac:dyDescent="0.2">
      <c r="B14" t="s">
        <v>20</v>
      </c>
      <c r="C14">
        <v>212222</v>
      </c>
      <c r="F14" s="206">
        <f>'Data 1987-2017'!GK17</f>
        <v>1.0979270079999999</v>
      </c>
      <c r="G14" s="206">
        <f>'Data 1987-2017'!GL17</f>
        <v>0</v>
      </c>
      <c r="H14" s="206">
        <f>'Data 1987-2017'!GM17</f>
        <v>0.85783747222460305</v>
      </c>
      <c r="I14" s="206">
        <f>'Data 1987-2017'!GN17</f>
        <v>0</v>
      </c>
      <c r="J14" s="206">
        <f>'Data 1987-2017'!GO17</f>
        <v>0.24083814432989692</v>
      </c>
      <c r="K14" s="206">
        <f>'Data 1987-2017'!GP17</f>
        <v>2.5014285714285718E-2</v>
      </c>
      <c r="L14" s="206">
        <f>'Data 1987-2017'!GQ17</f>
        <v>8.9169720316661968E-2</v>
      </c>
      <c r="M14" s="206">
        <f>'Data 1987-2017'!GR17</f>
        <v>1.2133827225693108</v>
      </c>
      <c r="O14" s="148">
        <f>'Data 1987-2017'!AI17</f>
        <v>0</v>
      </c>
      <c r="P14" s="148">
        <f>'Data 1987-2017'!AX17</f>
        <v>20323</v>
      </c>
      <c r="Q14" s="148">
        <f>'Data 1987-2017'!BK17</f>
        <v>0</v>
      </c>
      <c r="R14" s="148">
        <f>'Data 1987-2017'!BY17</f>
        <v>909</v>
      </c>
      <c r="S14" s="148">
        <f>'Data 1987-2017'!CL17</f>
        <v>544</v>
      </c>
      <c r="T14" s="148"/>
      <c r="U14" s="148">
        <f t="shared" si="1"/>
        <v>21776</v>
      </c>
      <c r="V14" s="148">
        <f>'Data 1987-2017'!EL17</f>
        <v>21776</v>
      </c>
      <c r="W14" s="148">
        <f>'Data 1987-2017'!EM17</f>
        <v>23196</v>
      </c>
      <c r="Y14" s="148">
        <f t="shared" si="0"/>
        <v>0</v>
      </c>
      <c r="Z14" s="148">
        <f>P14*$BC$9</f>
        <v>12600.26</v>
      </c>
      <c r="AA14" s="148">
        <f t="shared" si="11"/>
        <v>0</v>
      </c>
      <c r="AB14" s="148">
        <f t="shared" si="12"/>
        <v>955.85567010309285</v>
      </c>
      <c r="AC14" s="148">
        <f t="shared" si="13"/>
        <v>340.81927710843371</v>
      </c>
      <c r="AD14" s="148">
        <f t="shared" si="4"/>
        <v>13896.934947211526</v>
      </c>
      <c r="AE14" s="184">
        <f t="shared" si="5"/>
        <v>0.63817665995644413</v>
      </c>
      <c r="AF14" s="148"/>
      <c r="AH14" s="148">
        <f>'Data 1997-2007_NOT USED'!FK17</f>
        <v>23196</v>
      </c>
      <c r="AI14" s="214">
        <v>25000</v>
      </c>
      <c r="AJ14" s="148">
        <f t="shared" si="6"/>
        <v>1.0777720296602862</v>
      </c>
      <c r="AK14" s="119">
        <v>0.5</v>
      </c>
      <c r="AL14" s="222">
        <f t="shared" si="8"/>
        <v>0.60669136128465539</v>
      </c>
      <c r="AM14" s="170"/>
      <c r="AO14">
        <f t="shared" si="14"/>
        <v>212222</v>
      </c>
      <c r="AP14">
        <f>'Pivot table 2017 (prelim)'!A31</f>
        <v>212222</v>
      </c>
      <c r="AQ14" s="3">
        <f>'Pivot table 2017 (prelim)'!B31</f>
        <v>0</v>
      </c>
      <c r="AR14" s="3">
        <f>'Pivot table 2017 (prelim)'!C31</f>
        <v>134802</v>
      </c>
      <c r="AS14" s="3"/>
      <c r="AT14" s="217">
        <f t="shared" si="2"/>
        <v>134.80199999999999</v>
      </c>
      <c r="AU14" s="3">
        <f>'Data 1987-2017'!HC17</f>
        <v>321.78399999999999</v>
      </c>
      <c r="AV14" s="211" t="s">
        <v>474</v>
      </c>
      <c r="AW14" s="184">
        <f t="shared" si="9"/>
        <v>0.41892076672550532</v>
      </c>
      <c r="AX14" s="211"/>
    </row>
    <row r="15" spans="2:58" x14ac:dyDescent="0.2">
      <c r="B15" t="s">
        <v>22</v>
      </c>
      <c r="C15">
        <v>212231</v>
      </c>
      <c r="F15" s="206">
        <f>'Data 1987-2017'!GK18</f>
        <v>3.0350422399999997</v>
      </c>
      <c r="G15" s="206">
        <f>'Data 1987-2017'!GL18</f>
        <v>0</v>
      </c>
      <c r="H15" s="206">
        <f>'Data 1987-2017'!GM18</f>
        <v>0</v>
      </c>
      <c r="I15" s="206">
        <f>'Data 1987-2017'!GN18</f>
        <v>0</v>
      </c>
      <c r="J15" s="206">
        <f>'Data 1987-2017'!GO18</f>
        <v>0</v>
      </c>
      <c r="K15" s="206">
        <f>'Data 1987-2017'!GP18</f>
        <v>0</v>
      </c>
      <c r="L15" s="206">
        <f>'Data 1987-2017'!GQ18</f>
        <v>4.6096318538166603</v>
      </c>
      <c r="M15" s="206">
        <f>'Data 1987-2017'!GR18</f>
        <v>3.4156405924996522</v>
      </c>
      <c r="O15" s="148">
        <f>'Data 1987-2017'!AI18</f>
        <v>0</v>
      </c>
      <c r="P15" s="148">
        <f>'Data 1987-2017'!AX18</f>
        <v>0</v>
      </c>
      <c r="Q15" s="148">
        <f>'Data 1987-2017'!BK18</f>
        <v>0</v>
      </c>
      <c r="R15" s="148">
        <f>'Data 1987-2017'!BY18</f>
        <v>0</v>
      </c>
      <c r="S15" s="148">
        <f>'Data 1987-2017'!CL18</f>
        <v>0</v>
      </c>
      <c r="T15" s="148"/>
      <c r="U15" s="148">
        <f t="shared" si="1"/>
        <v>0</v>
      </c>
      <c r="V15" s="148">
        <f>'Data 1987-2017'!EL18</f>
        <v>0</v>
      </c>
      <c r="W15" s="148">
        <f>'Data 1987-2017'!EM18</f>
        <v>72890</v>
      </c>
      <c r="Y15" s="148">
        <f t="shared" si="0"/>
        <v>0</v>
      </c>
      <c r="Z15" s="148"/>
      <c r="AA15" s="148">
        <f t="shared" si="11"/>
        <v>0</v>
      </c>
      <c r="AB15" s="148">
        <f t="shared" si="12"/>
        <v>0</v>
      </c>
      <c r="AC15" s="148">
        <f t="shared" si="13"/>
        <v>0</v>
      </c>
      <c r="AD15" s="148">
        <f t="shared" si="4"/>
        <v>0</v>
      </c>
      <c r="AE15" s="216">
        <v>0.75</v>
      </c>
      <c r="AF15" s="148"/>
      <c r="AG15">
        <f>(AH15/(AH15+AH16))</f>
        <v>0.12685986588254541</v>
      </c>
      <c r="AH15" s="148">
        <f>'Data 1997-2007_NOT USED'!FK18</f>
        <v>72890</v>
      </c>
      <c r="AI15" s="209">
        <f>AG15*AQ15</f>
        <v>81587.00496544379</v>
      </c>
      <c r="AJ15" s="148">
        <f t="shared" si="6"/>
        <v>1.1193168468300698</v>
      </c>
      <c r="AK15" s="13">
        <f t="shared" si="7"/>
        <v>1.492422462440093</v>
      </c>
      <c r="AL15" s="222">
        <f t="shared" si="8"/>
        <v>5.0975787438686693</v>
      </c>
      <c r="AM15" s="170"/>
      <c r="AO15">
        <f t="shared" si="14"/>
        <v>212231</v>
      </c>
      <c r="AP15">
        <f>'Pivot table 2017 (prelim)'!A32</f>
        <v>212230</v>
      </c>
      <c r="AQ15" s="3">
        <f>'Pivot table 2017 (prelim)'!B32</f>
        <v>643127</v>
      </c>
      <c r="AR15" s="3">
        <f>'Pivot table 2017 (prelim)'!C32</f>
        <v>6763564</v>
      </c>
      <c r="AS15" s="3"/>
      <c r="AT15" s="212">
        <f>AV15*AR15*0.001</f>
        <v>980.4592540308123</v>
      </c>
      <c r="AU15" s="3">
        <f>'Data 1987-2017'!HC18</f>
        <v>889.52</v>
      </c>
      <c r="AV15">
        <f>(AU15/(AU15+AU16))</f>
        <v>0.14496192451654369</v>
      </c>
      <c r="AW15" s="184">
        <f t="shared" si="9"/>
        <v>1.1022340745917039</v>
      </c>
    </row>
    <row r="16" spans="2:58" x14ac:dyDescent="0.2">
      <c r="B16" t="s">
        <v>17</v>
      </c>
      <c r="C16">
        <v>212234</v>
      </c>
      <c r="F16" s="206">
        <f>'Data 1987-2017'!GK19</f>
        <v>17.901781344</v>
      </c>
      <c r="G16" s="206">
        <f>'Data 1987-2017'!GL19</f>
        <v>0</v>
      </c>
      <c r="H16" s="206">
        <f>'Data 1987-2017'!GM19</f>
        <v>14.668079488044176</v>
      </c>
      <c r="I16" s="206">
        <f>'Data 1987-2017'!GN19</f>
        <v>6.1149025873629173</v>
      </c>
      <c r="J16" s="206">
        <f>'Data 1987-2017'!GO19</f>
        <v>0</v>
      </c>
      <c r="K16" s="206">
        <f>'Data 1987-2017'!GP19</f>
        <v>0.89733900917849974</v>
      </c>
      <c r="L16" s="206">
        <f>'Data 1987-2017'!GQ19</f>
        <v>0.96075630570973669</v>
      </c>
      <c r="M16" s="206">
        <f>'Data 1987-2017'!GR19</f>
        <v>22.64107739029533</v>
      </c>
      <c r="O16" s="148">
        <f>'Data 1987-2017'!AI19</f>
        <v>0</v>
      </c>
      <c r="P16" s="148">
        <f>'Data 1987-2017'!AX19</f>
        <v>347501</v>
      </c>
      <c r="Q16" s="148">
        <f>'Data 1987-2017'!BK19</f>
        <v>106873</v>
      </c>
      <c r="R16" s="148">
        <f>'Data 1987-2017'!BY19</f>
        <v>0</v>
      </c>
      <c r="S16" s="148">
        <f>'Data 1987-2017'!CL19</f>
        <v>32115</v>
      </c>
      <c r="T16" s="148"/>
      <c r="U16" s="148">
        <f t="shared" si="1"/>
        <v>486489</v>
      </c>
      <c r="V16" s="148">
        <f>'Data 1987-2017'!EL19</f>
        <v>486489</v>
      </c>
      <c r="W16" s="148">
        <f>'Data 1987-2017'!EM19</f>
        <v>501681</v>
      </c>
      <c r="Y16" s="148">
        <f t="shared" si="0"/>
        <v>0</v>
      </c>
      <c r="Z16" s="148">
        <f>P16*$BC$9</f>
        <v>215450.62</v>
      </c>
      <c r="AA16" s="148">
        <f t="shared" si="11"/>
        <v>53065.413194444453</v>
      </c>
      <c r="AB16" s="148">
        <f t="shared" si="12"/>
        <v>0</v>
      </c>
      <c r="AC16" s="148">
        <f t="shared" si="13"/>
        <v>20120.24096385542</v>
      </c>
      <c r="AD16" s="148">
        <f t="shared" si="4"/>
        <v>288636.27415829984</v>
      </c>
      <c r="AE16" s="184">
        <f t="shared" si="5"/>
        <v>0.59330483147265378</v>
      </c>
      <c r="AF16" s="148"/>
      <c r="AG16">
        <f>1-AG15</f>
        <v>0.87314013411745461</v>
      </c>
      <c r="AH16" s="148">
        <f>'Data 1997-2007_NOT USED'!FK19</f>
        <v>501681</v>
      </c>
      <c r="AI16" s="209">
        <f>AG16*AQ15</f>
        <v>561539.99503455625</v>
      </c>
      <c r="AJ16" s="148">
        <f t="shared" si="6"/>
        <v>1.1193168468300698</v>
      </c>
      <c r="AK16" s="13">
        <f t="shared" si="7"/>
        <v>1.8865796930252381</v>
      </c>
      <c r="AL16" s="222">
        <f t="shared" si="8"/>
        <v>42.714196832744022</v>
      </c>
      <c r="AM16" s="13"/>
      <c r="AO16">
        <f t="shared" si="14"/>
        <v>212234</v>
      </c>
      <c r="AQ16" s="3"/>
      <c r="AR16" s="3"/>
      <c r="AS16" s="3"/>
      <c r="AT16" s="212">
        <f>AV16*AR15*0.001</f>
        <v>5783.1047459691872</v>
      </c>
      <c r="AU16" s="3">
        <f>'Data 1987-2017'!HC19</f>
        <v>5246.7120000000004</v>
      </c>
      <c r="AV16">
        <f>1-AV15</f>
        <v>0.85503807548345634</v>
      </c>
      <c r="AW16" s="184">
        <f t="shared" si="9"/>
        <v>1.1022340745917036</v>
      </c>
    </row>
    <row r="17" spans="2:54" x14ac:dyDescent="0.2">
      <c r="B17" t="s">
        <v>23</v>
      </c>
      <c r="C17">
        <v>212291</v>
      </c>
      <c r="F17" s="206">
        <f>'Data 1987-2017'!GK20</f>
        <v>0.5</v>
      </c>
      <c r="G17" s="206">
        <f>'Data 1987-2017'!GL20</f>
        <v>0</v>
      </c>
      <c r="H17" s="206">
        <f>'Data 1987-2017'!GM20</f>
        <v>6.1562878179216129E-2</v>
      </c>
      <c r="I17" s="206">
        <f>'Data 1987-2017'!GN20</f>
        <v>0</v>
      </c>
      <c r="J17" s="206">
        <f>'Data 1987-2017'!GO20</f>
        <v>0</v>
      </c>
      <c r="K17" s="206">
        <f>'Data 1987-2017'!GP20</f>
        <v>4.9999871966298799E-2</v>
      </c>
      <c r="L17" s="206">
        <f>'Data 1987-2017'!GQ20</f>
        <v>0</v>
      </c>
      <c r="M17" s="206">
        <f>'Data 1987-2017'!GR20</f>
        <v>0.3</v>
      </c>
      <c r="O17" s="148">
        <f>'Data 1987-2017'!AI20</f>
        <v>0</v>
      </c>
      <c r="P17" s="148">
        <f>'Data 1987-2017'!AX20</f>
        <v>1913</v>
      </c>
      <c r="Q17" s="148">
        <f>'Data 1987-2017'!BK20</f>
        <v>0</v>
      </c>
      <c r="R17" s="148">
        <f>'Data 1987-2017'!BY20</f>
        <v>0</v>
      </c>
      <c r="S17" s="148">
        <f>'Data 1987-2017'!CL20</f>
        <v>1285</v>
      </c>
      <c r="T17" s="148"/>
      <c r="U17" s="148">
        <f t="shared" si="1"/>
        <v>3198</v>
      </c>
      <c r="V17" s="148">
        <f>'Data 1987-2017'!EL20</f>
        <v>3198</v>
      </c>
      <c r="W17" s="148">
        <f>'Data 1987-2017'!EM20</f>
        <v>3198</v>
      </c>
      <c r="Y17" s="148">
        <f t="shared" si="0"/>
        <v>0</v>
      </c>
      <c r="Z17" s="148">
        <f>P17*$BC$9</f>
        <v>1186.06</v>
      </c>
      <c r="AA17" s="148">
        <f t="shared" si="11"/>
        <v>0</v>
      </c>
      <c r="AB17" s="148">
        <f t="shared" si="12"/>
        <v>0</v>
      </c>
      <c r="AC17" s="148">
        <f t="shared" si="13"/>
        <v>805.06024096385534</v>
      </c>
      <c r="AD17" s="148">
        <f t="shared" si="4"/>
        <v>1991.1202409638554</v>
      </c>
      <c r="AE17" s="184">
        <f t="shared" si="5"/>
        <v>0.62261420918194355</v>
      </c>
      <c r="AF17" s="148"/>
      <c r="AH17" s="209">
        <f>'Data 1987-2017'!EM20</f>
        <v>3198</v>
      </c>
      <c r="AI17" s="148">
        <f t="shared" ref="AI17:AI28" si="15">AQ17</f>
        <v>3804</v>
      </c>
      <c r="AJ17" s="148">
        <f t="shared" si="6"/>
        <v>1.1894934333958724</v>
      </c>
      <c r="AK17" s="13">
        <f t="shared" si="7"/>
        <v>1.910482311283507</v>
      </c>
      <c r="AL17" s="222">
        <f t="shared" si="8"/>
        <v>0.57314469338505203</v>
      </c>
      <c r="AM17" s="13"/>
      <c r="AO17">
        <f t="shared" si="14"/>
        <v>212291</v>
      </c>
      <c r="AP17">
        <f>'Pivot table 2017 (prelim)'!A33</f>
        <v>212291</v>
      </c>
      <c r="AQ17" s="3">
        <f>'Pivot table 2017 (prelim)'!B33</f>
        <v>3804</v>
      </c>
      <c r="AR17" s="3">
        <f>'Pivot table 2017 (prelim)'!C33</f>
        <v>124242</v>
      </c>
      <c r="AS17" s="3"/>
      <c r="AT17" s="217">
        <f t="shared" si="2"/>
        <v>124.242</v>
      </c>
      <c r="AU17" s="3">
        <f>'Data 1987-2017'!HC20</f>
        <v>170</v>
      </c>
      <c r="AV17" s="3"/>
      <c r="AW17" s="184">
        <f t="shared" si="9"/>
        <v>0.73083529411764714</v>
      </c>
      <c r="AX17" s="3"/>
    </row>
    <row r="18" spans="2:54" x14ac:dyDescent="0.2">
      <c r="B18" t="s">
        <v>31</v>
      </c>
      <c r="C18">
        <v>212299</v>
      </c>
      <c r="F18" s="206">
        <f>'Data 1987-2017'!GK21</f>
        <v>3.8880217679999998</v>
      </c>
      <c r="G18" s="206">
        <f>'Data 1987-2017'!GL21</f>
        <v>0</v>
      </c>
      <c r="H18" s="206">
        <f>'Data 1987-2017'!GM21</f>
        <v>1.6217685414909289</v>
      </c>
      <c r="I18" s="206">
        <f>'Data 1987-2017'!GN21</f>
        <v>0.51071373403786924</v>
      </c>
      <c r="J18" s="206">
        <f>'Data 1987-2017'!GO21</f>
        <v>3.5288248046539916</v>
      </c>
      <c r="K18" s="206">
        <f>'Data 1987-2017'!GP21</f>
        <v>0.73324535588348716</v>
      </c>
      <c r="L18" s="206">
        <f>'Data 1987-2017'!GQ21</f>
        <v>0</v>
      </c>
      <c r="M18" s="206">
        <f>'Data 1987-2017'!GR21</f>
        <v>6.4161963146161893</v>
      </c>
      <c r="O18" s="148">
        <f>'Data 1987-2017'!AI21</f>
        <v>0</v>
      </c>
      <c r="P18" s="148">
        <f>'Data 1987-2017'!AX21</f>
        <v>19274</v>
      </c>
      <c r="Q18" s="148">
        <f>'Data 1987-2017'!BK21</f>
        <v>9805</v>
      </c>
      <c r="R18" s="148">
        <f>'Data 1987-2017'!BY21</f>
        <v>8760</v>
      </c>
      <c r="S18" s="148">
        <f>'Data 1987-2017'!CL21</f>
        <v>25386</v>
      </c>
      <c r="T18" s="148"/>
      <c r="U18" s="148">
        <f t="shared" si="1"/>
        <v>63225</v>
      </c>
      <c r="V18" s="148">
        <f>'Data 1987-2017'!EL21</f>
        <v>63225</v>
      </c>
      <c r="W18" s="148">
        <f>'Data 1987-2017'!EM21</f>
        <v>63439</v>
      </c>
      <c r="Y18" s="148">
        <f t="shared" si="0"/>
        <v>0</v>
      </c>
      <c r="Z18" s="148">
        <f>P18*$BC$9</f>
        <v>11949.88</v>
      </c>
      <c r="AA18" s="148">
        <f t="shared" si="11"/>
        <v>4868.4548611111122</v>
      </c>
      <c r="AB18" s="148">
        <f t="shared" si="12"/>
        <v>9211.5463917525776</v>
      </c>
      <c r="AC18" s="148">
        <f t="shared" si="13"/>
        <v>15904.481927710842</v>
      </c>
      <c r="AD18" s="148">
        <f t="shared" si="4"/>
        <v>41934.363180574532</v>
      </c>
      <c r="AE18" s="184">
        <f t="shared" si="5"/>
        <v>0.66325604081573009</v>
      </c>
      <c r="AF18" s="148"/>
      <c r="AH18" s="209">
        <f>'Data 1987-2017'!EM21</f>
        <v>63439</v>
      </c>
      <c r="AI18" s="148">
        <f t="shared" si="15"/>
        <v>25125</v>
      </c>
      <c r="AJ18" s="148">
        <f t="shared" si="6"/>
        <v>0.39604974857737352</v>
      </c>
      <c r="AK18" s="13">
        <f t="shared" si="7"/>
        <v>0.59712950083391181</v>
      </c>
      <c r="AL18" s="222">
        <f t="shared" si="8"/>
        <v>3.8313001025991498</v>
      </c>
      <c r="AM18" s="13"/>
      <c r="AO18">
        <f t="shared" si="14"/>
        <v>212299</v>
      </c>
      <c r="AP18">
        <f>'Pivot table 2017 (prelim)'!A34</f>
        <v>212299</v>
      </c>
      <c r="AQ18" s="3">
        <f>'Pivot table 2017 (prelim)'!B34</f>
        <v>25125</v>
      </c>
      <c r="AR18" s="3">
        <f>'Pivot table 2017 (prelim)'!C34</f>
        <v>469470</v>
      </c>
      <c r="AS18" s="3"/>
      <c r="AT18" s="217">
        <f t="shared" si="2"/>
        <v>469.47</v>
      </c>
      <c r="AU18" s="3">
        <f>'Data 1987-2017'!HC21</f>
        <v>1139.5140000000001</v>
      </c>
      <c r="AV18" s="3"/>
      <c r="AW18" s="184">
        <f t="shared" si="9"/>
        <v>0.41199142792453625</v>
      </c>
      <c r="AX18" s="3"/>
    </row>
    <row r="19" spans="2:54" x14ac:dyDescent="0.2">
      <c r="F19" s="206">
        <f>'Data 1987-2017'!GK22</f>
        <v>0</v>
      </c>
      <c r="G19" s="206">
        <f>'Data 1987-2017'!GL22</f>
        <v>0</v>
      </c>
      <c r="H19" s="206">
        <f>'Data 1987-2017'!GM22</f>
        <v>0</v>
      </c>
      <c r="I19" s="206">
        <f>'Data 1987-2017'!GN22</f>
        <v>0</v>
      </c>
      <c r="J19" s="206">
        <f>'Data 1987-2017'!GO22</f>
        <v>0</v>
      </c>
      <c r="K19" s="206">
        <f>'Data 1987-2017'!GP22</f>
        <v>0</v>
      </c>
      <c r="L19" s="206">
        <f>'Data 1987-2017'!GQ22</f>
        <v>0</v>
      </c>
      <c r="M19" s="206">
        <f>'Data 1987-2017'!GR22</f>
        <v>0</v>
      </c>
      <c r="O19" s="148">
        <f>'Data 1987-2017'!AI22</f>
        <v>0</v>
      </c>
      <c r="P19" s="148">
        <f>'Data 1987-2017'!AX22</f>
        <v>0</v>
      </c>
      <c r="Q19" s="148">
        <f>'Data 1987-2017'!BK22</f>
        <v>0</v>
      </c>
      <c r="R19" s="148">
        <f>'Data 1987-2017'!BY22</f>
        <v>0</v>
      </c>
      <c r="S19" s="148">
        <f>'Data 1987-2017'!CL22</f>
        <v>0</v>
      </c>
      <c r="T19" s="148"/>
      <c r="U19" s="148">
        <f t="shared" si="1"/>
        <v>0</v>
      </c>
      <c r="V19" s="148">
        <f>'Data 1987-2017'!EL22</f>
        <v>0</v>
      </c>
      <c r="W19" s="148">
        <f>'Data 1987-2017'!EM22</f>
        <v>0</v>
      </c>
      <c r="Y19" s="148">
        <f t="shared" si="0"/>
        <v>0</v>
      </c>
      <c r="Z19" s="148"/>
      <c r="AA19" s="148"/>
      <c r="AB19" s="148"/>
      <c r="AC19" s="148"/>
      <c r="AD19" s="148"/>
      <c r="AE19" s="184"/>
      <c r="AF19" s="148"/>
      <c r="AH19" s="148"/>
      <c r="AI19" s="148"/>
      <c r="AJ19" s="148"/>
      <c r="AK19" s="13"/>
      <c r="AL19" s="222"/>
      <c r="AM19" s="13"/>
      <c r="AQ19" s="3"/>
      <c r="AR19" s="3"/>
      <c r="AS19" s="3"/>
      <c r="AT19" s="217"/>
      <c r="AU19" s="3"/>
      <c r="AV19" s="3"/>
      <c r="AW19" s="184"/>
      <c r="AX19" s="3"/>
    </row>
    <row r="20" spans="2:54" x14ac:dyDescent="0.2">
      <c r="C20">
        <v>212311</v>
      </c>
      <c r="F20" s="206">
        <f>'Data 1987-2017'!GK23</f>
        <v>0.21089230799999997</v>
      </c>
      <c r="G20" s="206">
        <f>'Data 1987-2017'!GL23</f>
        <v>0</v>
      </c>
      <c r="H20" s="206">
        <f>'Data 1987-2017'!GM23</f>
        <v>0.34706330296429072</v>
      </c>
      <c r="I20" s="206">
        <f>'Data 1987-2017'!GN23</f>
        <v>0.10428160954080573</v>
      </c>
      <c r="J20" s="206">
        <f>'Data 1987-2017'!GO23</f>
        <v>2.6494845360824741E-2</v>
      </c>
      <c r="K20" s="206">
        <f>'Data 1987-2017'!GP23</f>
        <v>6.7052926864668863E-2</v>
      </c>
      <c r="L20" s="206">
        <f>'Data 1987-2017'!GQ23</f>
        <v>1.8782558109254329E-2</v>
      </c>
      <c r="M20" s="206">
        <f>'Data 1987-2017'!GR23</f>
        <v>0.5875392653852396</v>
      </c>
      <c r="O20" s="148">
        <f>'Data 1987-2017'!AI23</f>
        <v>0</v>
      </c>
      <c r="P20" s="148">
        <f>'Data 1987-2017'!AX23</f>
        <v>8287</v>
      </c>
      <c r="Q20" s="148">
        <f>'Data 1987-2017'!BK23</f>
        <v>3428</v>
      </c>
      <c r="R20" s="148">
        <f>'Data 1987-2017'!BY23</f>
        <v>100</v>
      </c>
      <c r="S20" s="148">
        <f>'Data 1987-2017'!CL23</f>
        <v>2320</v>
      </c>
      <c r="T20" s="148"/>
      <c r="U20" s="148">
        <f t="shared" si="1"/>
        <v>14135</v>
      </c>
      <c r="V20" s="148">
        <f>'Data 1987-2017'!EL23</f>
        <v>14135</v>
      </c>
      <c r="W20" s="148">
        <f>'Data 1987-2017'!EM23</f>
        <v>15043</v>
      </c>
      <c r="Y20" s="148">
        <f t="shared" si="0"/>
        <v>0</v>
      </c>
      <c r="Z20" s="148">
        <f t="shared" ref="Z20:Z25" si="16">P20*$BC$9</f>
        <v>5137.9399999999996</v>
      </c>
      <c r="AA20" s="148">
        <f t="shared" ref="AA20:AA31" si="17">Q20*$BD$5</f>
        <v>1702.0972222222224</v>
      </c>
      <c r="AB20" s="148">
        <f t="shared" ref="AB20:AB31" si="18">R20*$BE$5</f>
        <v>105.15463917525774</v>
      </c>
      <c r="AC20" s="148">
        <f t="shared" ref="AC20:AC31" si="19">S20*$BF$5</f>
        <v>1453.4939759036142</v>
      </c>
      <c r="AD20" s="148">
        <f t="shared" si="4"/>
        <v>8398.6858373010946</v>
      </c>
      <c r="AE20" s="184">
        <f t="shared" si="5"/>
        <v>0.5941765714397661</v>
      </c>
      <c r="AF20" s="148"/>
      <c r="AH20" s="148">
        <f>'Data 1997-2007_NOT USED'!FK23</f>
        <v>15043</v>
      </c>
      <c r="AI20" s="148">
        <f t="shared" si="15"/>
        <v>15966</v>
      </c>
      <c r="AJ20" s="148">
        <f t="shared" si="6"/>
        <v>1.0613574419996012</v>
      </c>
      <c r="AK20" s="13">
        <f t="shared" si="7"/>
        <v>1.7862660579628644</v>
      </c>
      <c r="AL20" s="222">
        <f t="shared" si="8"/>
        <v>1.0495014474780893</v>
      </c>
      <c r="AM20" s="13"/>
      <c r="AO20">
        <f t="shared" ref="AO20:AO31" si="20">C20</f>
        <v>212311</v>
      </c>
      <c r="AP20">
        <f>'Pivot table 2017 (prelim)'!A35</f>
        <v>212311</v>
      </c>
      <c r="AQ20" s="3">
        <f>'Pivot table 2017 (prelim)'!B35</f>
        <v>15966</v>
      </c>
      <c r="AR20" s="3">
        <f>'Pivot table 2017 (prelim)'!C35</f>
        <v>128006</v>
      </c>
      <c r="AS20" s="3"/>
      <c r="AT20" s="217">
        <f t="shared" si="2"/>
        <v>128.006</v>
      </c>
      <c r="AU20" s="3">
        <f>'Data 1987-2017'!HC23</f>
        <v>61.809000000000005</v>
      </c>
      <c r="AV20" s="3"/>
      <c r="AW20" s="184">
        <f t="shared" si="9"/>
        <v>2.0709928974744778</v>
      </c>
      <c r="AX20" s="3"/>
    </row>
    <row r="21" spans="2:54" x14ac:dyDescent="0.2">
      <c r="C21">
        <v>212312</v>
      </c>
      <c r="F21" s="206">
        <f>'Data 1987-2017'!GK24</f>
        <v>10.055580264</v>
      </c>
      <c r="G21" s="206">
        <f>'Data 1987-2017'!GL24</f>
        <v>0</v>
      </c>
      <c r="H21" s="206">
        <f>'Data 1987-2017'!GM24</f>
        <v>11.560896782598915</v>
      </c>
      <c r="I21" s="206">
        <f>'Data 1987-2017'!GN24</f>
        <v>3.353835607328306</v>
      </c>
      <c r="J21" s="206">
        <f>'Data 1987-2017'!GO24</f>
        <v>4.936982925314509</v>
      </c>
      <c r="K21" s="206">
        <f>'Data 1987-2017'!GP24</f>
        <v>1.7693355241066091</v>
      </c>
      <c r="L21" s="206">
        <f>'Data 1987-2017'!GQ24</f>
        <v>5.1411086832785236</v>
      </c>
      <c r="M21" s="206">
        <f>'Data 1987-2017'!GR24</f>
        <v>26.762159522626863</v>
      </c>
      <c r="O21" s="148">
        <f>'Data 1987-2017'!AI24</f>
        <v>0</v>
      </c>
      <c r="P21" s="148">
        <f>'Data 1987-2017'!AX24</f>
        <v>266054</v>
      </c>
      <c r="Q21" s="148">
        <f>'Data 1987-2017'!BK24</f>
        <v>71761</v>
      </c>
      <c r="R21" s="148">
        <f>'Data 1987-2017'!BY24</f>
        <v>15136</v>
      </c>
      <c r="S21" s="148">
        <f>'Data 1987-2017'!CL24</f>
        <v>52669</v>
      </c>
      <c r="T21" s="148"/>
      <c r="U21" s="148">
        <f t="shared" si="1"/>
        <v>405620</v>
      </c>
      <c r="V21" s="148">
        <f>'Data 1987-2017'!EL24</f>
        <v>405620</v>
      </c>
      <c r="W21" s="148">
        <f>'Data 1987-2017'!EM24</f>
        <v>486914</v>
      </c>
      <c r="Y21" s="148">
        <f t="shared" si="0"/>
        <v>0</v>
      </c>
      <c r="Z21" s="148">
        <f t="shared" si="16"/>
        <v>164953.48000000001</v>
      </c>
      <c r="AA21" s="148">
        <f t="shared" si="17"/>
        <v>35631.329861111117</v>
      </c>
      <c r="AB21" s="148">
        <f t="shared" si="18"/>
        <v>15916.206185567011</v>
      </c>
      <c r="AC21" s="148">
        <f t="shared" si="19"/>
        <v>32997.445783132527</v>
      </c>
      <c r="AD21" s="148">
        <f t="shared" si="4"/>
        <v>249498.46182981069</v>
      </c>
      <c r="AE21" s="184">
        <f t="shared" si="5"/>
        <v>0.61510394415909153</v>
      </c>
      <c r="AF21" s="148"/>
      <c r="AH21" s="148">
        <f>'Data 1997-2007_NOT USED'!FK24</f>
        <v>486914</v>
      </c>
      <c r="AI21" s="148">
        <f t="shared" si="15"/>
        <v>383180</v>
      </c>
      <c r="AJ21" s="148">
        <f t="shared" si="6"/>
        <v>0.78695621814119121</v>
      </c>
      <c r="AK21" s="13">
        <f t="shared" si="7"/>
        <v>1.2793873712142081</v>
      </c>
      <c r="AL21" s="222">
        <f t="shared" si="8"/>
        <v>34.23916891966887</v>
      </c>
      <c r="AM21" s="13"/>
      <c r="AO21">
        <f t="shared" si="20"/>
        <v>212312</v>
      </c>
      <c r="AP21">
        <f>'Pivot table 2017 (prelim)'!A36</f>
        <v>212312</v>
      </c>
      <c r="AQ21" s="3">
        <f>'Pivot table 2017 (prelim)'!B36</f>
        <v>383180</v>
      </c>
      <c r="AR21" s="3">
        <f>'Pivot table 2017 (prelim)'!C36</f>
        <v>3220418</v>
      </c>
      <c r="AS21" s="3"/>
      <c r="AT21" s="217">
        <f t="shared" si="2"/>
        <v>3220.4180000000001</v>
      </c>
      <c r="AU21" s="3">
        <f>'Data 1987-2017'!HC24</f>
        <v>2947.1219999999998</v>
      </c>
      <c r="AV21" s="3"/>
      <c r="AW21" s="184">
        <f t="shared" si="9"/>
        <v>1.092733181727801</v>
      </c>
      <c r="AX21" s="3"/>
    </row>
    <row r="22" spans="2:54" x14ac:dyDescent="0.2">
      <c r="C22">
        <v>212313</v>
      </c>
      <c r="F22" s="206">
        <f>'Data 1987-2017'!GK25</f>
        <v>1.8612357639999999</v>
      </c>
      <c r="G22" s="206">
        <f>'Data 1987-2017'!GL25</f>
        <v>0</v>
      </c>
      <c r="H22" s="206">
        <f>'Data 1987-2017'!GM25</f>
        <v>1.9074880167242165</v>
      </c>
      <c r="I22" s="206">
        <f>'Data 1987-2017'!GN25</f>
        <v>0</v>
      </c>
      <c r="J22" s="206">
        <f>'Data 1987-2017'!GO25</f>
        <v>0</v>
      </c>
      <c r="K22" s="206">
        <f>'Data 1987-2017'!GP25</f>
        <v>0.28926604650709664</v>
      </c>
      <c r="L22" s="206">
        <f>'Data 1987-2017'!GQ25</f>
        <v>2.1024449304449839</v>
      </c>
      <c r="M22" s="206">
        <f>'Data 1987-2017'!GR25</f>
        <v>4.2991989936762973</v>
      </c>
      <c r="O22" s="148">
        <f>'Data 1987-2017'!AI25</f>
        <v>0</v>
      </c>
      <c r="P22" s="148">
        <f>'Data 1987-2017'!AX25</f>
        <v>36124</v>
      </c>
      <c r="Q22" s="148">
        <f>'Data 1987-2017'!BK25</f>
        <v>0</v>
      </c>
      <c r="R22" s="148">
        <f>'Data 1987-2017'!BY25</f>
        <v>0</v>
      </c>
      <c r="S22" s="148">
        <f>'Data 1987-2017'!CL25</f>
        <v>6584</v>
      </c>
      <c r="T22" s="148"/>
      <c r="U22" s="148">
        <f t="shared" si="1"/>
        <v>42708</v>
      </c>
      <c r="V22" s="148">
        <f>'Data 1987-2017'!EL25</f>
        <v>42708</v>
      </c>
      <c r="W22" s="148">
        <f>'Data 1987-2017'!EM25</f>
        <v>75953</v>
      </c>
      <c r="Y22" s="148">
        <f t="shared" si="0"/>
        <v>0</v>
      </c>
      <c r="Z22" s="148">
        <f t="shared" si="16"/>
        <v>22396.880000000001</v>
      </c>
      <c r="AA22" s="148">
        <f t="shared" si="17"/>
        <v>0</v>
      </c>
      <c r="AB22" s="148">
        <f t="shared" si="18"/>
        <v>0</v>
      </c>
      <c r="AC22" s="148">
        <f t="shared" si="19"/>
        <v>4124.9156626506019</v>
      </c>
      <c r="AD22" s="148">
        <f t="shared" si="4"/>
        <v>26521.795662650602</v>
      </c>
      <c r="AE22" s="184">
        <f t="shared" si="5"/>
        <v>0.62100298919758834</v>
      </c>
      <c r="AF22" s="148"/>
      <c r="AH22" s="148">
        <f>'Data 1997-2007_NOT USED'!FK25</f>
        <v>75953</v>
      </c>
      <c r="AI22" s="148">
        <f t="shared" si="15"/>
        <v>77857</v>
      </c>
      <c r="AJ22" s="148">
        <f t="shared" si="6"/>
        <v>1.025068134240912</v>
      </c>
      <c r="AK22" s="13">
        <f t="shared" si="7"/>
        <v>1.6506653785441923</v>
      </c>
      <c r="AL22" s="222">
        <f t="shared" si="8"/>
        <v>7.0965389343334957</v>
      </c>
      <c r="AM22" s="13"/>
      <c r="AO22">
        <f t="shared" si="20"/>
        <v>212313</v>
      </c>
      <c r="AP22">
        <f>'Pivot table 2017 (prelim)'!A37</f>
        <v>212313</v>
      </c>
      <c r="AQ22" s="3">
        <f>'Pivot table 2017 (prelim)'!B37</f>
        <v>77857</v>
      </c>
      <c r="AR22" s="3">
        <f>'Pivot table 2017 (prelim)'!C37</f>
        <v>699354</v>
      </c>
      <c r="AS22" s="3"/>
      <c r="AT22" s="217">
        <f t="shared" si="2"/>
        <v>699.35400000000004</v>
      </c>
      <c r="AU22" s="3">
        <f>'Data 1987-2017'!HC25</f>
        <v>545.49699999999996</v>
      </c>
      <c r="AV22" s="3"/>
      <c r="AW22" s="184">
        <f t="shared" si="9"/>
        <v>1.2820492138361899</v>
      </c>
      <c r="AX22" s="3"/>
    </row>
    <row r="23" spans="2:54" x14ac:dyDescent="0.2">
      <c r="C23">
        <v>212319</v>
      </c>
      <c r="F23" s="206">
        <f>'Data 1987-2017'!GK26</f>
        <v>1.4399458879999998</v>
      </c>
      <c r="G23" s="206">
        <f>'Data 1987-2017'!GL26</f>
        <v>0</v>
      </c>
      <c r="H23" s="206">
        <f>'Data 1987-2017'!GM26</f>
        <v>1.778554753307696</v>
      </c>
      <c r="I23" s="206">
        <f>'Data 1987-2017'!GN26</f>
        <v>0.62482209252727516</v>
      </c>
      <c r="J23" s="206">
        <f>'Data 1987-2017'!GO26</f>
        <v>3.8692629301185617</v>
      </c>
      <c r="K23" s="206">
        <f>'Data 1987-2017'!GP26</f>
        <v>0.4099912321452211</v>
      </c>
      <c r="L23" s="206">
        <f>'Data 1987-2017'!GQ26</f>
        <v>0.90813984662926661</v>
      </c>
      <c r="M23" s="206">
        <f>'Data 1987-2017'!GR26</f>
        <v>7.5907708547280199</v>
      </c>
      <c r="O23" s="148">
        <f>'Data 1987-2017'!AI26</f>
        <v>0</v>
      </c>
      <c r="P23" s="148">
        <f>'Data 1987-2017'!AX26</f>
        <v>44209</v>
      </c>
      <c r="Q23" s="148">
        <f>'Data 1987-2017'!BK26</f>
        <v>16936</v>
      </c>
      <c r="R23" s="148">
        <f>'Data 1987-2017'!BY26</f>
        <v>13223</v>
      </c>
      <c r="S23" s="148">
        <f>'Data 1987-2017'!CL26</f>
        <v>11831</v>
      </c>
      <c r="T23" s="148"/>
      <c r="U23" s="148">
        <f t="shared" si="1"/>
        <v>86199</v>
      </c>
      <c r="V23" s="148">
        <f>'Data 1987-2017'!EL26</f>
        <v>86199</v>
      </c>
      <c r="W23" s="148">
        <f>'Data 1987-2017'!EM26</f>
        <v>100559</v>
      </c>
      <c r="Y23" s="148">
        <f t="shared" si="0"/>
        <v>0</v>
      </c>
      <c r="Z23" s="148">
        <f t="shared" si="16"/>
        <v>27409.579999999998</v>
      </c>
      <c r="AA23" s="148">
        <f t="shared" si="17"/>
        <v>8409.1944444444453</v>
      </c>
      <c r="AB23" s="148">
        <f t="shared" si="18"/>
        <v>13904.59793814433</v>
      </c>
      <c r="AC23" s="148">
        <f t="shared" si="19"/>
        <v>7412.1927710843365</v>
      </c>
      <c r="AD23" s="148">
        <f t="shared" si="4"/>
        <v>57135.565153673109</v>
      </c>
      <c r="AE23" s="184">
        <f t="shared" si="5"/>
        <v>0.66283327131026004</v>
      </c>
      <c r="AF23" s="148"/>
      <c r="AH23" s="148">
        <f>'Data 1997-2007_NOT USED'!FK26</f>
        <v>100559</v>
      </c>
      <c r="AI23" s="148">
        <f t="shared" si="15"/>
        <v>59802</v>
      </c>
      <c r="AJ23" s="148">
        <f t="shared" si="6"/>
        <v>0.59469565130918167</v>
      </c>
      <c r="AK23" s="13">
        <f t="shared" si="7"/>
        <v>0.89720247466397263</v>
      </c>
      <c r="AL23" s="222">
        <f t="shared" si="8"/>
        <v>6.810458395469138</v>
      </c>
      <c r="AM23" s="13"/>
      <c r="AO23">
        <f t="shared" si="20"/>
        <v>212319</v>
      </c>
      <c r="AP23">
        <f>'Pivot table 2017 (prelim)'!A38</f>
        <v>212319</v>
      </c>
      <c r="AQ23" s="3">
        <f>'Pivot table 2017 (prelim)'!B38</f>
        <v>59802</v>
      </c>
      <c r="AR23" s="3">
        <f>'Pivot table 2017 (prelim)'!C38</f>
        <v>544724</v>
      </c>
      <c r="AS23" s="3"/>
      <c r="AT23" s="217">
        <f t="shared" si="2"/>
        <v>544.72400000000005</v>
      </c>
      <c r="AU23" s="3">
        <f>'Data 1987-2017'!HC26</f>
        <v>422.024</v>
      </c>
      <c r="AV23" s="3"/>
      <c r="AW23" s="184">
        <f t="shared" si="9"/>
        <v>1.2907417587625349</v>
      </c>
      <c r="AX23" s="3"/>
    </row>
    <row r="24" spans="2:54" x14ac:dyDescent="0.2">
      <c r="C24">
        <v>212321</v>
      </c>
      <c r="F24" s="206">
        <f>'Data 1987-2017'!GK27</f>
        <v>3.9320911599999997</v>
      </c>
      <c r="G24" s="206">
        <f>'Data 1987-2017'!GL27</f>
        <v>1.1087107813446395</v>
      </c>
      <c r="H24" s="206">
        <f>'Data 1987-2017'!GM27</f>
        <v>5.8180393421475793</v>
      </c>
      <c r="I24" s="206">
        <f>'Data 1987-2017'!GN27</f>
        <v>0.87185208721252971</v>
      </c>
      <c r="J24" s="206">
        <f>'Data 1987-2017'!GO27</f>
        <v>2.4606300677686264</v>
      </c>
      <c r="K24" s="206">
        <f>'Data 1987-2017'!GP27</f>
        <v>1.5225386565353729</v>
      </c>
      <c r="L24" s="206">
        <f>'Data 1987-2017'!GQ27</f>
        <v>1.0250723380232438</v>
      </c>
      <c r="M24" s="206">
        <f>'Data 1987-2017'!GR27</f>
        <v>14.216065647616565</v>
      </c>
      <c r="O24" s="148">
        <f>'Data 1987-2017'!AI27</f>
        <v>3530</v>
      </c>
      <c r="P24" s="148">
        <f>'Data 1987-2017'!AX27</f>
        <v>165916</v>
      </c>
      <c r="Q24" s="148">
        <f>'Data 1987-2017'!BK27</f>
        <v>25905</v>
      </c>
      <c r="R24" s="148">
        <f>'Data 1987-2017'!BY27</f>
        <v>6946</v>
      </c>
      <c r="S24" s="148">
        <f>'Data 1987-2017'!CL27</f>
        <v>52022</v>
      </c>
      <c r="T24" s="148"/>
      <c r="U24" s="148">
        <f t="shared" si="1"/>
        <v>254319</v>
      </c>
      <c r="V24" s="148">
        <f>'Data 1987-2017'!EL27</f>
        <v>254319</v>
      </c>
      <c r="W24" s="148">
        <f>'Data 1987-2017'!EM27</f>
        <v>300296</v>
      </c>
      <c r="Y24" s="148">
        <f t="shared" si="0"/>
        <v>2971.9563900666258</v>
      </c>
      <c r="Z24" s="148">
        <f t="shared" si="16"/>
        <v>102867.92</v>
      </c>
      <c r="AA24" s="148">
        <f t="shared" si="17"/>
        <v>12862.552083333336</v>
      </c>
      <c r="AB24" s="148">
        <f t="shared" si="18"/>
        <v>7304.0412371134025</v>
      </c>
      <c r="AC24" s="148">
        <f t="shared" si="19"/>
        <v>32592.096385542165</v>
      </c>
      <c r="AD24" s="148">
        <f t="shared" si="4"/>
        <v>158598.56609605553</v>
      </c>
      <c r="AE24" s="184">
        <f t="shared" si="5"/>
        <v>0.62362059498525679</v>
      </c>
      <c r="AF24" s="148"/>
      <c r="AH24" s="148">
        <f>'Data 1997-2007_NOT USED'!FK27</f>
        <v>300296</v>
      </c>
      <c r="AI24" s="148">
        <f t="shared" si="15"/>
        <v>195159</v>
      </c>
      <c r="AJ24" s="148">
        <f t="shared" si="6"/>
        <v>0.64988877640727816</v>
      </c>
      <c r="AK24" s="13">
        <f t="shared" si="7"/>
        <v>1.0421220556749611</v>
      </c>
      <c r="AL24" s="222">
        <f t="shared" si="8"/>
        <v>14.814875556304372</v>
      </c>
      <c r="AM24" s="13"/>
      <c r="AO24">
        <f t="shared" si="20"/>
        <v>212321</v>
      </c>
      <c r="AP24">
        <f>'Pivot table 2017 (prelim)'!A39</f>
        <v>212321</v>
      </c>
      <c r="AQ24" s="3">
        <f>'Pivot table 2017 (prelim)'!B39</f>
        <v>195159</v>
      </c>
      <c r="AR24" s="3">
        <f>'Pivot table 2017 (prelim)'!C39</f>
        <v>1999088</v>
      </c>
      <c r="AS24" s="3"/>
      <c r="AT24" s="217">
        <f t="shared" si="2"/>
        <v>1999.088</v>
      </c>
      <c r="AU24" s="3">
        <f>'Data 1987-2017'!HC27</f>
        <v>1152.43</v>
      </c>
      <c r="AV24" s="3"/>
      <c r="AW24" s="184">
        <f t="shared" si="9"/>
        <v>1.7346719540449311</v>
      </c>
      <c r="AX24" s="3"/>
    </row>
    <row r="25" spans="2:54" x14ac:dyDescent="0.2">
      <c r="C25">
        <v>212322</v>
      </c>
      <c r="F25" s="206">
        <f>'Data 1987-2017'!GK28</f>
        <v>2.638264172</v>
      </c>
      <c r="G25" s="206">
        <f>'Data 1987-2017'!GL28</f>
        <v>0</v>
      </c>
      <c r="H25" s="206">
        <f>'Data 1987-2017'!GM28</f>
        <v>0.86355657971459099</v>
      </c>
      <c r="I25" s="206">
        <f>'Data 1987-2017'!GN28</f>
        <v>0.28159672089719706</v>
      </c>
      <c r="J25" s="206">
        <f>'Data 1987-2017'!GO28</f>
        <v>4.7634476382993043</v>
      </c>
      <c r="K25" s="206">
        <f>'Data 1987-2017'!GP28</f>
        <v>0.21155587850643312</v>
      </c>
      <c r="L25" s="206">
        <f>'Data 1987-2017'!GQ28</f>
        <v>2.1280575096848762</v>
      </c>
      <c r="M25" s="206">
        <f>'Data 1987-2017'!GR28</f>
        <v>8.2482143271024029</v>
      </c>
      <c r="O25" s="148">
        <f>'Data 1987-2017'!AI28</f>
        <v>0</v>
      </c>
      <c r="P25" s="148">
        <f>'Data 1987-2017'!AX28</f>
        <v>23781</v>
      </c>
      <c r="Q25" s="148">
        <f>'Data 1987-2017'!BK28</f>
        <v>6759</v>
      </c>
      <c r="R25" s="148">
        <f>'Data 1987-2017'!BY28</f>
        <v>15396</v>
      </c>
      <c r="S25" s="148">
        <f>'Data 1987-2017'!CL28</f>
        <v>5437</v>
      </c>
      <c r="T25" s="148"/>
      <c r="U25" s="148">
        <f t="shared" si="1"/>
        <v>51373</v>
      </c>
      <c r="V25" s="148">
        <f>'Data 1987-2017'!EL28</f>
        <v>51373</v>
      </c>
      <c r="W25" s="148">
        <f>'Data 1987-2017'!EM28</f>
        <v>85023</v>
      </c>
      <c r="Y25" s="148">
        <f t="shared" si="0"/>
        <v>0</v>
      </c>
      <c r="Z25" s="148">
        <f t="shared" si="16"/>
        <v>14744.22</v>
      </c>
      <c r="AA25" s="148">
        <f t="shared" si="17"/>
        <v>3356.0312500000005</v>
      </c>
      <c r="AB25" s="148">
        <f t="shared" si="18"/>
        <v>16189.608247422681</v>
      </c>
      <c r="AC25" s="148">
        <f t="shared" si="19"/>
        <v>3406.3132530120479</v>
      </c>
      <c r="AD25" s="148">
        <f t="shared" si="4"/>
        <v>37696.172750434729</v>
      </c>
      <c r="AE25" s="184">
        <f t="shared" si="5"/>
        <v>0.7337740204082831</v>
      </c>
      <c r="AF25" s="148"/>
      <c r="AH25" s="148">
        <f>'Data 1997-2007_NOT USED'!FK28</f>
        <v>85023</v>
      </c>
      <c r="AI25" s="148">
        <f t="shared" si="15"/>
        <v>94832</v>
      </c>
      <c r="AJ25" s="148">
        <f t="shared" si="6"/>
        <v>1.1153687825647178</v>
      </c>
      <c r="AK25" s="13">
        <f t="shared" si="7"/>
        <v>1.520043980221744</v>
      </c>
      <c r="AL25" s="222">
        <f t="shared" si="8"/>
        <v>12.537648535490751</v>
      </c>
      <c r="AM25" s="13"/>
      <c r="AO25">
        <f t="shared" si="20"/>
        <v>212322</v>
      </c>
      <c r="AP25">
        <f>'Pivot table 2017 (prelim)'!A40</f>
        <v>212322</v>
      </c>
      <c r="AQ25" s="3">
        <f>'Pivot table 2017 (prelim)'!B40</f>
        <v>94832</v>
      </c>
      <c r="AR25" s="3">
        <f>'Pivot table 2017 (prelim)'!C40</f>
        <v>951925</v>
      </c>
      <c r="AS25" s="3"/>
      <c r="AT25" s="217">
        <f t="shared" si="2"/>
        <v>951.92500000000007</v>
      </c>
      <c r="AU25" s="3">
        <f>'Data 1987-2017'!HC28</f>
        <v>773.23099999999999</v>
      </c>
      <c r="AV25" s="3"/>
      <c r="AW25" s="184">
        <f t="shared" si="9"/>
        <v>1.2311004085454413</v>
      </c>
      <c r="AX25" s="3"/>
    </row>
    <row r="26" spans="2:54" x14ac:dyDescent="0.2">
      <c r="C26">
        <v>212324</v>
      </c>
      <c r="F26" s="206">
        <f>'Data 1987-2017'!GK29</f>
        <v>2.5709863559999997</v>
      </c>
      <c r="G26" s="206">
        <f>'Data 1987-2017'!GL29</f>
        <v>0</v>
      </c>
      <c r="H26" s="206">
        <f>'Data 1987-2017'!GM29</f>
        <v>0</v>
      </c>
      <c r="I26" s="206">
        <f>'Data 1987-2017'!GN29</f>
        <v>0</v>
      </c>
      <c r="J26" s="206">
        <f>'Data 1987-2017'!GO29</f>
        <v>15.369924742268044</v>
      </c>
      <c r="K26" s="206">
        <f>'Data 1987-2017'!GP29</f>
        <v>0.24034957909402926</v>
      </c>
      <c r="L26" s="206">
        <f>'Data 1987-2017'!GQ29</f>
        <v>0.88170513521624205</v>
      </c>
      <c r="M26" s="206">
        <f>'Data 1987-2017'!GR29</f>
        <v>16.491979456578317</v>
      </c>
      <c r="O26" s="148">
        <f>'Data 1987-2017'!AI29</f>
        <v>0</v>
      </c>
      <c r="P26" s="148">
        <f>'Data 1987-2017'!AX29</f>
        <v>0</v>
      </c>
      <c r="Q26" s="148">
        <f>'Data 1987-2017'!BK29</f>
        <v>0</v>
      </c>
      <c r="R26" s="148">
        <f>'Data 1987-2017'!BY29</f>
        <v>58011</v>
      </c>
      <c r="S26" s="148">
        <f>'Data 1987-2017'!CL29</f>
        <v>6177</v>
      </c>
      <c r="T26" s="148"/>
      <c r="U26" s="148">
        <f t="shared" si="1"/>
        <v>64188</v>
      </c>
      <c r="V26" s="148">
        <f>'Data 1987-2017'!EL29</f>
        <v>64188</v>
      </c>
      <c r="W26" s="148">
        <f>'Data 1987-2017'!EM29</f>
        <v>78130</v>
      </c>
      <c r="Y26" s="148">
        <f t="shared" si="0"/>
        <v>0</v>
      </c>
      <c r="Z26" s="148"/>
      <c r="AA26" s="148">
        <f t="shared" si="17"/>
        <v>0</v>
      </c>
      <c r="AB26" s="148">
        <f t="shared" si="18"/>
        <v>61001.257731958765</v>
      </c>
      <c r="AC26" s="148">
        <f t="shared" si="19"/>
        <v>3869.927710843373</v>
      </c>
      <c r="AD26" s="148">
        <f t="shared" si="4"/>
        <v>64871.18544280214</v>
      </c>
      <c r="AE26" s="184">
        <f t="shared" si="5"/>
        <v>1.0106435072412623</v>
      </c>
      <c r="AF26" s="148"/>
      <c r="AH26" s="148">
        <f>'Data 1997-2007_NOT USED'!FK29</f>
        <v>78130</v>
      </c>
      <c r="AI26" s="148">
        <f t="shared" si="15"/>
        <v>56548</v>
      </c>
      <c r="AJ26" s="148">
        <f t="shared" si="6"/>
        <v>0.72376807884295402</v>
      </c>
      <c r="AK26" s="13">
        <f t="shared" si="7"/>
        <v>0.7161457760893476</v>
      </c>
      <c r="AL26" s="222">
        <f t="shared" si="8"/>
        <v>11.810661427180856</v>
      </c>
      <c r="AM26" s="13"/>
      <c r="AO26">
        <f t="shared" si="20"/>
        <v>212324</v>
      </c>
      <c r="AP26">
        <f>'Pivot table 2017 (prelim)'!A41</f>
        <v>212324</v>
      </c>
      <c r="AQ26" s="3">
        <f>'Pivot table 2017 (prelim)'!B41</f>
        <v>56548</v>
      </c>
      <c r="AR26" s="3">
        <f>'Pivot table 2017 (prelim)'!C41</f>
        <v>890061</v>
      </c>
      <c r="AS26" s="3"/>
      <c r="AT26" s="217">
        <f t="shared" si="2"/>
        <v>890.06100000000004</v>
      </c>
      <c r="AU26" s="3">
        <f>'Data 1987-2017'!HC29</f>
        <v>753.51300000000003</v>
      </c>
      <c r="AV26" s="3"/>
      <c r="AW26" s="184">
        <f t="shared" si="9"/>
        <v>1.1812151880591311</v>
      </c>
      <c r="AX26" s="3"/>
    </row>
    <row r="27" spans="2:54" x14ac:dyDescent="0.2">
      <c r="C27">
        <v>212325</v>
      </c>
      <c r="F27" s="206">
        <f>'Data 1987-2017'!GK30</f>
        <v>1.2614914639999999</v>
      </c>
      <c r="G27" s="206">
        <f>'Data 1987-2017'!GL30</f>
        <v>1.2266037560402379</v>
      </c>
      <c r="H27" s="206">
        <f>'Data 1987-2017'!GM30</f>
        <v>0.5899325770597148</v>
      </c>
      <c r="I27" s="206">
        <f>'Data 1987-2017'!GN30</f>
        <v>0.776771659128489</v>
      </c>
      <c r="J27" s="206">
        <f>'Data 1987-2017'!GO30</f>
        <v>7.2196058422496039</v>
      </c>
      <c r="K27" s="206">
        <f>'Data 1987-2017'!GP30</f>
        <v>5.181863729963581E-2</v>
      </c>
      <c r="L27" s="206">
        <f>'Data 1987-2017'!GQ30</f>
        <v>1.7201534699384437E-2</v>
      </c>
      <c r="M27" s="206">
        <f>'Data 1987-2017'!GR30</f>
        <v>10.552812739571102</v>
      </c>
      <c r="O27" s="148">
        <f>'Data 1987-2017'!AI30</f>
        <v>5692</v>
      </c>
      <c r="P27" s="148">
        <f>'Data 1987-2017'!AX30</f>
        <v>9111</v>
      </c>
      <c r="Q27" s="148">
        <f>'Data 1987-2017'!BK30</f>
        <v>13576</v>
      </c>
      <c r="R27" s="148">
        <f>'Data 1987-2017'!BY30</f>
        <v>21770</v>
      </c>
      <c r="S27" s="148">
        <f>'Data 1987-2017'!CL30</f>
        <v>1811</v>
      </c>
      <c r="T27" s="148"/>
      <c r="U27" s="148">
        <f t="shared" si="1"/>
        <v>51960</v>
      </c>
      <c r="V27" s="148">
        <f>'Data 1987-2017'!EL30</f>
        <v>51960</v>
      </c>
      <c r="W27" s="148">
        <f>'Data 1987-2017'!EM30</f>
        <v>55778</v>
      </c>
      <c r="Y27" s="148">
        <f t="shared" si="0"/>
        <v>4792.1744397334942</v>
      </c>
      <c r="Z27" s="148">
        <f>P27*$BC$9</f>
        <v>5648.82</v>
      </c>
      <c r="AA27" s="148">
        <f t="shared" si="17"/>
        <v>6740.8611111111122</v>
      </c>
      <c r="AB27" s="148">
        <f t="shared" si="18"/>
        <v>22892.16494845361</v>
      </c>
      <c r="AC27" s="148">
        <f t="shared" si="19"/>
        <v>1134.602409638554</v>
      </c>
      <c r="AD27" s="148">
        <f t="shared" si="4"/>
        <v>41208.62290893677</v>
      </c>
      <c r="AE27" s="184">
        <f t="shared" si="5"/>
        <v>0.79308358177322502</v>
      </c>
      <c r="AF27" s="148"/>
      <c r="AH27" s="148">
        <f>'Data 1997-2007_NOT USED'!FK30</f>
        <v>55778</v>
      </c>
      <c r="AI27" s="148">
        <f t="shared" si="15"/>
        <v>45235</v>
      </c>
      <c r="AJ27" s="148">
        <f t="shared" si="6"/>
        <v>0.81098282476962247</v>
      </c>
      <c r="AK27" s="13">
        <f t="shared" si="7"/>
        <v>1.0225691760714264</v>
      </c>
      <c r="AL27" s="222">
        <f t="shared" si="8"/>
        <v>10.790981028339274</v>
      </c>
      <c r="AM27" s="13"/>
      <c r="AO27">
        <f t="shared" si="20"/>
        <v>212325</v>
      </c>
      <c r="AP27">
        <f>'Pivot table 2017 (prelim)'!A42</f>
        <v>212325</v>
      </c>
      <c r="AQ27" s="3">
        <f>'Pivot table 2017 (prelim)'!B42</f>
        <v>45235</v>
      </c>
      <c r="AR27" s="3">
        <f>'Pivot table 2017 (prelim)'!C42</f>
        <v>373406</v>
      </c>
      <c r="AS27" s="3"/>
      <c r="AT27" s="217">
        <f t="shared" si="2"/>
        <v>373.40600000000001</v>
      </c>
      <c r="AU27" s="3">
        <f>'Data 1987-2017'!HC30</f>
        <v>369.72199999999998</v>
      </c>
      <c r="AV27" s="3"/>
      <c r="AW27" s="184">
        <f t="shared" si="9"/>
        <v>1.009964243404504</v>
      </c>
      <c r="AX27" s="3"/>
      <c r="AZ27" s="108" t="s">
        <v>467</v>
      </c>
    </row>
    <row r="28" spans="2:54" x14ac:dyDescent="0.2">
      <c r="C28">
        <v>212391</v>
      </c>
      <c r="F28" s="206">
        <f>'Data 1987-2017'!GK31</f>
        <v>4.9766578999999993</v>
      </c>
      <c r="G28" s="206">
        <f>'Data 1987-2017'!GL31</f>
        <v>0</v>
      </c>
      <c r="H28" s="206">
        <f>'Data 1987-2017'!GM31</f>
        <v>0.48935357199278717</v>
      </c>
      <c r="I28" s="206">
        <f>'Data 1987-2017'!GN31</f>
        <v>0</v>
      </c>
      <c r="J28" s="206">
        <f>'Data 1987-2017'!GO31</f>
        <v>69.283499205962514</v>
      </c>
      <c r="K28" s="206">
        <f>'Data 1987-2017'!GP31</f>
        <v>0.11498025031938751</v>
      </c>
      <c r="L28" s="206">
        <f>'Data 1987-2017'!GQ31</f>
        <v>3.9256811267069445</v>
      </c>
      <c r="M28" s="206">
        <f>'Data 1987-2017'!GR31</f>
        <v>74.004398974515581</v>
      </c>
      <c r="O28" s="148">
        <f>'Data 1987-2017'!AI31</f>
        <v>0</v>
      </c>
      <c r="P28" s="148">
        <f>'Data 1987-2017'!AX31</f>
        <v>9231</v>
      </c>
      <c r="Q28" s="148">
        <f>'Data 1987-2017'!BK31</f>
        <v>0</v>
      </c>
      <c r="R28" s="148">
        <f>'Data 1987-2017'!BY31</f>
        <v>150020</v>
      </c>
      <c r="S28" s="148">
        <f>'Data 1987-2017'!CL31</f>
        <v>2955</v>
      </c>
      <c r="T28" s="148"/>
      <c r="U28" s="148">
        <f t="shared" si="1"/>
        <v>162206</v>
      </c>
      <c r="V28" s="148">
        <f>'Data 1987-2017'!EL31</f>
        <v>162206</v>
      </c>
      <c r="W28" s="148">
        <f>'Data 1987-2017'!EM31</f>
        <v>224861</v>
      </c>
      <c r="Y28" s="148">
        <f t="shared" si="0"/>
        <v>0</v>
      </c>
      <c r="Z28" s="148">
        <f>P28*$BC$9</f>
        <v>5723.22</v>
      </c>
      <c r="AA28" s="148">
        <f t="shared" si="17"/>
        <v>0</v>
      </c>
      <c r="AB28" s="148">
        <f t="shared" si="18"/>
        <v>157752.98969072165</v>
      </c>
      <c r="AC28" s="148">
        <f t="shared" si="19"/>
        <v>1851.325301204819</v>
      </c>
      <c r="AD28" s="148">
        <f t="shared" si="4"/>
        <v>165327.53499192646</v>
      </c>
      <c r="AE28" s="184">
        <f t="shared" si="5"/>
        <v>1.0192442634176693</v>
      </c>
      <c r="AF28" s="148"/>
      <c r="AH28" s="148">
        <f>'Data 1997-2007_NOT USED'!FK31</f>
        <v>224861</v>
      </c>
      <c r="AI28" s="148">
        <f t="shared" si="15"/>
        <v>107448</v>
      </c>
      <c r="AJ28" s="148">
        <f t="shared" si="6"/>
        <v>0.47784186675323864</v>
      </c>
      <c r="AK28" s="13">
        <f t="shared" si="7"/>
        <v>0.46881977549813986</v>
      </c>
      <c r="AL28" s="222">
        <f t="shared" si="8"/>
        <v>34.694725713107168</v>
      </c>
      <c r="AM28" s="13"/>
      <c r="AO28">
        <f t="shared" si="20"/>
        <v>212391</v>
      </c>
      <c r="AP28">
        <f>'Pivot table 2017 (prelim)'!A43</f>
        <v>212391</v>
      </c>
      <c r="AQ28" s="3">
        <f>'Pivot table 2017 (prelim)'!B43</f>
        <v>107448</v>
      </c>
      <c r="AR28" s="3">
        <f>'Pivot table 2017 (prelim)'!C43</f>
        <v>986164</v>
      </c>
      <c r="AS28" s="3"/>
      <c r="AT28" s="217">
        <f t="shared" si="2"/>
        <v>986.16399999999999</v>
      </c>
      <c r="AU28" s="3">
        <f>'Data 1987-2017'!HC31</f>
        <v>1458.575</v>
      </c>
      <c r="AV28" s="3"/>
      <c r="AW28" s="184">
        <f t="shared" si="9"/>
        <v>0.67611470099240689</v>
      </c>
      <c r="AX28" s="3"/>
      <c r="AZ28">
        <f>'Pivot table 2017 (prelim)'!A22</f>
        <v>21239</v>
      </c>
      <c r="BA28" s="148">
        <f>'Pivot table 2017 (prelim)'!B22</f>
        <v>192626</v>
      </c>
      <c r="BB28" s="148">
        <f>'Pivot table 2017 (prelim)'!C22</f>
        <v>4234404</v>
      </c>
    </row>
    <row r="29" spans="2:54" x14ac:dyDescent="0.2">
      <c r="C29">
        <v>212392</v>
      </c>
      <c r="F29" s="206">
        <f>'Data 1987-2017'!GK32</f>
        <v>0</v>
      </c>
      <c r="G29" s="206">
        <f>'Data 1987-2017'!GL32</f>
        <v>0</v>
      </c>
      <c r="H29" s="206">
        <f>'Data 1987-2017'!GM32</f>
        <v>1.8778963204715082</v>
      </c>
      <c r="I29" s="206">
        <f>'Data 1987-2017'!GN32</f>
        <v>0</v>
      </c>
      <c r="J29" s="206">
        <f>'Data 1987-2017'!GO32</f>
        <v>0</v>
      </c>
      <c r="K29" s="206">
        <f>'Data 1987-2017'!GP32</f>
        <v>0</v>
      </c>
      <c r="L29" s="206">
        <f>'Data 1987-2017'!GQ32</f>
        <v>0.51041759764239625</v>
      </c>
      <c r="M29" s="206">
        <f>'Data 1987-2017'!GR32</f>
        <v>2.3883139181139046</v>
      </c>
      <c r="O29" s="148">
        <f>'Data 1987-2017'!AI32</f>
        <v>0</v>
      </c>
      <c r="P29" s="148">
        <f>'Data 1987-2017'!AX32</f>
        <v>35424</v>
      </c>
      <c r="Q29" s="148">
        <f>'Data 1987-2017'!BK32</f>
        <v>0</v>
      </c>
      <c r="R29" s="148">
        <f>'Data 1987-2017'!BY32</f>
        <v>0</v>
      </c>
      <c r="S29" s="148">
        <f>'Data 1987-2017'!CL32</f>
        <v>0</v>
      </c>
      <c r="T29" s="148"/>
      <c r="U29" s="148">
        <f t="shared" si="1"/>
        <v>35424</v>
      </c>
      <c r="V29" s="148">
        <f>'Data 1987-2017'!EL32</f>
        <v>35424</v>
      </c>
      <c r="W29" s="148">
        <f>'Data 1987-2017'!EM32</f>
        <v>43495</v>
      </c>
      <c r="Y29" s="148">
        <f t="shared" si="0"/>
        <v>0</v>
      </c>
      <c r="Z29" s="148">
        <f>P29*$BC$9</f>
        <v>21962.880000000001</v>
      </c>
      <c r="AA29" s="148">
        <f t="shared" si="17"/>
        <v>0</v>
      </c>
      <c r="AB29" s="148">
        <f t="shared" si="18"/>
        <v>0</v>
      </c>
      <c r="AC29" s="148">
        <f t="shared" si="19"/>
        <v>0</v>
      </c>
      <c r="AD29" s="148">
        <f t="shared" si="4"/>
        <v>21962.880000000001</v>
      </c>
      <c r="AE29" s="184">
        <f t="shared" si="5"/>
        <v>0.62</v>
      </c>
      <c r="AF29" s="148"/>
      <c r="AG29">
        <f>(AH29/(AH29+AH30))</f>
        <v>0.7508458776412098</v>
      </c>
      <c r="AH29" s="148">
        <f>'Data 1997-2007_NOT USED'!FK32</f>
        <v>43495</v>
      </c>
      <c r="AI29" s="209">
        <f>BA32</f>
        <v>41512.016037149566</v>
      </c>
      <c r="AJ29" s="148">
        <f t="shared" si="6"/>
        <v>0.95440892141969347</v>
      </c>
      <c r="AK29" s="13">
        <f t="shared" si="7"/>
        <v>1.5393692280962799</v>
      </c>
      <c r="AL29" s="222">
        <f t="shared" si="8"/>
        <v>3.6764969525786029</v>
      </c>
      <c r="AM29" s="13"/>
      <c r="AO29">
        <f t="shared" si="20"/>
        <v>212392</v>
      </c>
      <c r="AP29">
        <f>'Pivot table 2017 (prelim)'!A44</f>
        <v>212392</v>
      </c>
      <c r="AQ29" s="3">
        <f>'Pivot table 2017 (prelim)'!B44</f>
        <v>0</v>
      </c>
      <c r="AR29" s="3">
        <f>'Pivot table 2017 (prelim)'!C44</f>
        <v>2686387</v>
      </c>
      <c r="AS29" s="3"/>
      <c r="AT29" s="217">
        <f t="shared" si="2"/>
        <v>2686.3870000000002</v>
      </c>
      <c r="AU29" s="3">
        <f>'Data 1987-2017'!HC32</f>
        <v>2648.06422992126</v>
      </c>
      <c r="AV29" s="3"/>
      <c r="AW29" s="184">
        <f t="shared" si="9"/>
        <v>1.0144719941630267</v>
      </c>
      <c r="AX29" s="3"/>
      <c r="AZ29">
        <v>21391</v>
      </c>
      <c r="BA29" s="148">
        <f>AQ28</f>
        <v>107448</v>
      </c>
      <c r="BB29" s="148">
        <f>AR28</f>
        <v>986164</v>
      </c>
    </row>
    <row r="30" spans="2:54" x14ac:dyDescent="0.2">
      <c r="C30">
        <v>212393</v>
      </c>
      <c r="F30" s="206">
        <f>'Data 1987-2017'!GK33</f>
        <v>0</v>
      </c>
      <c r="G30" s="206">
        <f>'Data 1987-2017'!GL33</f>
        <v>0</v>
      </c>
      <c r="H30" s="206">
        <f>'Data 1987-2017'!GM33</f>
        <v>0.34183267238778886</v>
      </c>
      <c r="I30" s="206">
        <f>'Data 1987-2017'!GN33</f>
        <v>0</v>
      </c>
      <c r="J30" s="206">
        <f>'Data 1987-2017'!GO33</f>
        <v>0.55668849484536065</v>
      </c>
      <c r="K30" s="206">
        <f>'Data 1987-2017'!GP33</f>
        <v>0.12444634229698853</v>
      </c>
      <c r="L30" s="206">
        <f>'Data 1987-2017'!GQ33</f>
        <v>3.8576971200825393E-2</v>
      </c>
      <c r="M30" s="206">
        <f>'Data 1987-2017'!GR33</f>
        <v>1.074347625719795</v>
      </c>
      <c r="O30" s="148">
        <f>'Data 1987-2017'!AI33</f>
        <v>0</v>
      </c>
      <c r="P30" s="148">
        <f>'Data 1987-2017'!AX33</f>
        <v>8813</v>
      </c>
      <c r="Q30" s="148">
        <f>'Data 1987-2017'!BK33</f>
        <v>0</v>
      </c>
      <c r="R30" s="148">
        <f>'Data 1987-2017'!BY33</f>
        <v>1764</v>
      </c>
      <c r="S30" s="148">
        <f>'Data 1987-2017'!CL33</f>
        <v>3074</v>
      </c>
      <c r="T30" s="148"/>
      <c r="U30" s="148">
        <f t="shared" si="1"/>
        <v>13651</v>
      </c>
      <c r="V30" s="148">
        <f>'Data 1987-2017'!EL33</f>
        <v>13651</v>
      </c>
      <c r="W30" s="148">
        <f>'Data 1987-2017'!EM33</f>
        <v>14433</v>
      </c>
      <c r="Y30" s="148">
        <f t="shared" si="0"/>
        <v>0</v>
      </c>
      <c r="Z30" s="148">
        <f>P30*$BC$9</f>
        <v>5464.06</v>
      </c>
      <c r="AA30" s="148">
        <f t="shared" si="17"/>
        <v>0</v>
      </c>
      <c r="AB30" s="148">
        <f t="shared" si="18"/>
        <v>1854.9278350515465</v>
      </c>
      <c r="AC30" s="148">
        <f t="shared" si="19"/>
        <v>1925.8795180722889</v>
      </c>
      <c r="AD30" s="148">
        <f t="shared" si="4"/>
        <v>9244.8673531238346</v>
      </c>
      <c r="AE30" s="184">
        <f t="shared" si="5"/>
        <v>0.67723004564675371</v>
      </c>
      <c r="AF30" s="148"/>
      <c r="AG30">
        <f>1-AG29</f>
        <v>0.2491541223587902</v>
      </c>
      <c r="AH30" s="148">
        <f>'Data 1997-2007_NOT USED'!FK33</f>
        <v>14433</v>
      </c>
      <c r="AI30" s="209">
        <f>BA33</f>
        <v>10342.889923080023</v>
      </c>
      <c r="AJ30" s="148">
        <f t="shared" si="6"/>
        <v>0.71661400423197008</v>
      </c>
      <c r="AK30" s="13">
        <f t="shared" si="7"/>
        <v>1.0581544762202697</v>
      </c>
      <c r="AL30" s="222">
        <f t="shared" si="8"/>
        <v>1.1368257491720202</v>
      </c>
      <c r="AM30" s="13"/>
      <c r="AO30">
        <f t="shared" si="20"/>
        <v>212393</v>
      </c>
      <c r="AP30">
        <f>'Pivot table 2017 (prelim)'!A45</f>
        <v>212393</v>
      </c>
      <c r="AQ30" s="3">
        <f>'Pivot table 2017 (prelim)'!B45</f>
        <v>0</v>
      </c>
      <c r="AR30" s="3">
        <f>'Pivot table 2017 (prelim)'!C45</f>
        <v>223002</v>
      </c>
      <c r="AS30" s="3"/>
      <c r="AT30" s="217">
        <f t="shared" si="2"/>
        <v>223.00200000000001</v>
      </c>
      <c r="AU30" s="3">
        <f>'Data 1987-2017'!HC33</f>
        <v>255.98938869077944</v>
      </c>
      <c r="AV30" s="3"/>
      <c r="AW30" s="184">
        <f t="shared" si="9"/>
        <v>0.87113767152814947</v>
      </c>
      <c r="AX30" s="3"/>
      <c r="AZ30">
        <v>21399</v>
      </c>
      <c r="BA30" s="148">
        <f>AQ31</f>
        <v>29891</v>
      </c>
      <c r="BB30" s="148">
        <f>AR31</f>
        <v>338851</v>
      </c>
    </row>
    <row r="31" spans="2:54" x14ac:dyDescent="0.2">
      <c r="C31">
        <v>212399</v>
      </c>
      <c r="F31" s="206">
        <f>'Data 1987-2017'!GK34</f>
        <v>0</v>
      </c>
      <c r="G31" s="206">
        <f>'Data 1987-2017'!GL34</f>
        <v>0.19033391883706841</v>
      </c>
      <c r="H31" s="206">
        <f>'Data 1987-2017'!GM34</f>
        <v>0.8093759130165018</v>
      </c>
      <c r="I31" s="206">
        <f>'Data 1987-2017'!GN34</f>
        <v>0.27478310280993301</v>
      </c>
      <c r="J31" s="206">
        <f>'Data 1987-2017'!GO34</f>
        <v>4.337730933069329</v>
      </c>
      <c r="K31" s="206">
        <f>'Data 1987-2017'!GP34</f>
        <v>0.16385172050590213</v>
      </c>
      <c r="L31" s="206">
        <f>'Data 1987-2017'!GQ34</f>
        <v>2.7826012013710121E-2</v>
      </c>
      <c r="M31" s="206">
        <f>'Data 1987-2017'!GR34</f>
        <v>6.0993281928421768</v>
      </c>
      <c r="O31" s="148">
        <f>'Data 1987-2017'!AI34</f>
        <v>606</v>
      </c>
      <c r="P31" s="148">
        <f>'Data 1987-2017'!AX34</f>
        <v>15712</v>
      </c>
      <c r="Q31" s="148">
        <f>'Data 1987-2017'!BK34</f>
        <v>3776</v>
      </c>
      <c r="R31" s="148">
        <f>'Data 1987-2017'!BY34</f>
        <v>12032</v>
      </c>
      <c r="S31" s="148">
        <f>'Data 1987-2017'!CL34</f>
        <v>4211</v>
      </c>
      <c r="T31" s="148"/>
      <c r="U31" s="148">
        <f t="shared" si="1"/>
        <v>36337</v>
      </c>
      <c r="V31" s="148">
        <f>'Data 1987-2017'!EL34</f>
        <v>36337</v>
      </c>
      <c r="W31" s="148">
        <f>'Data 1987-2017'!EM34</f>
        <v>38649</v>
      </c>
      <c r="Y31" s="148">
        <f t="shared" si="0"/>
        <v>510.1998788612961</v>
      </c>
      <c r="Z31" s="148">
        <f>P31*$BC$9</f>
        <v>9741.44</v>
      </c>
      <c r="AA31" s="148">
        <f t="shared" si="17"/>
        <v>1874.8888888888891</v>
      </c>
      <c r="AB31" s="148">
        <f t="shared" si="18"/>
        <v>12652.206185567011</v>
      </c>
      <c r="AC31" s="148">
        <f t="shared" si="19"/>
        <v>2638.2168674698792</v>
      </c>
      <c r="AD31" s="148">
        <f t="shared" si="4"/>
        <v>27416.951820787075</v>
      </c>
      <c r="AE31" s="184">
        <f t="shared" si="5"/>
        <v>0.75451886013669467</v>
      </c>
      <c r="AF31" s="148"/>
      <c r="AH31" s="148">
        <f>'Data 1997-2007_NOT USED'!FK34</f>
        <v>38649</v>
      </c>
      <c r="AI31" s="148">
        <f t="shared" ref="AI31:AI37" si="21">AQ31</f>
        <v>29891</v>
      </c>
      <c r="AJ31" s="148">
        <f t="shared" si="6"/>
        <v>0.7733964656265363</v>
      </c>
      <c r="AK31" s="13">
        <f t="shared" si="7"/>
        <v>1.0250193951234321</v>
      </c>
      <c r="AL31" s="222">
        <f t="shared" si="8"/>
        <v>6.2519296948863845</v>
      </c>
      <c r="AM31" s="13"/>
      <c r="AO31">
        <f t="shared" si="20"/>
        <v>212399</v>
      </c>
      <c r="AP31">
        <f>'Pivot table 2017 (prelim)'!A46</f>
        <v>212399</v>
      </c>
      <c r="AQ31" s="3">
        <f>'Pivot table 2017 (prelim)'!B46</f>
        <v>29891</v>
      </c>
      <c r="AR31" s="3">
        <f>'Pivot table 2017 (prelim)'!C46</f>
        <v>338851</v>
      </c>
      <c r="AS31" s="3"/>
      <c r="AT31" s="217">
        <f t="shared" si="2"/>
        <v>338.851</v>
      </c>
      <c r="AU31" s="3">
        <f>'Data 1987-2017'!HC34</f>
        <v>373.77779775280902</v>
      </c>
      <c r="AV31" s="3"/>
      <c r="AW31" s="184">
        <f t="shared" si="9"/>
        <v>0.90655732372871645</v>
      </c>
      <c r="AX31" s="3"/>
      <c r="AZ31" s="108" t="s">
        <v>468</v>
      </c>
      <c r="BA31" s="148">
        <f>BA28-BA29-BA30</f>
        <v>55287</v>
      </c>
      <c r="BB31" s="148">
        <f>BB28-BB29-BB30</f>
        <v>2909389</v>
      </c>
    </row>
    <row r="32" spans="2:54" x14ac:dyDescent="0.2">
      <c r="F32" s="206">
        <f>'Data 1987-2017'!GK35</f>
        <v>0</v>
      </c>
      <c r="G32" s="206">
        <f>'Data 1987-2017'!GL35</f>
        <v>0</v>
      </c>
      <c r="H32" s="206">
        <f>'Data 1987-2017'!GM35</f>
        <v>0</v>
      </c>
      <c r="I32" s="206">
        <f>'Data 1987-2017'!GN35</f>
        <v>0</v>
      </c>
      <c r="J32" s="206">
        <f>'Data 1987-2017'!GO35</f>
        <v>0</v>
      </c>
      <c r="K32" s="206">
        <f>'Data 1987-2017'!GP35</f>
        <v>0</v>
      </c>
      <c r="L32" s="206">
        <f>'Data 1987-2017'!GQ35</f>
        <v>0</v>
      </c>
      <c r="M32" s="206">
        <f>'Data 1987-2017'!GR35</f>
        <v>0</v>
      </c>
      <c r="O32" s="148">
        <f>'Data 1987-2017'!AI35</f>
        <v>0</v>
      </c>
      <c r="P32" s="148">
        <f>'Data 1987-2017'!AX35</f>
        <v>0</v>
      </c>
      <c r="Q32" s="148">
        <f>'Data 1987-2017'!BK35</f>
        <v>0</v>
      </c>
      <c r="R32" s="148">
        <f>'Data 1987-2017'!BY35</f>
        <v>0</v>
      </c>
      <c r="S32" s="148">
        <f>'Data 1987-2017'!CL35</f>
        <v>0</v>
      </c>
      <c r="T32" s="148"/>
      <c r="U32" s="148">
        <f t="shared" si="1"/>
        <v>0</v>
      </c>
      <c r="V32" s="148">
        <f>'Data 1987-2017'!EL35</f>
        <v>0</v>
      </c>
      <c r="W32" s="148">
        <f>'Data 1987-2017'!EM35</f>
        <v>0</v>
      </c>
      <c r="Y32" s="148"/>
      <c r="Z32" s="148"/>
      <c r="AA32" s="148"/>
      <c r="AB32" s="148"/>
      <c r="AC32" s="148"/>
      <c r="AD32" s="148"/>
      <c r="AE32" s="184"/>
      <c r="AF32" s="148"/>
      <c r="AH32" s="148">
        <f>'Data 1997-2007_NOT USED'!FK35</f>
        <v>0</v>
      </c>
      <c r="AI32" s="148"/>
      <c r="AJ32" s="148"/>
      <c r="AK32" s="13"/>
      <c r="AL32" s="222"/>
      <c r="AM32" s="13"/>
      <c r="AQ32" s="3"/>
      <c r="AR32" s="3"/>
      <c r="AS32" s="3"/>
      <c r="AT32" s="217"/>
      <c r="AU32" s="3"/>
      <c r="AV32" s="3"/>
      <c r="AW32" s="184"/>
      <c r="AX32" s="3"/>
      <c r="AZ32" s="108" t="s">
        <v>469</v>
      </c>
      <c r="BA32" s="148">
        <f>$AG29*BA31</f>
        <v>41512.016037149566</v>
      </c>
      <c r="BB32" s="148">
        <f>$AG29*BB31</f>
        <v>2184502.7371046818</v>
      </c>
    </row>
    <row r="33" spans="3:54" x14ac:dyDescent="0.2">
      <c r="C33">
        <v>213111</v>
      </c>
      <c r="F33" s="206">
        <f>'Data 1987-2017'!GK36</f>
        <v>0.94635914399999987</v>
      </c>
      <c r="G33" s="206">
        <f>'Data 1987-2017'!GL36</f>
        <v>0</v>
      </c>
      <c r="H33" s="206">
        <f>'Data 1987-2017'!GM36</f>
        <v>11.546267996204509</v>
      </c>
      <c r="I33" s="206">
        <f>'Data 1987-2017'!GN36</f>
        <v>4.8722727231857546</v>
      </c>
      <c r="J33" s="206">
        <f>'Data 1987-2017'!GO36</f>
        <v>0</v>
      </c>
      <c r="K33" s="206">
        <f>'Data 1987-2017'!GP36</f>
        <v>7.6132489873914313</v>
      </c>
      <c r="L33" s="206">
        <f>'Data 1987-2017'!GQ36</f>
        <v>0</v>
      </c>
      <c r="M33" s="206">
        <f>'Data 1987-2017'!GR36</f>
        <v>24.031789706781694</v>
      </c>
      <c r="O33" s="148">
        <f>'Data 1987-2017'!AI36</f>
        <v>0</v>
      </c>
      <c r="P33" s="148">
        <f>'Data 1987-2017'!AX36</f>
        <v>292092</v>
      </c>
      <c r="Q33" s="148">
        <f>'Data 1987-2017'!BK36</f>
        <v>125574</v>
      </c>
      <c r="R33" s="148">
        <f>'Data 1987-2017'!BY36</f>
        <v>0</v>
      </c>
      <c r="S33" s="148">
        <f>'Data 1987-2017'!CL36</f>
        <v>195661</v>
      </c>
      <c r="T33" s="148"/>
      <c r="U33" s="148">
        <f t="shared" si="1"/>
        <v>613327</v>
      </c>
      <c r="V33" s="148">
        <f>'Data 1987-2017'!EL36</f>
        <v>613327</v>
      </c>
      <c r="W33" s="148">
        <f>'Data 1987-2017'!EM36</f>
        <v>638484</v>
      </c>
      <c r="Y33" s="148">
        <f>O33*$BB$5</f>
        <v>0</v>
      </c>
      <c r="Z33" s="148">
        <f>P33*$BC$9</f>
        <v>181097.04</v>
      </c>
      <c r="AA33" s="148">
        <f>Q33*$BD$5</f>
        <v>62350.979166666679</v>
      </c>
      <c r="AB33" s="148">
        <f>R33*$BE$5</f>
        <v>0</v>
      </c>
      <c r="AC33" s="148">
        <f>S33*$BF$5</f>
        <v>122582.79518072287</v>
      </c>
      <c r="AD33" s="148">
        <f t="shared" si="4"/>
        <v>366030.81434738956</v>
      </c>
      <c r="AE33" s="184">
        <f t="shared" si="5"/>
        <v>0.59679553378114703</v>
      </c>
      <c r="AF33" s="148"/>
      <c r="AH33" s="148">
        <f>'Data 1997-2007_NOT USED'!FK36</f>
        <v>638484</v>
      </c>
      <c r="AI33" s="148">
        <f t="shared" si="21"/>
        <v>186379</v>
      </c>
      <c r="AJ33" s="148">
        <f t="shared" si="6"/>
        <v>0.2919086461054623</v>
      </c>
      <c r="AK33" s="13">
        <f t="shared" si="7"/>
        <v>0.48912672696459747</v>
      </c>
      <c r="AL33" s="222">
        <f t="shared" si="8"/>
        <v>11.754590642379634</v>
      </c>
      <c r="AM33" s="13"/>
      <c r="AO33">
        <f>C33</f>
        <v>213111</v>
      </c>
      <c r="AP33">
        <f>'Pivot table 2017 (prelim)'!A47</f>
        <v>213111</v>
      </c>
      <c r="AQ33" s="3">
        <f>'Pivot table 2017 (prelim)'!B47</f>
        <v>186379</v>
      </c>
      <c r="AR33" s="3">
        <f>'Pivot table 2017 (prelim)'!C47</f>
        <v>1840495</v>
      </c>
      <c r="AS33" s="3"/>
      <c r="AT33" s="217">
        <f t="shared" si="2"/>
        <v>1840.4950000000001</v>
      </c>
      <c r="AU33" s="3">
        <f>'Data 1987-2017'!HC36</f>
        <v>277.36200000000002</v>
      </c>
      <c r="AV33" s="3"/>
      <c r="AW33" s="184">
        <f t="shared" si="9"/>
        <v>6.6357143372199507</v>
      </c>
      <c r="AX33" s="3"/>
      <c r="AZ33" s="108" t="s">
        <v>470</v>
      </c>
      <c r="BA33" s="148">
        <f>$AG30*BA32</f>
        <v>10342.889923080023</v>
      </c>
      <c r="BB33" s="148">
        <f>$AG30*BB32</f>
        <v>544277.862253692</v>
      </c>
    </row>
    <row r="34" spans="3:54" x14ac:dyDescent="0.2">
      <c r="C34">
        <v>213112</v>
      </c>
      <c r="F34" s="206">
        <f>'Data 1987-2017'!GK37</f>
        <v>4.5050922039999994</v>
      </c>
      <c r="G34" s="206">
        <f>'Data 1987-2017'!GL37</f>
        <v>0.43249142943670504</v>
      </c>
      <c r="H34" s="206">
        <f>'Data 1987-2017'!GM37</f>
        <v>24.275778145317325</v>
      </c>
      <c r="I34" s="206">
        <f>'Data 1987-2017'!GN37</f>
        <v>18.702498405656154</v>
      </c>
      <c r="J34" s="206">
        <f>'Data 1987-2017'!GO37</f>
        <v>42.371075450595228</v>
      </c>
      <c r="K34" s="206">
        <f>'Data 1987-2017'!GP37</f>
        <v>24.721687668417101</v>
      </c>
      <c r="L34" s="206">
        <f>'Data 1987-2017'!GQ37</f>
        <v>0</v>
      </c>
      <c r="M34" s="206">
        <f>'Data 1987-2017'!GR37</f>
        <v>110.75391257730762</v>
      </c>
      <c r="O34" s="148">
        <f>'Data 1987-2017'!AI37</f>
        <v>1377</v>
      </c>
      <c r="P34" s="148">
        <f>'Data 1987-2017'!AX37</f>
        <v>700716</v>
      </c>
      <c r="Q34" s="148">
        <f>'Data 1987-2017'!BK37</f>
        <v>425421</v>
      </c>
      <c r="R34" s="148">
        <f>'Data 1987-2017'!BY37</f>
        <v>84702</v>
      </c>
      <c r="S34" s="148">
        <f>'Data 1987-2017'!CL37</f>
        <v>635349</v>
      </c>
      <c r="T34" s="148"/>
      <c r="U34" s="148">
        <f t="shared" si="1"/>
        <v>1847565</v>
      </c>
      <c r="V34" s="148">
        <f>'Data 1987-2017'!EL37</f>
        <v>1847565</v>
      </c>
      <c r="W34" s="148">
        <f>'Data 1987-2017'!EM37</f>
        <v>1867120</v>
      </c>
      <c r="Y34" s="148">
        <f>O34*$BB$5</f>
        <v>1159.3155663234402</v>
      </c>
      <c r="Z34" s="148">
        <f>P34*$BC$9</f>
        <v>434443.92</v>
      </c>
      <c r="AA34" s="148">
        <f>Q34*$BD$5</f>
        <v>211233.34375000003</v>
      </c>
      <c r="AB34" s="148">
        <f>R34*$BE$5</f>
        <v>89068.082474226801</v>
      </c>
      <c r="AC34" s="148">
        <f>S34*$BF$5</f>
        <v>398049.97590361442</v>
      </c>
      <c r="AD34" s="148">
        <f t="shared" si="4"/>
        <v>1133954.6376941646</v>
      </c>
      <c r="AE34" s="184">
        <f t="shared" si="5"/>
        <v>0.61375628878776367</v>
      </c>
      <c r="AF34" s="148"/>
      <c r="AH34" s="148">
        <f>'Data 1997-2007_NOT USED'!FK37</f>
        <v>1867120</v>
      </c>
      <c r="AI34" s="148">
        <f t="shared" si="21"/>
        <v>1281838</v>
      </c>
      <c r="AJ34" s="148">
        <f t="shared" si="6"/>
        <v>0.68653219932302156</v>
      </c>
      <c r="AK34" s="13">
        <f t="shared" si="7"/>
        <v>1.1185746066716453</v>
      </c>
      <c r="AL34" s="222">
        <f t="shared" si="8"/>
        <v>123.88651419850765</v>
      </c>
      <c r="AM34" s="13"/>
      <c r="AO34">
        <f>C34</f>
        <v>213112</v>
      </c>
      <c r="AP34">
        <f>'Pivot table 2017 (prelim)'!A48</f>
        <v>213112</v>
      </c>
      <c r="AQ34" s="3">
        <f>'Pivot table 2017 (prelim)'!B48</f>
        <v>1281838</v>
      </c>
      <c r="AR34" s="3">
        <f>'Pivot table 2017 (prelim)'!C48</f>
        <v>6545885</v>
      </c>
      <c r="AS34" s="3"/>
      <c r="AT34" s="217">
        <f t="shared" si="2"/>
        <v>6545.8850000000002</v>
      </c>
      <c r="AU34" s="3">
        <f>'Data 1987-2017'!HC37</f>
        <v>1320.367</v>
      </c>
      <c r="AV34" s="3"/>
      <c r="AW34" s="184">
        <f t="shared" si="9"/>
        <v>4.9576254177815713</v>
      </c>
      <c r="AX34" s="3"/>
    </row>
    <row r="35" spans="3:54" x14ac:dyDescent="0.2">
      <c r="C35">
        <v>213113</v>
      </c>
      <c r="F35" s="206">
        <f>'Data 1987-2017'!GK40</f>
        <v>0.5381099319999999</v>
      </c>
      <c r="G35" s="206">
        <f>'Data 1987-2017'!GL40</f>
        <v>0.36276514233797702</v>
      </c>
      <c r="H35" s="206">
        <f>'Data 1987-2017'!GM40</f>
        <v>2.3037138301634128</v>
      </c>
      <c r="I35" s="206">
        <f>'Data 1987-2017'!GN40</f>
        <v>0.65788024433992054</v>
      </c>
      <c r="J35" s="206">
        <f>'Data 1987-2017'!GO40</f>
        <v>7.6553543814432995E-2</v>
      </c>
      <c r="K35" s="206">
        <f>'Data 1987-2017'!GP40</f>
        <v>0.79758550627641467</v>
      </c>
      <c r="L35" s="206">
        <f>'Data 1987-2017'!GQ40</f>
        <v>0</v>
      </c>
      <c r="M35" s="206">
        <f>'Data 1987-2017'!GR40</f>
        <v>4.3193389838630631</v>
      </c>
      <c r="O35" s="148">
        <f>'Data 1987-2017'!AI40</f>
        <v>1155</v>
      </c>
      <c r="P35" s="148">
        <f>'Data 1987-2017'!AX40</f>
        <v>61063</v>
      </c>
      <c r="Q35" s="148">
        <f>'Data 1987-2017'!BK40</f>
        <v>19995</v>
      </c>
      <c r="R35" s="148">
        <f>'Data 1987-2017'!BY40</f>
        <v>345</v>
      </c>
      <c r="S35" s="148">
        <f>'Data 1987-2017'!CL40</f>
        <v>20498</v>
      </c>
      <c r="T35" s="148"/>
      <c r="U35" s="148">
        <f t="shared" si="1"/>
        <v>103056</v>
      </c>
      <c r="V35" s="148">
        <f>'Data 1987-2017'!EL40</f>
        <v>103056</v>
      </c>
      <c r="W35" s="148">
        <f>'Data 1987-2017'!EM40</f>
        <v>106982</v>
      </c>
      <c r="Y35" s="148">
        <f>O35*$BB$5</f>
        <v>972.41066020593564</v>
      </c>
      <c r="Z35" s="148">
        <f>P35*$BC$9</f>
        <v>37859.06</v>
      </c>
      <c r="AA35" s="148">
        <f>Q35*$BD$5</f>
        <v>9928.0729166666679</v>
      </c>
      <c r="AB35" s="148">
        <f>R35*$BE$5</f>
        <v>362.78350515463922</v>
      </c>
      <c r="AC35" s="148">
        <f>S35*$BF$5</f>
        <v>12842.120481927708</v>
      </c>
      <c r="AD35" s="148">
        <f t="shared" si="4"/>
        <v>61964.447563954949</v>
      </c>
      <c r="AE35" s="184">
        <f t="shared" si="5"/>
        <v>0.60126967439018542</v>
      </c>
      <c r="AF35" s="148"/>
      <c r="AH35" s="148">
        <f>'Data 1997-2007_NOT USED'!FK38</f>
        <v>106982</v>
      </c>
      <c r="AI35" s="148">
        <f t="shared" si="21"/>
        <v>22202</v>
      </c>
      <c r="AJ35" s="148">
        <f t="shared" si="6"/>
        <v>0.20753023873174928</v>
      </c>
      <c r="AK35" s="13">
        <f t="shared" si="7"/>
        <v>0.3451533439504143</v>
      </c>
      <c r="AL35" s="222">
        <f t="shared" si="8"/>
        <v>1.4908342939357209</v>
      </c>
      <c r="AM35" s="13"/>
      <c r="AO35">
        <f>C35</f>
        <v>213113</v>
      </c>
      <c r="AP35">
        <f>'Pivot table 2017 (prelim)'!A49</f>
        <v>213113</v>
      </c>
      <c r="AQ35" s="3">
        <f>'Pivot table 2017 (prelim)'!B49</f>
        <v>22202</v>
      </c>
      <c r="AR35" s="3">
        <f>'Pivot table 2017 (prelim)'!C49</f>
        <v>144398</v>
      </c>
      <c r="AS35" s="3"/>
      <c r="AT35" s="217">
        <f t="shared" si="2"/>
        <v>144.398</v>
      </c>
      <c r="AU35" s="3">
        <f>'Data 1987-2017'!HC40</f>
        <v>157.71100000000001</v>
      </c>
      <c r="AV35" s="3"/>
      <c r="AW35" s="184">
        <f t="shared" si="9"/>
        <v>0.9155861036960008</v>
      </c>
      <c r="AX35" s="3"/>
    </row>
    <row r="36" spans="3:54" x14ac:dyDescent="0.2">
      <c r="C36">
        <v>213114</v>
      </c>
      <c r="F36" s="206">
        <f>'Data 1987-2017'!GK41</f>
        <v>0.35994211599999998</v>
      </c>
      <c r="G36" s="206">
        <f>'Data 1987-2017'!GL41</f>
        <v>0</v>
      </c>
      <c r="H36" s="206">
        <f>'Data 1987-2017'!GM41</f>
        <v>0.6101747828406805</v>
      </c>
      <c r="I36" s="206">
        <f>'Data 1987-2017'!GN41</f>
        <v>0.20821096549562249</v>
      </c>
      <c r="J36" s="206">
        <f>'Data 1987-2017'!GO41</f>
        <v>0.27793092783505152</v>
      </c>
      <c r="K36" s="206">
        <f>'Data 1987-2017'!GP41</f>
        <v>0.32692523288781516</v>
      </c>
      <c r="L36" s="206">
        <f>'Data 1987-2017'!GQ41</f>
        <v>0</v>
      </c>
      <c r="M36" s="206">
        <f>'Data 1987-2017'!GR41</f>
        <v>1.4232419090591697</v>
      </c>
      <c r="O36" s="148">
        <f>'Data 1987-2017'!AI41</f>
        <v>0</v>
      </c>
      <c r="P36" s="148">
        <f>'Data 1987-2017'!AX41</f>
        <v>16878</v>
      </c>
      <c r="Q36" s="148">
        <f>'Data 1987-2017'!BK41</f>
        <v>3639</v>
      </c>
      <c r="R36" s="148">
        <f>'Data 1987-2017'!BY41</f>
        <v>1049</v>
      </c>
      <c r="S36" s="148">
        <f>'Data 1987-2017'!CL41</f>
        <v>8402</v>
      </c>
      <c r="T36" s="148"/>
      <c r="U36" s="148">
        <f t="shared" si="1"/>
        <v>29968</v>
      </c>
      <c r="V36" s="148">
        <f>'Data 1987-2017'!EL41</f>
        <v>29968</v>
      </c>
      <c r="W36" s="148">
        <f>'Data 1987-2017'!EM41</f>
        <v>34393</v>
      </c>
      <c r="Y36" s="148">
        <f>O36*$BB$5</f>
        <v>0</v>
      </c>
      <c r="Z36" s="148">
        <f>P36*$BC$9</f>
        <v>10464.36</v>
      </c>
      <c r="AA36" s="148">
        <f>Q36*$BD$5</f>
        <v>1806.8645833333335</v>
      </c>
      <c r="AB36" s="148">
        <f>R36*$BE$5</f>
        <v>1103.0721649484537</v>
      </c>
      <c r="AC36" s="148">
        <f>S36*$BF$5</f>
        <v>5263.9036144578304</v>
      </c>
      <c r="AD36" s="148">
        <f t="shared" si="4"/>
        <v>18638.200362739619</v>
      </c>
      <c r="AE36" s="184">
        <f t="shared" si="5"/>
        <v>0.62193674461891413</v>
      </c>
      <c r="AF36" s="148"/>
      <c r="AH36" s="148">
        <f>'Data 1997-2007_NOT USED'!FK39</f>
        <v>34393</v>
      </c>
      <c r="AI36" s="148">
        <f t="shared" si="21"/>
        <v>14255</v>
      </c>
      <c r="AJ36" s="148">
        <f t="shared" si="6"/>
        <v>0.41447387549792108</v>
      </c>
      <c r="AK36" s="13">
        <f t="shared" si="7"/>
        <v>0.6664244862263059</v>
      </c>
      <c r="AL36" s="222">
        <f t="shared" si="8"/>
        <v>0.94848325802050393</v>
      </c>
      <c r="AM36" s="13"/>
      <c r="AO36">
        <f>C36</f>
        <v>213114</v>
      </c>
      <c r="AP36">
        <f>'Pivot table 2017 (prelim)'!A50</f>
        <v>213114</v>
      </c>
      <c r="AQ36" s="3">
        <f>'Pivot table 2017 (prelim)'!B50</f>
        <v>14255</v>
      </c>
      <c r="AR36" s="3">
        <f>'Pivot table 2017 (prelim)'!C50</f>
        <v>72338</v>
      </c>
      <c r="AS36" s="3"/>
      <c r="AT36" s="217">
        <f t="shared" si="2"/>
        <v>72.338000000000008</v>
      </c>
      <c r="AU36" s="213">
        <f>'Data 1987-2017'!HC41</f>
        <v>105.49300000000001</v>
      </c>
      <c r="AW36" s="184">
        <f t="shared" si="9"/>
        <v>0.68571374403988894</v>
      </c>
    </row>
    <row r="37" spans="3:54" x14ac:dyDescent="0.2">
      <c r="C37">
        <v>213115</v>
      </c>
      <c r="F37" s="206">
        <f>'Data 1987-2017'!GK42</f>
        <v>0.11692241599999999</v>
      </c>
      <c r="G37" s="206">
        <f>'Data 1987-2017'!GL42</f>
        <v>0</v>
      </c>
      <c r="H37" s="206">
        <f>'Data 1987-2017'!GM42</f>
        <v>0.87294988771908211</v>
      </c>
      <c r="I37" s="206">
        <f>'Data 1987-2017'!GN42</f>
        <v>0.14623261139812621</v>
      </c>
      <c r="J37" s="206">
        <f>'Data 1987-2017'!GO42</f>
        <v>0</v>
      </c>
      <c r="K37" s="206">
        <f>'Data 1987-2017'!GP42</f>
        <v>0.38894842036974531</v>
      </c>
      <c r="L37" s="206">
        <f>'Data 1987-2017'!GQ42</f>
        <v>0</v>
      </c>
      <c r="M37" s="206">
        <f>'Data 1987-2017'!GR42</f>
        <v>1.4081309194869536</v>
      </c>
      <c r="O37" s="148">
        <f>'Data 1987-2017'!AI42</f>
        <v>0</v>
      </c>
      <c r="P37" s="148">
        <f>'Data 1987-2017'!AX42</f>
        <v>24170</v>
      </c>
      <c r="Q37" s="148">
        <f>'Data 1987-2017'!BK42</f>
        <v>4178</v>
      </c>
      <c r="R37" s="148">
        <f>'Data 1987-2017'!BY42</f>
        <v>0</v>
      </c>
      <c r="S37" s="148">
        <f>'Data 1987-2017'!CL42</f>
        <v>9996</v>
      </c>
      <c r="T37" s="148"/>
      <c r="U37" s="148">
        <f t="shared" si="1"/>
        <v>38344</v>
      </c>
      <c r="V37" s="148">
        <f>'Data 1987-2017'!EL42</f>
        <v>38344</v>
      </c>
      <c r="W37" s="148">
        <f>'Data 1987-2017'!EM42</f>
        <v>47458</v>
      </c>
      <c r="Y37" s="148">
        <f>O37*$BB$5</f>
        <v>0</v>
      </c>
      <c r="Z37" s="148">
        <f>P37*$BC$9</f>
        <v>14985.4</v>
      </c>
      <c r="AA37" s="148">
        <f>Q37*$BD$5</f>
        <v>2074.4930555555557</v>
      </c>
      <c r="AB37" s="148">
        <f>R37*$BE$5</f>
        <v>0</v>
      </c>
      <c r="AC37" s="148">
        <f>S37*$BF$5</f>
        <v>6262.5542168674692</v>
      </c>
      <c r="AD37" s="148">
        <f t="shared" si="4"/>
        <v>23322.447272423025</v>
      </c>
      <c r="AE37" s="184">
        <f t="shared" si="5"/>
        <v>0.60824241791213818</v>
      </c>
      <c r="AF37" s="148"/>
      <c r="AH37" s="148">
        <f>'Data 1997-2007_NOT USED'!FK40</f>
        <v>47458</v>
      </c>
      <c r="AI37" s="148">
        <f t="shared" si="21"/>
        <v>20963</v>
      </c>
      <c r="AJ37" s="148">
        <f t="shared" si="6"/>
        <v>0.44171688651017743</v>
      </c>
      <c r="AK37" s="13">
        <f t="shared" si="7"/>
        <v>0.72621848378549669</v>
      </c>
      <c r="AL37" s="222">
        <f t="shared" si="8"/>
        <v>1.0226107013212928</v>
      </c>
      <c r="AM37" s="13"/>
      <c r="AO37">
        <f>C37</f>
        <v>213115</v>
      </c>
      <c r="AP37">
        <f>'Pivot table 2017 (prelim)'!A51</f>
        <v>213115</v>
      </c>
      <c r="AQ37" s="3">
        <f>'Pivot table 2017 (prelim)'!B51</f>
        <v>20963</v>
      </c>
      <c r="AR37" s="3">
        <f>'Pivot table 2017 (prelim)'!C51</f>
        <v>51037</v>
      </c>
      <c r="AS37" s="3"/>
      <c r="AT37" s="217">
        <f t="shared" si="2"/>
        <v>51.036999999999999</v>
      </c>
      <c r="AU37" s="213">
        <f>'Data 1987-2017'!HC42</f>
        <v>34.268000000000001</v>
      </c>
      <c r="AW37" s="184">
        <f t="shared" si="9"/>
        <v>1.4893486634761293</v>
      </c>
    </row>
    <row r="38" spans="3:54" x14ac:dyDescent="0.2">
      <c r="Y38" s="148"/>
      <c r="Z38" s="148"/>
      <c r="AA38" s="148"/>
      <c r="AB38" s="148"/>
      <c r="AC38" s="148"/>
      <c r="AD38" s="148"/>
      <c r="AE38" s="148"/>
      <c r="AF38" s="148"/>
      <c r="AH38" s="148"/>
      <c r="AI38" s="148"/>
      <c r="AJ38" s="210"/>
      <c r="AK38" s="130"/>
      <c r="AL38" s="130"/>
      <c r="AM38" s="130"/>
    </row>
    <row r="39" spans="3:54" x14ac:dyDescent="0.2">
      <c r="M39" s="170">
        <f>SUM(M4:M38)</f>
        <v>899.65027015124986</v>
      </c>
      <c r="O39" s="148">
        <f>SUM(O4:O38)</f>
        <v>32565</v>
      </c>
      <c r="P39" s="148">
        <f>SUM(P4:P38)</f>
        <v>4690055</v>
      </c>
      <c r="Q39" s="148">
        <f>SUM(Q4:Q38)</f>
        <v>1474544</v>
      </c>
      <c r="R39" s="148">
        <f>SUM(R4:R38)</f>
        <v>1246490</v>
      </c>
      <c r="S39" s="148">
        <f>SUM(S4:S38)</f>
        <v>1588091</v>
      </c>
      <c r="X39">
        <v>2017</v>
      </c>
      <c r="Y39" s="148">
        <f t="shared" ref="Y39:AD39" si="22">SUM(Y4:Y38)</f>
        <v>27416.929133858263</v>
      </c>
      <c r="Z39" s="148">
        <f t="shared" si="22"/>
        <v>2907834.0999999996</v>
      </c>
      <c r="AA39" s="148">
        <f t="shared" si="22"/>
        <v>732152.05555555562</v>
      </c>
      <c r="AB39" s="148">
        <f t="shared" si="22"/>
        <v>1310742.0618556701</v>
      </c>
      <c r="AC39" s="148">
        <f t="shared" si="22"/>
        <v>994948.57831325289</v>
      </c>
      <c r="AD39" s="148">
        <f t="shared" si="22"/>
        <v>5973093.7248583352</v>
      </c>
      <c r="AE39" s="148"/>
      <c r="AF39" s="148"/>
      <c r="AH39" s="170">
        <f>SUM(AH4:AH38)</f>
        <v>9987317</v>
      </c>
      <c r="AI39" s="170">
        <f>SUM(AI4:AI38)</f>
        <v>8997411.9059602283</v>
      </c>
      <c r="AJ39" s="210"/>
      <c r="AK39" s="130"/>
      <c r="AL39" s="170">
        <f>SUM(AL4:AL38)</f>
        <v>1338.0796053499323</v>
      </c>
      <c r="AM39" s="130"/>
      <c r="AT39" s="3">
        <f>SUM(AT4:AT38)</f>
        <v>90647.652000000016</v>
      </c>
      <c r="AU39" s="3">
        <f>SUM(AU4:AU38)</f>
        <v>84831.489416364813</v>
      </c>
    </row>
    <row r="40" spans="3:54" x14ac:dyDescent="0.2">
      <c r="X40">
        <v>2012</v>
      </c>
      <c r="Y40" s="148">
        <f>O39</f>
        <v>32565</v>
      </c>
      <c r="Z40" s="148">
        <f t="shared" ref="Z40:AD40" si="23">P39</f>
        <v>4690055</v>
      </c>
      <c r="AA40" s="148">
        <f t="shared" si="23"/>
        <v>1474544</v>
      </c>
      <c r="AB40" s="148">
        <f t="shared" si="23"/>
        <v>1246490</v>
      </c>
      <c r="AC40" s="148">
        <f t="shared" si="23"/>
        <v>1588091</v>
      </c>
      <c r="AD40" s="148">
        <f t="shared" si="23"/>
        <v>0</v>
      </c>
      <c r="AE40" s="148"/>
      <c r="AF40" s="148"/>
      <c r="AH40" s="148">
        <f>'Data 1997-2007_NOT USED'!FO41</f>
        <v>18963839</v>
      </c>
      <c r="AI40" s="148"/>
      <c r="AJ40" s="210"/>
      <c r="AK40" s="130"/>
      <c r="AL40" s="130"/>
      <c r="AM40" s="130"/>
    </row>
    <row r="41" spans="3:54" x14ac:dyDescent="0.2">
      <c r="AJ41" s="130"/>
      <c r="AK41" s="130"/>
      <c r="AL41" s="130"/>
      <c r="AM41" s="130"/>
    </row>
    <row r="42" spans="3:54" x14ac:dyDescent="0.2">
      <c r="AJ42" s="130"/>
      <c r="AK42" s="130"/>
      <c r="AL42" s="130"/>
      <c r="AM42" s="130"/>
    </row>
    <row r="43" spans="3:54" x14ac:dyDescent="0.2">
      <c r="AJ43" s="130"/>
      <c r="AK43" s="130"/>
      <c r="AL43" s="130"/>
      <c r="AM43" s="130"/>
    </row>
    <row r="44" spans="3:54" x14ac:dyDescent="0.2">
      <c r="AJ44" s="130"/>
      <c r="AK44" s="130"/>
      <c r="AL44" s="130"/>
      <c r="AM44" s="130"/>
    </row>
    <row r="45" spans="3:54" x14ac:dyDescent="0.2">
      <c r="AJ45" s="130"/>
      <c r="AK45" s="130"/>
      <c r="AL45" s="130"/>
      <c r="AM45" s="130"/>
    </row>
    <row r="46" spans="3:54" x14ac:dyDescent="0.2">
      <c r="AJ46" s="130"/>
      <c r="AK46" s="130"/>
      <c r="AL46" s="130"/>
      <c r="AM46" s="130"/>
    </row>
    <row r="47" spans="3:54" x14ac:dyDescent="0.2">
      <c r="AJ47" s="130"/>
      <c r="AK47" s="130"/>
      <c r="AL47" s="130"/>
      <c r="AM47" s="130"/>
    </row>
    <row r="48" spans="3:54" x14ac:dyDescent="0.2">
      <c r="AJ48" s="130"/>
      <c r="AK48" s="130"/>
      <c r="AL48" s="130"/>
      <c r="AM48" s="130"/>
    </row>
    <row r="49" spans="36:39" x14ac:dyDescent="0.2">
      <c r="AJ49" s="130"/>
      <c r="AK49" s="130"/>
      <c r="AL49" s="130"/>
      <c r="AM49" s="130"/>
    </row>
    <row r="50" spans="36:39" x14ac:dyDescent="0.2">
      <c r="AJ50" s="130"/>
      <c r="AK50" s="130"/>
      <c r="AL50" s="130"/>
      <c r="AM50" s="130"/>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2"/>
  <sheetViews>
    <sheetView workbookViewId="0">
      <selection activeCell="D36" sqref="D36"/>
    </sheetView>
  </sheetViews>
  <sheetFormatPr defaultRowHeight="12.75" x14ac:dyDescent="0.2"/>
  <cols>
    <col min="3" max="3" width="11.85546875" customWidth="1"/>
    <col min="4" max="4" width="11.7109375" customWidth="1"/>
    <col min="5" max="5" width="12.7109375" customWidth="1"/>
    <col min="6" max="6" width="10.7109375" bestFit="1" customWidth="1"/>
    <col min="8" max="8" width="11.28515625" customWidth="1"/>
    <col min="9" max="9" width="13.28515625" customWidth="1"/>
    <col min="11" max="11" width="13.28515625" customWidth="1"/>
  </cols>
  <sheetData>
    <row r="1" spans="1:12" ht="22.9" customHeight="1" x14ac:dyDescent="0.2">
      <c r="A1" s="108" t="s">
        <v>432</v>
      </c>
    </row>
    <row r="2" spans="1:12" ht="140.25" x14ac:dyDescent="0.2">
      <c r="A2" s="166"/>
      <c r="B2" s="167" t="s">
        <v>421</v>
      </c>
      <c r="C2" s="167" t="s">
        <v>422</v>
      </c>
      <c r="D2" s="167" t="s">
        <v>423</v>
      </c>
      <c r="E2" s="167" t="s">
        <v>424</v>
      </c>
      <c r="F2" s="167" t="s">
        <v>425</v>
      </c>
      <c r="G2" s="167" t="s">
        <v>426</v>
      </c>
      <c r="H2" s="167" t="s">
        <v>427</v>
      </c>
      <c r="I2" s="167" t="s">
        <v>428</v>
      </c>
      <c r="J2" s="167" t="s">
        <v>429</v>
      </c>
      <c r="K2" s="167" t="s">
        <v>430</v>
      </c>
      <c r="L2" s="167" t="s">
        <v>420</v>
      </c>
    </row>
    <row r="3" spans="1:12" x14ac:dyDescent="0.2">
      <c r="B3">
        <v>211111</v>
      </c>
      <c r="C3">
        <v>0</v>
      </c>
      <c r="E3">
        <v>743744</v>
      </c>
      <c r="F3">
        <v>558505</v>
      </c>
      <c r="G3">
        <v>325708</v>
      </c>
      <c r="H3">
        <v>46821</v>
      </c>
      <c r="I3">
        <v>88565</v>
      </c>
      <c r="J3">
        <v>1882003</v>
      </c>
      <c r="K3">
        <v>0</v>
      </c>
      <c r="L3">
        <v>3645346</v>
      </c>
    </row>
    <row r="4" spans="1:12" x14ac:dyDescent="0.2">
      <c r="B4">
        <v>211112</v>
      </c>
      <c r="E4">
        <v>13686</v>
      </c>
      <c r="F4">
        <v>114195</v>
      </c>
      <c r="G4">
        <v>13627</v>
      </c>
      <c r="H4">
        <v>5744</v>
      </c>
      <c r="I4">
        <v>1420</v>
      </c>
      <c r="J4">
        <v>153539</v>
      </c>
      <c r="K4">
        <v>4867</v>
      </c>
      <c r="L4">
        <v>307078</v>
      </c>
    </row>
    <row r="5" spans="1:12" x14ac:dyDescent="0.2">
      <c r="B5">
        <v>212111</v>
      </c>
      <c r="C5">
        <v>0</v>
      </c>
      <c r="D5">
        <v>0</v>
      </c>
      <c r="E5">
        <v>1241878</v>
      </c>
      <c r="F5">
        <v>5570</v>
      </c>
      <c r="G5">
        <v>118985</v>
      </c>
      <c r="H5">
        <v>2183</v>
      </c>
      <c r="I5">
        <v>446353</v>
      </c>
      <c r="J5">
        <v>1853542</v>
      </c>
      <c r="K5">
        <v>0</v>
      </c>
      <c r="L5">
        <v>3668511</v>
      </c>
    </row>
    <row r="6" spans="1:12" x14ac:dyDescent="0.2">
      <c r="B6">
        <v>212112</v>
      </c>
      <c r="C6">
        <v>2986</v>
      </c>
      <c r="E6">
        <v>137850</v>
      </c>
      <c r="F6">
        <v>4648</v>
      </c>
      <c r="G6">
        <v>27331</v>
      </c>
      <c r="H6">
        <v>2589</v>
      </c>
      <c r="I6">
        <v>97094</v>
      </c>
      <c r="J6">
        <v>272810</v>
      </c>
      <c r="K6">
        <v>312</v>
      </c>
      <c r="L6">
        <v>545620</v>
      </c>
    </row>
    <row r="7" spans="1:12" x14ac:dyDescent="0.2">
      <c r="B7">
        <v>212113</v>
      </c>
      <c r="C7">
        <v>0</v>
      </c>
      <c r="E7">
        <v>8353</v>
      </c>
      <c r="F7">
        <v>0</v>
      </c>
      <c r="G7">
        <v>812</v>
      </c>
      <c r="H7">
        <v>0</v>
      </c>
      <c r="I7">
        <v>3486</v>
      </c>
      <c r="J7">
        <v>12990</v>
      </c>
      <c r="K7">
        <v>218</v>
      </c>
      <c r="L7">
        <v>25859</v>
      </c>
    </row>
    <row r="8" spans="1:12" x14ac:dyDescent="0.2">
      <c r="B8">
        <v>212210</v>
      </c>
      <c r="C8">
        <v>0</v>
      </c>
      <c r="E8">
        <v>111679</v>
      </c>
      <c r="F8">
        <v>103974</v>
      </c>
      <c r="G8">
        <v>4182</v>
      </c>
      <c r="H8">
        <v>0</v>
      </c>
      <c r="I8">
        <v>0</v>
      </c>
      <c r="J8">
        <v>0</v>
      </c>
      <c r="K8">
        <v>4009</v>
      </c>
      <c r="L8">
        <v>223844</v>
      </c>
    </row>
    <row r="9" spans="1:12" x14ac:dyDescent="0.2">
      <c r="B9">
        <v>212221</v>
      </c>
      <c r="C9">
        <v>17219</v>
      </c>
      <c r="E9">
        <v>326273</v>
      </c>
      <c r="F9">
        <v>69435</v>
      </c>
      <c r="G9">
        <v>19119</v>
      </c>
      <c r="H9">
        <v>10402</v>
      </c>
      <c r="I9">
        <v>0</v>
      </c>
      <c r="J9">
        <v>706634</v>
      </c>
      <c r="K9">
        <v>0</v>
      </c>
      <c r="L9">
        <v>1149082</v>
      </c>
    </row>
    <row r="10" spans="1:12" x14ac:dyDescent="0.2">
      <c r="B10">
        <v>212222</v>
      </c>
      <c r="C10">
        <v>0</v>
      </c>
      <c r="E10">
        <v>20323</v>
      </c>
      <c r="F10">
        <v>909</v>
      </c>
      <c r="G10">
        <v>544</v>
      </c>
      <c r="I10">
        <v>0</v>
      </c>
      <c r="J10">
        <v>23196</v>
      </c>
      <c r="K10">
        <v>10</v>
      </c>
      <c r="L10">
        <v>44982</v>
      </c>
    </row>
    <row r="11" spans="1:12" x14ac:dyDescent="0.2">
      <c r="B11">
        <v>212231</v>
      </c>
      <c r="E11">
        <v>0</v>
      </c>
      <c r="F11">
        <v>0</v>
      </c>
      <c r="G11">
        <v>0</v>
      </c>
      <c r="H11">
        <v>0</v>
      </c>
      <c r="J11">
        <v>72890</v>
      </c>
      <c r="L11">
        <v>72890</v>
      </c>
    </row>
    <row r="12" spans="1:12" x14ac:dyDescent="0.2">
      <c r="B12">
        <v>212234</v>
      </c>
      <c r="C12">
        <v>0</v>
      </c>
      <c r="E12">
        <v>347501</v>
      </c>
      <c r="F12">
        <v>0</v>
      </c>
      <c r="G12">
        <v>32115</v>
      </c>
      <c r="H12">
        <v>174</v>
      </c>
      <c r="I12">
        <v>106873</v>
      </c>
      <c r="J12">
        <v>501681</v>
      </c>
      <c r="L12">
        <v>988344</v>
      </c>
    </row>
    <row r="13" spans="1:12" x14ac:dyDescent="0.2">
      <c r="B13">
        <v>212291</v>
      </c>
      <c r="E13">
        <v>1913</v>
      </c>
      <c r="F13">
        <v>0</v>
      </c>
      <c r="G13">
        <v>1285</v>
      </c>
      <c r="H13">
        <v>264</v>
      </c>
      <c r="J13">
        <v>0</v>
      </c>
      <c r="L13">
        <v>3462</v>
      </c>
    </row>
    <row r="14" spans="1:12" x14ac:dyDescent="0.2">
      <c r="B14">
        <v>212299</v>
      </c>
      <c r="E14">
        <v>19274</v>
      </c>
      <c r="F14">
        <v>8760</v>
      </c>
      <c r="G14">
        <v>25386</v>
      </c>
      <c r="H14">
        <v>0</v>
      </c>
      <c r="I14">
        <v>9805</v>
      </c>
      <c r="J14">
        <v>0</v>
      </c>
      <c r="K14">
        <v>214</v>
      </c>
      <c r="L14">
        <v>63439</v>
      </c>
    </row>
    <row r="15" spans="1:12" x14ac:dyDescent="0.2">
      <c r="B15">
        <v>212311</v>
      </c>
      <c r="E15">
        <v>8287</v>
      </c>
      <c r="F15">
        <v>100</v>
      </c>
      <c r="G15">
        <v>2320</v>
      </c>
      <c r="H15">
        <v>297</v>
      </c>
      <c r="I15">
        <v>3428</v>
      </c>
      <c r="J15">
        <v>15043</v>
      </c>
      <c r="K15">
        <v>611</v>
      </c>
      <c r="L15">
        <v>30086</v>
      </c>
    </row>
    <row r="16" spans="1:12" x14ac:dyDescent="0.2">
      <c r="B16">
        <v>212312</v>
      </c>
      <c r="C16">
        <v>0</v>
      </c>
      <c r="E16">
        <v>266054</v>
      </c>
      <c r="F16">
        <v>15136</v>
      </c>
      <c r="G16">
        <v>52669</v>
      </c>
      <c r="H16">
        <v>37196</v>
      </c>
      <c r="I16">
        <v>71761</v>
      </c>
      <c r="J16">
        <v>486914</v>
      </c>
      <c r="K16">
        <v>0</v>
      </c>
      <c r="L16">
        <v>929730</v>
      </c>
    </row>
    <row r="17" spans="2:12" x14ac:dyDescent="0.2">
      <c r="B17">
        <v>212313</v>
      </c>
      <c r="C17">
        <v>0</v>
      </c>
      <c r="E17">
        <v>36124</v>
      </c>
      <c r="F17">
        <v>0</v>
      </c>
      <c r="G17">
        <v>6584</v>
      </c>
      <c r="H17">
        <v>3054</v>
      </c>
      <c r="I17">
        <v>0</v>
      </c>
      <c r="J17">
        <v>75953</v>
      </c>
      <c r="K17">
        <v>0</v>
      </c>
      <c r="L17">
        <v>121715</v>
      </c>
    </row>
    <row r="18" spans="2:12" x14ac:dyDescent="0.2">
      <c r="B18">
        <v>212319</v>
      </c>
      <c r="C18">
        <v>0</v>
      </c>
      <c r="E18">
        <v>44209</v>
      </c>
      <c r="F18">
        <v>13223</v>
      </c>
      <c r="G18">
        <v>11831</v>
      </c>
      <c r="H18">
        <v>2836</v>
      </c>
      <c r="I18">
        <v>16936</v>
      </c>
      <c r="J18">
        <v>100559</v>
      </c>
      <c r="K18">
        <v>0</v>
      </c>
      <c r="L18">
        <v>189594</v>
      </c>
    </row>
    <row r="19" spans="2:12" x14ac:dyDescent="0.2">
      <c r="B19">
        <v>212321</v>
      </c>
      <c r="C19">
        <v>3530</v>
      </c>
      <c r="E19">
        <v>165916</v>
      </c>
      <c r="F19">
        <v>6946</v>
      </c>
      <c r="G19">
        <v>52022</v>
      </c>
      <c r="H19">
        <v>16209</v>
      </c>
      <c r="I19">
        <v>25905</v>
      </c>
      <c r="J19">
        <v>300296</v>
      </c>
      <c r="K19">
        <v>29768</v>
      </c>
      <c r="L19">
        <v>600592</v>
      </c>
    </row>
    <row r="20" spans="2:12" x14ac:dyDescent="0.2">
      <c r="B20">
        <v>212322</v>
      </c>
      <c r="C20">
        <v>0</v>
      </c>
      <c r="E20">
        <v>23781</v>
      </c>
      <c r="F20">
        <v>15396</v>
      </c>
      <c r="G20">
        <v>5437</v>
      </c>
      <c r="H20">
        <v>32782</v>
      </c>
      <c r="I20">
        <v>6759</v>
      </c>
      <c r="J20">
        <v>85023</v>
      </c>
      <c r="K20">
        <v>0</v>
      </c>
      <c r="L20">
        <v>169178</v>
      </c>
    </row>
    <row r="21" spans="2:12" x14ac:dyDescent="0.2">
      <c r="B21">
        <v>212324</v>
      </c>
      <c r="C21">
        <v>0</v>
      </c>
      <c r="E21">
        <v>0</v>
      </c>
      <c r="F21">
        <v>58011</v>
      </c>
      <c r="G21">
        <v>6177</v>
      </c>
      <c r="H21">
        <v>0</v>
      </c>
      <c r="I21">
        <v>0</v>
      </c>
      <c r="J21">
        <v>78130</v>
      </c>
      <c r="L21">
        <v>142318</v>
      </c>
    </row>
    <row r="22" spans="2:12" x14ac:dyDescent="0.2">
      <c r="B22">
        <v>212325</v>
      </c>
      <c r="C22">
        <v>5692</v>
      </c>
      <c r="E22">
        <v>9111</v>
      </c>
      <c r="F22">
        <v>21770</v>
      </c>
      <c r="G22">
        <v>1811</v>
      </c>
      <c r="H22">
        <v>272</v>
      </c>
      <c r="I22">
        <v>13576</v>
      </c>
      <c r="J22">
        <v>55778</v>
      </c>
      <c r="K22">
        <v>3546</v>
      </c>
      <c r="L22">
        <v>111556</v>
      </c>
    </row>
    <row r="23" spans="2:12" x14ac:dyDescent="0.2">
      <c r="B23">
        <v>212391</v>
      </c>
      <c r="C23">
        <v>0</v>
      </c>
      <c r="E23">
        <v>9231</v>
      </c>
      <c r="F23">
        <v>150020</v>
      </c>
      <c r="G23">
        <v>2955</v>
      </c>
      <c r="I23">
        <v>0</v>
      </c>
      <c r="J23">
        <v>224861</v>
      </c>
      <c r="K23">
        <v>580</v>
      </c>
      <c r="L23">
        <v>387647</v>
      </c>
    </row>
    <row r="24" spans="2:12" x14ac:dyDescent="0.2">
      <c r="B24">
        <v>212392</v>
      </c>
      <c r="C24">
        <v>0</v>
      </c>
      <c r="E24">
        <v>35424</v>
      </c>
      <c r="F24">
        <v>0</v>
      </c>
      <c r="G24">
        <v>0</v>
      </c>
      <c r="I24">
        <v>0</v>
      </c>
      <c r="J24">
        <v>43495</v>
      </c>
      <c r="L24">
        <v>78919</v>
      </c>
    </row>
    <row r="25" spans="2:12" x14ac:dyDescent="0.2">
      <c r="B25">
        <v>212393</v>
      </c>
      <c r="E25">
        <v>8813</v>
      </c>
      <c r="F25">
        <v>1764</v>
      </c>
      <c r="G25">
        <v>3074</v>
      </c>
      <c r="H25">
        <v>0</v>
      </c>
      <c r="I25">
        <v>0</v>
      </c>
      <c r="J25">
        <v>14433</v>
      </c>
      <c r="K25">
        <v>172</v>
      </c>
      <c r="L25">
        <v>28256</v>
      </c>
    </row>
    <row r="26" spans="2:12" x14ac:dyDescent="0.2">
      <c r="B26">
        <v>212399</v>
      </c>
      <c r="C26">
        <v>606</v>
      </c>
      <c r="E26">
        <v>15712</v>
      </c>
      <c r="F26">
        <v>12032</v>
      </c>
      <c r="G26">
        <v>4211</v>
      </c>
      <c r="H26">
        <v>440</v>
      </c>
      <c r="I26">
        <v>3776</v>
      </c>
      <c r="J26">
        <v>38649</v>
      </c>
      <c r="K26">
        <v>1872</v>
      </c>
      <c r="L26">
        <v>77298</v>
      </c>
    </row>
    <row r="27" spans="2:12" x14ac:dyDescent="0.2">
      <c r="B27">
        <v>213111</v>
      </c>
      <c r="C27">
        <v>0</v>
      </c>
      <c r="E27">
        <v>292092</v>
      </c>
      <c r="F27">
        <v>0</v>
      </c>
      <c r="G27">
        <v>195661</v>
      </c>
      <c r="H27">
        <v>8258</v>
      </c>
      <c r="I27">
        <v>125574</v>
      </c>
      <c r="J27">
        <v>638484</v>
      </c>
      <c r="K27">
        <v>0</v>
      </c>
      <c r="L27">
        <v>1260069</v>
      </c>
    </row>
    <row r="28" spans="2:12" x14ac:dyDescent="0.2">
      <c r="B28">
        <v>213112</v>
      </c>
      <c r="C28">
        <v>1377</v>
      </c>
      <c r="E28">
        <v>700716</v>
      </c>
      <c r="F28">
        <v>84702</v>
      </c>
      <c r="G28">
        <v>635349</v>
      </c>
      <c r="H28">
        <v>15334</v>
      </c>
      <c r="I28">
        <v>425421</v>
      </c>
      <c r="J28">
        <v>1867120</v>
      </c>
      <c r="K28">
        <v>4221</v>
      </c>
      <c r="L28">
        <v>3734240</v>
      </c>
    </row>
    <row r="29" spans="2:12" x14ac:dyDescent="0.2">
      <c r="B29">
        <v>213113</v>
      </c>
      <c r="C29">
        <v>1155</v>
      </c>
      <c r="E29">
        <v>61063</v>
      </c>
      <c r="F29">
        <v>345</v>
      </c>
      <c r="G29">
        <v>20498</v>
      </c>
      <c r="H29">
        <v>933</v>
      </c>
      <c r="I29">
        <v>19995</v>
      </c>
      <c r="J29">
        <v>106982</v>
      </c>
      <c r="K29">
        <v>2993</v>
      </c>
      <c r="L29">
        <v>213964</v>
      </c>
    </row>
    <row r="30" spans="2:12" x14ac:dyDescent="0.2">
      <c r="B30">
        <v>213114</v>
      </c>
      <c r="E30">
        <v>16878</v>
      </c>
      <c r="F30">
        <v>1049</v>
      </c>
      <c r="G30">
        <v>8402</v>
      </c>
      <c r="H30">
        <v>0</v>
      </c>
      <c r="I30">
        <v>3639</v>
      </c>
      <c r="J30">
        <v>34393</v>
      </c>
      <c r="K30">
        <v>0</v>
      </c>
      <c r="L30">
        <v>64361</v>
      </c>
    </row>
    <row r="31" spans="2:12" x14ac:dyDescent="0.2">
      <c r="B31">
        <v>213115</v>
      </c>
      <c r="E31">
        <v>24170</v>
      </c>
      <c r="F31">
        <v>0</v>
      </c>
      <c r="G31">
        <v>9996</v>
      </c>
      <c r="H31">
        <v>57</v>
      </c>
      <c r="I31">
        <v>4178</v>
      </c>
      <c r="J31">
        <v>47458</v>
      </c>
      <c r="K31">
        <v>0</v>
      </c>
      <c r="L31">
        <v>85859</v>
      </c>
    </row>
    <row r="32" spans="2:12" x14ac:dyDescent="0.2">
      <c r="B32" t="s">
        <v>420</v>
      </c>
      <c r="C32">
        <v>32565</v>
      </c>
      <c r="D32">
        <v>0</v>
      </c>
      <c r="E32">
        <v>4690055</v>
      </c>
      <c r="F32">
        <v>1246490</v>
      </c>
      <c r="G32">
        <v>1588091</v>
      </c>
      <c r="H32">
        <v>185845</v>
      </c>
      <c r="I32">
        <v>1474544</v>
      </c>
      <c r="J32">
        <v>9692856</v>
      </c>
      <c r="K32">
        <v>53393</v>
      </c>
      <c r="L32">
        <v>18963839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FA4C-97A7-45AD-AAC6-77CEE05691BD}">
  <dimension ref="A3:C52"/>
  <sheetViews>
    <sheetView topLeftCell="A31" workbookViewId="0">
      <selection activeCell="D42" sqref="D42"/>
    </sheetView>
  </sheetViews>
  <sheetFormatPr defaultRowHeight="15" x14ac:dyDescent="0.25"/>
  <cols>
    <col min="1" max="1" width="13.140625" style="207" bestFit="1" customWidth="1"/>
    <col min="2" max="2" width="13.28515625" style="207" bestFit="1" customWidth="1"/>
    <col min="3" max="3" width="15.28515625" style="207" bestFit="1" customWidth="1"/>
    <col min="4" max="4" width="17.28515625" style="207" bestFit="1" customWidth="1"/>
    <col min="5" max="15" width="6" style="207" bestFit="1" customWidth="1"/>
    <col min="16" max="29" width="7" style="207" bestFit="1" customWidth="1"/>
    <col min="30" max="37" width="8" style="207" bestFit="1" customWidth="1"/>
    <col min="38" max="38" width="2.28515625" style="207" bestFit="1" customWidth="1"/>
    <col min="39" max="39" width="11.28515625" style="207" bestFit="1" customWidth="1"/>
    <col min="40" max="41" width="9" style="207" bestFit="1" customWidth="1"/>
    <col min="42" max="42" width="11.28515625" style="207" bestFit="1" customWidth="1"/>
    <col min="43" max="43" width="11.85546875" style="207" bestFit="1" customWidth="1"/>
    <col min="44" max="44" width="8.85546875" style="207" bestFit="1" customWidth="1"/>
    <col min="45" max="45" width="11.85546875" style="207" bestFit="1" customWidth="1"/>
    <col min="46" max="46" width="8.85546875" style="207" bestFit="1" customWidth="1"/>
    <col min="47" max="47" width="11.85546875" style="207" bestFit="1" customWidth="1"/>
    <col min="48" max="48" width="9" style="207" bestFit="1" customWidth="1"/>
    <col min="49" max="49" width="11.85546875" style="207" bestFit="1" customWidth="1"/>
    <col min="50" max="50" width="8.85546875" style="207" bestFit="1" customWidth="1"/>
    <col min="51" max="51" width="11.85546875" style="207" bestFit="1" customWidth="1"/>
    <col min="52" max="52" width="8.85546875" style="207" bestFit="1" customWidth="1"/>
    <col min="53" max="53" width="11.85546875" style="207" bestFit="1" customWidth="1"/>
    <col min="54" max="54" width="8.85546875" style="207" bestFit="1" customWidth="1"/>
    <col min="55" max="55" width="11.85546875" style="207" bestFit="1" customWidth="1"/>
    <col min="56" max="56" width="8.85546875" style="207" bestFit="1" customWidth="1"/>
    <col min="57" max="57" width="11.85546875" style="207" bestFit="1" customWidth="1"/>
    <col min="58" max="58" width="9.85546875" style="207" bestFit="1" customWidth="1"/>
    <col min="59" max="59" width="12.85546875" style="207" bestFit="1" customWidth="1"/>
    <col min="60" max="60" width="9.85546875" style="207" bestFit="1" customWidth="1"/>
    <col min="61" max="61" width="12.85546875" style="207" bestFit="1" customWidth="1"/>
    <col min="62" max="62" width="9.85546875" style="207" bestFit="1" customWidth="1"/>
    <col min="63" max="63" width="12.85546875" style="207" bestFit="1" customWidth="1"/>
    <col min="64" max="64" width="9.85546875" style="207" bestFit="1" customWidth="1"/>
    <col min="65" max="65" width="12.85546875" style="207" bestFit="1" customWidth="1"/>
    <col min="66" max="66" width="9.85546875" style="207" bestFit="1" customWidth="1"/>
    <col min="67" max="67" width="12.85546875" style="207" bestFit="1" customWidth="1"/>
    <col min="68" max="68" width="9.85546875" style="207" bestFit="1" customWidth="1"/>
    <col min="69" max="69" width="12.85546875" style="207" bestFit="1" customWidth="1"/>
    <col min="70" max="70" width="9.85546875" style="207" bestFit="1" customWidth="1"/>
    <col min="71" max="71" width="12.85546875" style="207" bestFit="1" customWidth="1"/>
    <col min="72" max="72" width="9.85546875" style="207" bestFit="1" customWidth="1"/>
    <col min="73" max="73" width="12.85546875" style="207" bestFit="1" customWidth="1"/>
    <col min="74" max="75" width="7" style="207" bestFit="1" customWidth="1"/>
    <col min="76" max="77" width="8" style="207" bestFit="1" customWidth="1"/>
    <col min="78" max="78" width="7.140625" style="207" bestFit="1" customWidth="1"/>
    <col min="79" max="79" width="11.28515625" style="207" bestFit="1" customWidth="1"/>
    <col min="80" max="16384" width="9.140625" style="207"/>
  </cols>
  <sheetData>
    <row r="3" spans="1:3" x14ac:dyDescent="0.25">
      <c r="A3" s="207" t="s">
        <v>421</v>
      </c>
      <c r="B3" s="207" t="s">
        <v>463</v>
      </c>
      <c r="C3" s="207" t="s">
        <v>464</v>
      </c>
    </row>
    <row r="4" spans="1:3" x14ac:dyDescent="0.25">
      <c r="A4" s="208">
        <v>21</v>
      </c>
      <c r="B4" s="207">
        <v>8995680</v>
      </c>
      <c r="C4" s="207">
        <v>90647652</v>
      </c>
    </row>
    <row r="5" spans="1:3" x14ac:dyDescent="0.25">
      <c r="A5" s="208">
        <v>211</v>
      </c>
      <c r="B5" s="207">
        <v>3863157</v>
      </c>
      <c r="C5" s="207">
        <v>38107448</v>
      </c>
    </row>
    <row r="6" spans="1:3" x14ac:dyDescent="0.25">
      <c r="A6" s="208">
        <v>212</v>
      </c>
      <c r="B6" s="207">
        <v>3606886</v>
      </c>
      <c r="C6" s="207">
        <v>43886051</v>
      </c>
    </row>
    <row r="7" spans="1:3" x14ac:dyDescent="0.25">
      <c r="A7" s="208">
        <v>213</v>
      </c>
      <c r="B7" s="207">
        <v>1525637</v>
      </c>
      <c r="C7" s="207">
        <v>8654153</v>
      </c>
    </row>
    <row r="8" spans="1:3" x14ac:dyDescent="0.25">
      <c r="A8" s="208">
        <v>2111</v>
      </c>
      <c r="B8" s="207">
        <v>3863157</v>
      </c>
      <c r="C8" s="207">
        <v>38107448</v>
      </c>
    </row>
    <row r="9" spans="1:3" x14ac:dyDescent="0.25">
      <c r="A9" s="208">
        <v>2121</v>
      </c>
      <c r="B9" s="207">
        <v>813773</v>
      </c>
      <c r="C9" s="207">
        <v>9276110</v>
      </c>
    </row>
    <row r="10" spans="1:3" x14ac:dyDescent="0.25">
      <c r="A10" s="208">
        <v>2122</v>
      </c>
      <c r="B10" s="207">
        <v>1671908</v>
      </c>
      <c r="C10" s="207">
        <v>21568555</v>
      </c>
    </row>
    <row r="11" spans="1:3" x14ac:dyDescent="0.25">
      <c r="A11" s="208">
        <v>2123</v>
      </c>
      <c r="B11" s="207">
        <v>1121205</v>
      </c>
      <c r="C11" s="207">
        <v>13041386</v>
      </c>
    </row>
    <row r="12" spans="1:3" x14ac:dyDescent="0.25">
      <c r="A12" s="208">
        <v>2131</v>
      </c>
      <c r="B12" s="207">
        <v>1525637</v>
      </c>
      <c r="C12" s="207">
        <v>8654153</v>
      </c>
    </row>
    <row r="13" spans="1:3" x14ac:dyDescent="0.25">
      <c r="A13" s="208">
        <v>21112</v>
      </c>
      <c r="B13" s="207">
        <v>3238335</v>
      </c>
      <c r="C13" s="207">
        <v>24676154</v>
      </c>
    </row>
    <row r="14" spans="1:3" x14ac:dyDescent="0.25">
      <c r="A14" s="208">
        <v>21113</v>
      </c>
      <c r="B14" s="207">
        <v>624822</v>
      </c>
      <c r="C14" s="207">
        <v>13431294</v>
      </c>
    </row>
    <row r="15" spans="1:3" x14ac:dyDescent="0.25">
      <c r="A15" s="208">
        <v>21211</v>
      </c>
      <c r="B15" s="207">
        <v>813773</v>
      </c>
      <c r="C15" s="207">
        <v>9276110</v>
      </c>
    </row>
    <row r="16" spans="1:3" x14ac:dyDescent="0.25">
      <c r="A16" s="208">
        <v>21221</v>
      </c>
      <c r="B16" s="207">
        <v>280016</v>
      </c>
      <c r="C16" s="207">
        <v>6300444</v>
      </c>
    </row>
    <row r="17" spans="1:3" x14ac:dyDescent="0.25">
      <c r="A17" s="208">
        <v>21222</v>
      </c>
      <c r="B17" s="207">
        <v>719836</v>
      </c>
      <c r="C17" s="207">
        <v>7910835</v>
      </c>
    </row>
    <row r="18" spans="1:3" x14ac:dyDescent="0.25">
      <c r="A18" s="208">
        <v>21223</v>
      </c>
      <c r="B18" s="207">
        <v>643127</v>
      </c>
      <c r="C18" s="207">
        <v>6763564</v>
      </c>
    </row>
    <row r="19" spans="1:3" x14ac:dyDescent="0.25">
      <c r="A19" s="208">
        <v>21229</v>
      </c>
      <c r="B19" s="207">
        <v>28929</v>
      </c>
      <c r="C19" s="207">
        <v>593712</v>
      </c>
    </row>
    <row r="20" spans="1:3" x14ac:dyDescent="0.25">
      <c r="A20" s="208">
        <v>21231</v>
      </c>
      <c r="B20" s="207">
        <v>536805</v>
      </c>
      <c r="C20" s="207">
        <v>4592502</v>
      </c>
    </row>
    <row r="21" spans="1:3" x14ac:dyDescent="0.25">
      <c r="A21" s="208">
        <v>21232</v>
      </c>
      <c r="B21" s="207">
        <v>391774</v>
      </c>
      <c r="C21" s="207">
        <v>4214480</v>
      </c>
    </row>
    <row r="22" spans="1:3" x14ac:dyDescent="0.25">
      <c r="A22" s="208">
        <v>21239</v>
      </c>
      <c r="B22" s="207">
        <v>192626</v>
      </c>
      <c r="C22" s="207">
        <v>4234404</v>
      </c>
    </row>
    <row r="23" spans="1:3" x14ac:dyDescent="0.25">
      <c r="A23" s="208">
        <v>21311</v>
      </c>
      <c r="B23" s="207">
        <v>1525637</v>
      </c>
      <c r="C23" s="207">
        <v>8654153</v>
      </c>
    </row>
    <row r="24" spans="1:3" x14ac:dyDescent="0.25">
      <c r="A24" s="208">
        <v>211120</v>
      </c>
      <c r="B24" s="207">
        <v>3238335</v>
      </c>
      <c r="C24" s="207">
        <v>24676154</v>
      </c>
    </row>
    <row r="25" spans="1:3" x14ac:dyDescent="0.25">
      <c r="A25" s="208">
        <v>211130</v>
      </c>
      <c r="B25" s="207">
        <v>624822</v>
      </c>
      <c r="C25" s="207">
        <v>13431294</v>
      </c>
    </row>
    <row r="26" spans="1:3" x14ac:dyDescent="0.25">
      <c r="A26" s="208">
        <v>212111</v>
      </c>
      <c r="B26" s="207">
        <v>631575</v>
      </c>
      <c r="C26" s="207">
        <v>2428470</v>
      </c>
    </row>
    <row r="27" spans="1:3" x14ac:dyDescent="0.25">
      <c r="A27" s="208">
        <v>212112</v>
      </c>
      <c r="B27" s="207">
        <v>173075</v>
      </c>
      <c r="C27" s="207">
        <v>6793613</v>
      </c>
    </row>
    <row r="28" spans="1:3" x14ac:dyDescent="0.25">
      <c r="A28" s="208">
        <v>212113</v>
      </c>
      <c r="B28" s="207">
        <v>9123</v>
      </c>
      <c r="C28" s="207">
        <v>54027</v>
      </c>
    </row>
    <row r="29" spans="1:3" x14ac:dyDescent="0.25">
      <c r="A29" s="208">
        <v>212210</v>
      </c>
      <c r="B29" s="207">
        <v>280016</v>
      </c>
      <c r="C29" s="207">
        <v>6300444</v>
      </c>
    </row>
    <row r="30" spans="1:3" x14ac:dyDescent="0.25">
      <c r="A30" s="208">
        <v>212221</v>
      </c>
      <c r="B30" s="207">
        <v>0</v>
      </c>
      <c r="C30" s="207">
        <v>7776033</v>
      </c>
    </row>
    <row r="31" spans="1:3" x14ac:dyDescent="0.25">
      <c r="A31" s="208">
        <v>212222</v>
      </c>
      <c r="B31" s="207">
        <v>0</v>
      </c>
      <c r="C31" s="207">
        <v>134802</v>
      </c>
    </row>
    <row r="32" spans="1:3" x14ac:dyDescent="0.25">
      <c r="A32" s="208">
        <v>212230</v>
      </c>
      <c r="B32" s="207">
        <v>643127</v>
      </c>
      <c r="C32" s="207">
        <v>6763564</v>
      </c>
    </row>
    <row r="33" spans="1:3" x14ac:dyDescent="0.25">
      <c r="A33" s="208">
        <v>212291</v>
      </c>
      <c r="B33" s="207">
        <v>3804</v>
      </c>
      <c r="C33" s="207">
        <v>124242</v>
      </c>
    </row>
    <row r="34" spans="1:3" x14ac:dyDescent="0.25">
      <c r="A34" s="208">
        <v>212299</v>
      </c>
      <c r="B34" s="207">
        <v>25125</v>
      </c>
      <c r="C34" s="207">
        <v>469470</v>
      </c>
    </row>
    <row r="35" spans="1:3" x14ac:dyDescent="0.25">
      <c r="A35" s="208">
        <v>212311</v>
      </c>
      <c r="B35" s="207">
        <v>15966</v>
      </c>
      <c r="C35" s="207">
        <v>128006</v>
      </c>
    </row>
    <row r="36" spans="1:3" x14ac:dyDescent="0.25">
      <c r="A36" s="208">
        <v>212312</v>
      </c>
      <c r="B36" s="207">
        <v>383180</v>
      </c>
      <c r="C36" s="207">
        <v>3220418</v>
      </c>
    </row>
    <row r="37" spans="1:3" x14ac:dyDescent="0.25">
      <c r="A37" s="208">
        <v>212313</v>
      </c>
      <c r="B37" s="207">
        <v>77857</v>
      </c>
      <c r="C37" s="207">
        <v>699354</v>
      </c>
    </row>
    <row r="38" spans="1:3" x14ac:dyDescent="0.25">
      <c r="A38" s="208">
        <v>212319</v>
      </c>
      <c r="B38" s="207">
        <v>59802</v>
      </c>
      <c r="C38" s="207">
        <v>544724</v>
      </c>
    </row>
    <row r="39" spans="1:3" x14ac:dyDescent="0.25">
      <c r="A39" s="208">
        <v>212321</v>
      </c>
      <c r="B39" s="207">
        <v>195159</v>
      </c>
      <c r="C39" s="207">
        <v>1999088</v>
      </c>
    </row>
    <row r="40" spans="1:3" x14ac:dyDescent="0.25">
      <c r="A40" s="208">
        <v>212322</v>
      </c>
      <c r="B40" s="207">
        <v>94832</v>
      </c>
      <c r="C40" s="207">
        <v>951925</v>
      </c>
    </row>
    <row r="41" spans="1:3" x14ac:dyDescent="0.25">
      <c r="A41" s="208">
        <v>212324</v>
      </c>
      <c r="B41" s="207">
        <v>56548</v>
      </c>
      <c r="C41" s="207">
        <v>890061</v>
      </c>
    </row>
    <row r="42" spans="1:3" x14ac:dyDescent="0.25">
      <c r="A42" s="208">
        <v>212325</v>
      </c>
      <c r="B42" s="207">
        <v>45235</v>
      </c>
      <c r="C42" s="207">
        <v>373406</v>
      </c>
    </row>
    <row r="43" spans="1:3" x14ac:dyDescent="0.25">
      <c r="A43" s="208">
        <v>212391</v>
      </c>
      <c r="B43" s="207">
        <v>107448</v>
      </c>
      <c r="C43" s="207">
        <v>986164</v>
      </c>
    </row>
    <row r="44" spans="1:3" x14ac:dyDescent="0.25">
      <c r="A44" s="208">
        <v>212392</v>
      </c>
      <c r="B44" s="207">
        <v>0</v>
      </c>
      <c r="C44" s="207">
        <v>2686387</v>
      </c>
    </row>
    <row r="45" spans="1:3" x14ac:dyDescent="0.25">
      <c r="A45" s="208">
        <v>212393</v>
      </c>
      <c r="B45" s="207">
        <v>0</v>
      </c>
      <c r="C45" s="207">
        <v>223002</v>
      </c>
    </row>
    <row r="46" spans="1:3" x14ac:dyDescent="0.25">
      <c r="A46" s="208">
        <v>212399</v>
      </c>
      <c r="B46" s="207">
        <v>29891</v>
      </c>
      <c r="C46" s="207">
        <v>338851</v>
      </c>
    </row>
    <row r="47" spans="1:3" x14ac:dyDescent="0.25">
      <c r="A47" s="208">
        <v>213111</v>
      </c>
      <c r="B47" s="207">
        <v>186379</v>
      </c>
      <c r="C47" s="207">
        <v>1840495</v>
      </c>
    </row>
    <row r="48" spans="1:3" x14ac:dyDescent="0.25">
      <c r="A48" s="208">
        <v>213112</v>
      </c>
      <c r="B48" s="207">
        <v>1281838</v>
      </c>
      <c r="C48" s="207">
        <v>6545885</v>
      </c>
    </row>
    <row r="49" spans="1:3" x14ac:dyDescent="0.25">
      <c r="A49" s="208">
        <v>213113</v>
      </c>
      <c r="B49" s="207">
        <v>22202</v>
      </c>
      <c r="C49" s="207">
        <v>144398</v>
      </c>
    </row>
    <row r="50" spans="1:3" x14ac:dyDescent="0.25">
      <c r="A50" s="208">
        <v>213114</v>
      </c>
      <c r="B50" s="207">
        <v>14255</v>
      </c>
      <c r="C50" s="207">
        <v>72338</v>
      </c>
    </row>
    <row r="51" spans="1:3" x14ac:dyDescent="0.25">
      <c r="A51" s="208">
        <v>213115</v>
      </c>
      <c r="B51" s="207">
        <v>20963</v>
      </c>
      <c r="C51" s="207">
        <v>51037</v>
      </c>
    </row>
    <row r="52" spans="1:3" x14ac:dyDescent="0.25">
      <c r="A52" s="208" t="s">
        <v>420</v>
      </c>
      <c r="B52" s="207">
        <v>44203277</v>
      </c>
      <c r="C52" s="207">
        <v>453238260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7:F40"/>
  <sheetViews>
    <sheetView topLeftCell="A19" workbookViewId="0">
      <selection activeCell="E22" sqref="E22"/>
    </sheetView>
  </sheetViews>
  <sheetFormatPr defaultRowHeight="12.75" x14ac:dyDescent="0.2"/>
  <cols>
    <col min="4" max="4" width="11.7109375" customWidth="1"/>
    <col min="5" max="5" width="3.28515625" customWidth="1"/>
    <col min="6" max="6" width="37.42578125" customWidth="1"/>
  </cols>
  <sheetData>
    <row r="7" spans="4:6" ht="13.5" thickBot="1" x14ac:dyDescent="0.25">
      <c r="D7" s="155" t="s">
        <v>411</v>
      </c>
      <c r="E7" s="155"/>
      <c r="F7" s="156" t="s">
        <v>412</v>
      </c>
    </row>
    <row r="8" spans="4:6" x14ac:dyDescent="0.2">
      <c r="D8">
        <v>211111</v>
      </c>
      <c r="F8" t="s">
        <v>49</v>
      </c>
    </row>
    <row r="9" spans="4:6" x14ac:dyDescent="0.2">
      <c r="D9">
        <v>211112</v>
      </c>
      <c r="F9" t="s">
        <v>50</v>
      </c>
    </row>
    <row r="11" spans="4:6" x14ac:dyDescent="0.2">
      <c r="D11">
        <v>212111</v>
      </c>
      <c r="F11" t="s">
        <v>15</v>
      </c>
    </row>
    <row r="12" spans="4:6" x14ac:dyDescent="0.2">
      <c r="D12">
        <v>212112</v>
      </c>
      <c r="F12" t="s">
        <v>5</v>
      </c>
    </row>
    <row r="13" spans="4:6" x14ac:dyDescent="0.2">
      <c r="D13">
        <v>212113</v>
      </c>
      <c r="F13" t="s">
        <v>16</v>
      </c>
    </row>
    <row r="15" spans="4:6" x14ac:dyDescent="0.2">
      <c r="D15">
        <v>212210</v>
      </c>
      <c r="F15" t="s">
        <v>18</v>
      </c>
    </row>
    <row r="16" spans="4:6" x14ac:dyDescent="0.2">
      <c r="D16">
        <v>212221</v>
      </c>
      <c r="F16" t="s">
        <v>19</v>
      </c>
    </row>
    <row r="17" spans="4:6" x14ac:dyDescent="0.2">
      <c r="D17">
        <v>212222</v>
      </c>
      <c r="F17" t="s">
        <v>20</v>
      </c>
    </row>
    <row r="18" spans="4:6" x14ac:dyDescent="0.2">
      <c r="D18">
        <v>212231</v>
      </c>
      <c r="F18" t="s">
        <v>22</v>
      </c>
    </row>
    <row r="19" spans="4:6" x14ac:dyDescent="0.2">
      <c r="D19">
        <v>212234</v>
      </c>
      <c r="F19" t="s">
        <v>17</v>
      </c>
    </row>
    <row r="20" spans="4:6" x14ac:dyDescent="0.2">
      <c r="D20">
        <v>212291</v>
      </c>
      <c r="F20" t="s">
        <v>23</v>
      </c>
    </row>
    <row r="21" spans="4:6" x14ac:dyDescent="0.2">
      <c r="D21">
        <v>212299</v>
      </c>
      <c r="F21" t="s">
        <v>31</v>
      </c>
    </row>
    <row r="23" spans="4:6" x14ac:dyDescent="0.2">
      <c r="D23">
        <v>212311</v>
      </c>
      <c r="F23" s="108" t="s">
        <v>413</v>
      </c>
    </row>
    <row r="24" spans="4:6" x14ac:dyDescent="0.2">
      <c r="D24">
        <v>212312</v>
      </c>
      <c r="F24" t="s">
        <v>26</v>
      </c>
    </row>
    <row r="25" spans="4:6" x14ac:dyDescent="0.2">
      <c r="D25">
        <v>212313</v>
      </c>
      <c r="F25" t="s">
        <v>29</v>
      </c>
    </row>
    <row r="26" spans="4:6" x14ac:dyDescent="0.2">
      <c r="D26">
        <v>212319</v>
      </c>
      <c r="F26" t="s">
        <v>66</v>
      </c>
    </row>
    <row r="27" spans="4:6" x14ac:dyDescent="0.2">
      <c r="D27">
        <v>212321</v>
      </c>
      <c r="F27" t="s">
        <v>68</v>
      </c>
    </row>
    <row r="28" spans="4:6" x14ac:dyDescent="0.2">
      <c r="D28">
        <v>212322</v>
      </c>
      <c r="F28" s="108" t="s">
        <v>414</v>
      </c>
    </row>
    <row r="29" spans="4:6" x14ac:dyDescent="0.2">
      <c r="D29">
        <v>212324</v>
      </c>
      <c r="F29" t="s">
        <v>30</v>
      </c>
    </row>
    <row r="30" spans="4:6" x14ac:dyDescent="0.2">
      <c r="D30">
        <v>212325</v>
      </c>
      <c r="F30" t="s">
        <v>169</v>
      </c>
    </row>
    <row r="31" spans="4:6" x14ac:dyDescent="0.2">
      <c r="D31">
        <v>212391</v>
      </c>
      <c r="F31" t="s">
        <v>21</v>
      </c>
    </row>
    <row r="32" spans="4:6" x14ac:dyDescent="0.2">
      <c r="D32">
        <v>212392</v>
      </c>
      <c r="F32" t="s">
        <v>24</v>
      </c>
    </row>
    <row r="33" spans="4:6" x14ac:dyDescent="0.2">
      <c r="D33">
        <v>212393</v>
      </c>
      <c r="F33" t="s">
        <v>27</v>
      </c>
    </row>
    <row r="34" spans="4:6" x14ac:dyDescent="0.2">
      <c r="D34">
        <v>212399</v>
      </c>
      <c r="F34" t="s">
        <v>28</v>
      </c>
    </row>
    <row r="36" spans="4:6" x14ac:dyDescent="0.2">
      <c r="D36">
        <v>213111</v>
      </c>
      <c r="F36" t="s">
        <v>340</v>
      </c>
    </row>
    <row r="37" spans="4:6" x14ac:dyDescent="0.2">
      <c r="D37">
        <v>213112</v>
      </c>
      <c r="F37" t="s">
        <v>354</v>
      </c>
    </row>
    <row r="38" spans="4:6" x14ac:dyDescent="0.2">
      <c r="D38">
        <v>213113</v>
      </c>
      <c r="F38" t="s">
        <v>342</v>
      </c>
    </row>
    <row r="39" spans="4:6" x14ac:dyDescent="0.2">
      <c r="D39">
        <v>213114</v>
      </c>
      <c r="F39" t="s">
        <v>343</v>
      </c>
    </row>
    <row r="40" spans="4:6" x14ac:dyDescent="0.2">
      <c r="D40">
        <v>213115</v>
      </c>
      <c r="F40" t="s">
        <v>344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Y42"/>
  <sheetViews>
    <sheetView workbookViewId="0">
      <selection activeCell="A5" sqref="A5"/>
    </sheetView>
  </sheetViews>
  <sheetFormatPr defaultRowHeight="12.75" x14ac:dyDescent="0.2"/>
  <cols>
    <col min="3" max="3" width="37.28515625" customWidth="1"/>
    <col min="4" max="4" width="15.85546875" customWidth="1"/>
    <col min="8" max="8" width="10.28515625" bestFit="1" customWidth="1"/>
    <col min="9" max="9" width="10.140625" bestFit="1" customWidth="1"/>
  </cols>
  <sheetData>
    <row r="3" spans="3:19" x14ac:dyDescent="0.2">
      <c r="F3" s="108" t="s">
        <v>58</v>
      </c>
      <c r="M3" s="108" t="s">
        <v>356</v>
      </c>
    </row>
    <row r="4" spans="3:19" x14ac:dyDescent="0.2">
      <c r="E4">
        <v>1987</v>
      </c>
      <c r="F4">
        <v>1992</v>
      </c>
      <c r="G4">
        <v>1997</v>
      </c>
      <c r="H4">
        <v>2002</v>
      </c>
      <c r="I4">
        <v>2007</v>
      </c>
      <c r="J4">
        <v>2012</v>
      </c>
      <c r="K4">
        <v>2017</v>
      </c>
      <c r="M4">
        <v>1987</v>
      </c>
      <c r="N4">
        <v>1992</v>
      </c>
      <c r="O4">
        <v>1997</v>
      </c>
      <c r="P4">
        <v>2002</v>
      </c>
      <c r="Q4">
        <v>2007</v>
      </c>
      <c r="R4">
        <v>2012</v>
      </c>
      <c r="S4">
        <v>2017</v>
      </c>
    </row>
    <row r="5" spans="3:19" x14ac:dyDescent="0.2">
      <c r="C5" s="108" t="str">
        <f>'Data 1987-2017'!GV45</f>
        <v>Oil and Gas</v>
      </c>
      <c r="D5">
        <f>'Data 1987-2017'!GW45</f>
        <v>0</v>
      </c>
      <c r="E5">
        <f>'Data 1987-2017'!GX45</f>
        <v>0</v>
      </c>
      <c r="F5" s="148">
        <f>'Data 1987-2017'!GY45</f>
        <v>32120.9</v>
      </c>
      <c r="G5" s="148">
        <f>'Data 1987-2017'!GZ45</f>
        <v>32798.486000000004</v>
      </c>
      <c r="H5" s="148">
        <f>'Data 1987-2017'!HA45</f>
        <v>29690.671000000002</v>
      </c>
      <c r="I5" s="148">
        <f>'Data 1987-2017'!HB45</f>
        <v>23811.115999999998</v>
      </c>
      <c r="J5" s="148">
        <f>'Data 1987-2017'!HC45</f>
        <v>37233.163</v>
      </c>
      <c r="K5" s="148">
        <f>'Data 1987-2017'!HD45</f>
        <v>38107.448000000004</v>
      </c>
      <c r="M5" s="148">
        <f>'Data 1987-2017'!HF45</f>
        <v>422.11916578335422</v>
      </c>
      <c r="N5" s="148">
        <f>'Data 1987-2017'!HG45</f>
        <v>371.82265757592904</v>
      </c>
      <c r="O5" s="148">
        <f>'Data 1987-2017'!HH45</f>
        <v>344.50948796388559</v>
      </c>
      <c r="P5" s="148">
        <f>'Data 1987-2017'!HI45</f>
        <v>347.65763221967148</v>
      </c>
      <c r="Q5" s="148">
        <f>'Data 1987-2017'!HJ45</f>
        <v>261.64656974062268</v>
      </c>
      <c r="R5" s="148">
        <f>'Data 1987-2017'!HK45</f>
        <v>284.05789150507343</v>
      </c>
      <c r="S5" s="148">
        <f>'Data 1987-2017'!HL45</f>
        <v>736.08531814343405</v>
      </c>
    </row>
    <row r="6" spans="3:19" x14ac:dyDescent="0.2">
      <c r="C6" s="108" t="str">
        <f>'Data 1987-2017'!GV46</f>
        <v>Coal Mining</v>
      </c>
      <c r="D6">
        <f>'Data 1987-2017'!GW46</f>
        <v>0</v>
      </c>
      <c r="E6">
        <f>'Data 1987-2017'!GX46</f>
        <v>0</v>
      </c>
      <c r="F6" s="148">
        <f>'Data 1987-2017'!GY46</f>
        <v>12576.9</v>
      </c>
      <c r="G6" s="148">
        <f>'Data 1987-2017'!GZ46</f>
        <v>11355.11</v>
      </c>
      <c r="H6" s="148">
        <f>'Data 1987-2017'!HA46</f>
        <v>10034.416999999999</v>
      </c>
      <c r="I6" s="148">
        <f>'Data 1987-2017'!HB46</f>
        <v>11447.768</v>
      </c>
      <c r="J6" s="148">
        <f>'Data 1987-2017'!HC46</f>
        <v>12019.213</v>
      </c>
      <c r="K6" s="148">
        <f>'Data 1987-2017'!HD46</f>
        <v>9276.11</v>
      </c>
      <c r="M6" s="148">
        <f>'Data 1987-2017'!HF46</f>
        <v>91.875300141611234</v>
      </c>
      <c r="N6" s="148">
        <f>'Data 1987-2017'!HG46</f>
        <v>93.598483169573683</v>
      </c>
      <c r="O6" s="148">
        <f>'Data 1987-2017'!HH46</f>
        <v>81.963785539079012</v>
      </c>
      <c r="P6" s="148">
        <f>'Data 1987-2017'!HI46</f>
        <v>61.979917178648627</v>
      </c>
      <c r="Q6" s="148">
        <f>'Data 1987-2017'!HJ46</f>
        <v>83.668979445828001</v>
      </c>
      <c r="R6" s="148">
        <f>'Data 1987-2017'!HK46</f>
        <v>98.622817830946644</v>
      </c>
      <c r="S6" s="148">
        <f>'Data 1987-2017'!HL46</f>
        <v>64.388053020237038</v>
      </c>
    </row>
    <row r="7" spans="3:19" x14ac:dyDescent="0.2">
      <c r="C7" s="108" t="str">
        <f>'Data 1987-2017'!GV47</f>
        <v>Metal Mining</v>
      </c>
      <c r="D7">
        <f>'Data 1987-2017'!GW47</f>
        <v>0</v>
      </c>
      <c r="E7">
        <f>'Data 1987-2017'!GX47</f>
        <v>0</v>
      </c>
      <c r="F7" s="148">
        <f>'Data 1987-2017'!GY47</f>
        <v>18519.899999999998</v>
      </c>
      <c r="G7" s="148">
        <f>'Data 1987-2017'!GZ47</f>
        <v>20039.987000000001</v>
      </c>
      <c r="H7" s="148">
        <f>'Data 1987-2017'!HA47</f>
        <v>16109.473000000002</v>
      </c>
      <c r="I7" s="148">
        <f>'Data 1987-2017'!HB47</f>
        <v>19959.304999999997</v>
      </c>
      <c r="J7" s="148">
        <f>'Data 1987-2017'!HC47</f>
        <v>21922.157999999999</v>
      </c>
      <c r="K7" s="148">
        <f>'Data 1987-2017'!HD47</f>
        <v>21568.555</v>
      </c>
      <c r="M7" s="148">
        <f>'Data 1987-2017'!HF47</f>
        <v>63.800780767941376</v>
      </c>
      <c r="N7" s="148">
        <f>'Data 1987-2017'!HG47</f>
        <v>79.489875739691414</v>
      </c>
      <c r="O7" s="148">
        <f>'Data 1987-2017'!HH47</f>
        <v>100.84990431171951</v>
      </c>
      <c r="P7" s="148">
        <f>'Data 1987-2017'!HI47</f>
        <v>66.030536724243518</v>
      </c>
      <c r="Q7" s="148">
        <f>'Data 1987-2017'!HJ47</f>
        <v>87.072698492979939</v>
      </c>
      <c r="R7" s="148">
        <f>'Data 1987-2017'!HK47</f>
        <v>202.71801720025496</v>
      </c>
      <c r="S7" s="148">
        <f>'Data 1987-2017'!HL47</f>
        <v>253.5933887380871</v>
      </c>
    </row>
    <row r="8" spans="3:19" x14ac:dyDescent="0.2">
      <c r="C8" s="108" t="str">
        <f>'Data 1987-2017'!GV48</f>
        <v>Nonmetallic Mining, excl Other Chem</v>
      </c>
      <c r="D8">
        <f>'Data 1987-2017'!GW48</f>
        <v>0</v>
      </c>
      <c r="E8">
        <f>'Data 1987-2017'!GX48</f>
        <v>0</v>
      </c>
      <c r="F8" s="148">
        <f>'Data 1987-2017'!GY48</f>
        <v>12477.2</v>
      </c>
      <c r="G8" s="148">
        <f>'Data 1987-2017'!GZ48</f>
        <v>14003.207</v>
      </c>
      <c r="H8" s="148">
        <f>'Data 1987-2017'!HA48</f>
        <v>14130.563352272726</v>
      </c>
      <c r="I8" s="148">
        <f>'Data 1987-2017'!HB48</f>
        <v>15913.846</v>
      </c>
      <c r="J8" s="148">
        <f>'Data 1987-2017'!HC48</f>
        <v>11505.765027674068</v>
      </c>
      <c r="K8" s="148">
        <f>'Data 1987-2017'!HD48</f>
        <v>12818.384000000004</v>
      </c>
      <c r="M8" s="148">
        <f>'Data 1987-2017'!HF48</f>
        <v>207.40910412535271</v>
      </c>
      <c r="N8" s="148">
        <f>'Data 1987-2017'!HG48</f>
        <v>189.706624903071</v>
      </c>
      <c r="O8" s="148">
        <f>'Data 1987-2017'!HH48</f>
        <v>204.0361952754256</v>
      </c>
      <c r="P8" s="148">
        <f>'Data 1987-2017'!HI48</f>
        <v>177.79703676212029</v>
      </c>
      <c r="Q8" s="148">
        <f>'Data 1987-2017'!HJ48</f>
        <v>159.95729554801926</v>
      </c>
      <c r="R8" s="148">
        <f>'Data 1987-2017'!HK48</f>
        <v>171.24078189275644</v>
      </c>
      <c r="S8" s="148">
        <f>'Data 1987-2017'!HL48</f>
        <v>143.772986604837</v>
      </c>
    </row>
    <row r="9" spans="3:19" x14ac:dyDescent="0.2">
      <c r="C9" s="108" t="str">
        <f>'Data 1987-2017'!GV49</f>
        <v>Other Chemical and Fertilizer Minerals</v>
      </c>
      <c r="D9">
        <f>'Data 1987-2017'!GW49</f>
        <v>0</v>
      </c>
      <c r="E9">
        <f>'Data 1987-2017'!GX49</f>
        <v>0</v>
      </c>
      <c r="F9" s="148">
        <f>'Data 1987-2017'!GY49</f>
        <v>293.7</v>
      </c>
      <c r="G9" s="148">
        <f>'Data 1987-2017'!GZ49</f>
        <v>212.685</v>
      </c>
      <c r="H9" s="148">
        <f>'Data 1987-2017'!HA49</f>
        <v>193.28734027777779</v>
      </c>
      <c r="I9" s="148">
        <f>'Data 1987-2017'!HB49</f>
        <v>268.29000000000002</v>
      </c>
      <c r="J9" s="148">
        <f>'Data 1987-2017'!HC49</f>
        <v>255.98938869077944</v>
      </c>
      <c r="K9" s="148">
        <f>'Data 1987-2017'!HD49</f>
        <v>223.00200000000001</v>
      </c>
      <c r="M9" s="148">
        <f>'Data 1987-2017'!HF49</f>
        <v>20.71064726771942</v>
      </c>
      <c r="N9" s="148">
        <f>'Data 1987-2017'!HG49</f>
        <v>26.151961369281246</v>
      </c>
      <c r="O9" s="148">
        <f>'Data 1987-2017'!HH49</f>
        <v>0.80410090096910947</v>
      </c>
      <c r="P9" s="148">
        <f>'Data 1987-2017'!HI49</f>
        <v>0.9232062499999999</v>
      </c>
      <c r="Q9" s="148">
        <f>'Data 1987-2017'!HJ49</f>
        <v>1.3766604573762173</v>
      </c>
      <c r="R9" s="148">
        <f>'Data 1987-2017'!HK49</f>
        <v>1.074347625719795</v>
      </c>
      <c r="S9" s="148">
        <f>'Data 1987-2017'!HL49</f>
        <v>1.1368257491720202</v>
      </c>
    </row>
    <row r="10" spans="3:19" x14ac:dyDescent="0.2">
      <c r="C10" s="108" t="str">
        <f>'Data 1987-2017'!GV50</f>
        <v>Drilling Oil and Gas Wells</v>
      </c>
      <c r="D10">
        <f>'Data 1987-2017'!GW50</f>
        <v>0</v>
      </c>
      <c r="E10">
        <f>'Data 1987-2017'!GX50</f>
        <v>0</v>
      </c>
      <c r="F10" s="148">
        <f>'Data 1987-2017'!GY50</f>
        <v>178.9</v>
      </c>
      <c r="G10" s="148">
        <f>'Data 1987-2017'!GZ50</f>
        <v>235.71899999999999</v>
      </c>
      <c r="H10" s="148">
        <f>'Data 1987-2017'!HA50</f>
        <v>572.351</v>
      </c>
      <c r="I10" s="148">
        <f>'Data 1987-2017'!HB50</f>
        <v>741.59500000000003</v>
      </c>
      <c r="J10" s="148">
        <f>'Data 1987-2017'!HC50</f>
        <v>277.36200000000002</v>
      </c>
      <c r="K10" s="148">
        <f>'Data 1987-2017'!HD50</f>
        <v>1840.4950000000001</v>
      </c>
      <c r="M10" s="148">
        <f>'Data 1987-2017'!HF50</f>
        <v>29.017034155272604</v>
      </c>
      <c r="N10" s="148">
        <f>'Data 1987-2017'!HG50</f>
        <v>36.422102562119058</v>
      </c>
      <c r="O10" s="148">
        <f>'Data 1987-2017'!HH50</f>
        <v>47.454206996322299</v>
      </c>
      <c r="P10" s="148">
        <f>'Data 1987-2017'!HI50</f>
        <v>20.418117938428118</v>
      </c>
      <c r="Q10" s="148">
        <f>'Data 1987-2017'!HJ50</f>
        <v>22.949922130463044</v>
      </c>
      <c r="R10" s="148">
        <f>'Data 1987-2017'!HK50</f>
        <v>24.031789706781694</v>
      </c>
      <c r="S10" s="148">
        <f>'Data 1987-2017'!HL50</f>
        <v>11.754590642379634</v>
      </c>
    </row>
    <row r="11" spans="3:19" x14ac:dyDescent="0.2">
      <c r="C11" s="108" t="str">
        <f>'Data 1987-2017'!GV51</f>
        <v xml:space="preserve">Support Activities for Oil and Gas </v>
      </c>
      <c r="D11">
        <f>'Data 1987-2017'!GW51</f>
        <v>0</v>
      </c>
      <c r="E11">
        <f>'Data 1987-2017'!GX51</f>
        <v>0</v>
      </c>
      <c r="F11" s="148">
        <f>'Data 1987-2017'!GY51</f>
        <v>955</v>
      </c>
      <c r="G11" s="148">
        <f>'Data 1987-2017'!GZ51</f>
        <v>1348.058</v>
      </c>
      <c r="H11" s="148">
        <f>'Data 1987-2017'!HA51</f>
        <v>585.11400000000003</v>
      </c>
      <c r="I11" s="148">
        <f>'Data 1987-2017'!HB51</f>
        <v>1572.079</v>
      </c>
      <c r="J11" s="148">
        <f>'Data 1987-2017'!HC51</f>
        <v>1320.367</v>
      </c>
      <c r="K11" s="148">
        <f>'Data 1987-2017'!HD51</f>
        <v>6545.8850000000002</v>
      </c>
      <c r="M11" s="148">
        <f>'Data 1987-2017'!HF51</f>
        <v>37.959453233727352</v>
      </c>
      <c r="N11" s="148">
        <f>'Data 1987-2017'!HG51</f>
        <v>37.934920266251055</v>
      </c>
      <c r="O11" s="148">
        <f>'Data 1987-2017'!HH51</f>
        <v>41.664999689165832</v>
      </c>
      <c r="P11" s="148">
        <f>'Data 1987-2017'!HI51</f>
        <v>38.404459010064201</v>
      </c>
      <c r="Q11" s="148">
        <f>'Data 1987-2017'!HJ51</f>
        <v>63.267301064303993</v>
      </c>
      <c r="R11" s="148">
        <f>'Data 1987-2017'!HK51</f>
        <v>110.75391257730762</v>
      </c>
      <c r="S11" s="148">
        <f>'Data 1987-2017'!HL51</f>
        <v>123.88651419850765</v>
      </c>
    </row>
    <row r="12" spans="3:19" x14ac:dyDescent="0.2">
      <c r="C12" s="108" t="str">
        <f>'Data 1987-2017'!GV52</f>
        <v>Support Activities for Coal Mining</v>
      </c>
      <c r="D12">
        <f>'Data 1987-2017'!GW52</f>
        <v>0</v>
      </c>
      <c r="E12">
        <f>'Data 1987-2017'!GX52</f>
        <v>0</v>
      </c>
      <c r="F12" s="148">
        <f>'Data 1987-2017'!GY52</f>
        <v>94.600000000000009</v>
      </c>
      <c r="G12" s="148">
        <f>'Data 1987-2017'!GZ52</f>
        <v>123.48</v>
      </c>
      <c r="H12" s="148">
        <f>'Data 1987-2017'!HA52</f>
        <v>168.596</v>
      </c>
      <c r="I12" s="148">
        <f>'Data 1987-2017'!HB52</f>
        <v>382.80799999999999</v>
      </c>
      <c r="J12" s="148">
        <f>'Data 1987-2017'!HC52</f>
        <v>157.71100000000001</v>
      </c>
      <c r="K12" s="148">
        <f>'Data 1987-2017'!HD52</f>
        <v>144.398</v>
      </c>
      <c r="M12" s="148">
        <f>'Data 1987-2017'!HF52</f>
        <v>3.4997034674063792</v>
      </c>
      <c r="N12" s="148">
        <f>'Data 1987-2017'!HG52</f>
        <v>3.7837390640394091</v>
      </c>
      <c r="O12" s="148">
        <f>'Data 1987-2017'!HH52</f>
        <v>3.3703002073340946</v>
      </c>
      <c r="P12" s="148">
        <f>'Data 1987-2017'!HI52</f>
        <v>5.0034464467178879</v>
      </c>
      <c r="Q12" s="148">
        <f>'Data 1987-2017'!HJ52</f>
        <v>5.1790461375595687</v>
      </c>
      <c r="R12" s="148">
        <f>'Data 1987-2017'!HK52</f>
        <v>4.3193389838630631</v>
      </c>
      <c r="S12" s="148">
        <f>'Data 1987-2017'!HL52</f>
        <v>1.4908342939357209</v>
      </c>
    </row>
    <row r="13" spans="3:19" x14ac:dyDescent="0.2">
      <c r="C13" s="108" t="str">
        <f>'Data 1987-2017'!GV53</f>
        <v>Support Activities for Metal Mining</v>
      </c>
      <c r="D13">
        <f>'Data 1987-2017'!GW53</f>
        <v>0</v>
      </c>
      <c r="E13">
        <f>'Data 1987-2017'!GX53</f>
        <v>0</v>
      </c>
      <c r="F13" s="148">
        <f>'Data 1987-2017'!GY53</f>
        <v>42.800000000000004</v>
      </c>
      <c r="G13" s="148">
        <f>'Data 1987-2017'!GZ53</f>
        <v>21.911000000000001</v>
      </c>
      <c r="H13" s="148">
        <f>'Data 1987-2017'!HA53</f>
        <v>29.605</v>
      </c>
      <c r="I13" s="148">
        <f>'Data 1987-2017'!HB53</f>
        <v>143.85300000000001</v>
      </c>
      <c r="J13" s="148">
        <f>'Data 1987-2017'!HC53</f>
        <v>105.49300000000001</v>
      </c>
      <c r="K13" s="148">
        <f>'Data 1987-2017'!HD53</f>
        <v>72.338000000000008</v>
      </c>
      <c r="M13" s="148">
        <f>'Data 1987-2017'!HF53</f>
        <v>2.2631307451370684</v>
      </c>
      <c r="N13" s="148">
        <f>'Data 1987-2017'!HG53</f>
        <v>2.4911062679967642</v>
      </c>
      <c r="O13" s="148">
        <f>'Data 1987-2017'!HH53</f>
        <v>1.1958716434815793</v>
      </c>
      <c r="P13" s="148">
        <f>'Data 1987-2017'!HI53</f>
        <v>0.80735663470671315</v>
      </c>
      <c r="Q13" s="148">
        <f>'Data 1987-2017'!HJ53</f>
        <v>2.6702357301508495</v>
      </c>
      <c r="R13" s="148">
        <f>'Data 1987-2017'!HK53</f>
        <v>1.4232419090591697</v>
      </c>
      <c r="S13" s="148">
        <f>'Data 1987-2017'!HL53</f>
        <v>0.94848325802050393</v>
      </c>
    </row>
    <row r="14" spans="3:19" x14ac:dyDescent="0.2">
      <c r="C14" s="108" t="str">
        <f>'Data 1987-2017'!GV54</f>
        <v>Support Activities for Nonmetallic Minerals</v>
      </c>
      <c r="D14">
        <f>'Data 1987-2017'!GW54</f>
        <v>0</v>
      </c>
      <c r="E14">
        <f>'Data 1987-2017'!GX54</f>
        <v>0</v>
      </c>
      <c r="F14" s="148">
        <f>'Data 1987-2017'!GY54</f>
        <v>23.400000000000002</v>
      </c>
      <c r="G14" s="148">
        <f>'Data 1987-2017'!GZ54</f>
        <v>32.545000000000002</v>
      </c>
      <c r="H14" s="148">
        <f>'Data 1987-2017'!HA54</f>
        <v>61.620000000000005</v>
      </c>
      <c r="I14" s="148">
        <f>'Data 1987-2017'!HB54</f>
        <v>31.55</v>
      </c>
      <c r="J14" s="148">
        <f>'Data 1987-2017'!HC54</f>
        <v>34.268000000000001</v>
      </c>
      <c r="K14" s="148">
        <f>'Data 1987-2017'!HD54</f>
        <v>51.036999999999999</v>
      </c>
      <c r="M14" s="148">
        <f>'Data 1987-2017'!HF54</f>
        <v>2.3183131332324995</v>
      </c>
      <c r="N14" s="148">
        <f>'Data 1987-2017'!HG54</f>
        <v>2.037980258151578</v>
      </c>
      <c r="O14" s="148">
        <f>'Data 1987-2017'!HH54</f>
        <v>1.7556458329873863</v>
      </c>
      <c r="P14" s="148">
        <f>'Data 1987-2017'!HI54</f>
        <v>5.0742517981185165</v>
      </c>
      <c r="Q14" s="148">
        <f>'Data 1987-2017'!HJ54</f>
        <v>2.9398729795989955</v>
      </c>
      <c r="R14" s="148">
        <f>'Data 1987-2017'!HK54</f>
        <v>1.4081309194869536</v>
      </c>
      <c r="S14" s="148">
        <f>'Data 1987-2017'!HL54</f>
        <v>1.0226107013212928</v>
      </c>
    </row>
    <row r="16" spans="3:19" x14ac:dyDescent="0.2">
      <c r="C16" s="108" t="s">
        <v>363</v>
      </c>
      <c r="F16" s="148">
        <f>SUM(F5:F15)</f>
        <v>77283.299999999988</v>
      </c>
      <c r="G16" s="148">
        <f t="shared" ref="G16:O16" si="0">SUM(G5:G15)</f>
        <v>80171.187999999995</v>
      </c>
      <c r="H16" s="148">
        <f t="shared" si="0"/>
        <v>71575.697692550501</v>
      </c>
      <c r="I16" s="148">
        <f t="shared" si="0"/>
        <v>74272.210000000006</v>
      </c>
      <c r="J16" s="148">
        <f t="shared" si="0"/>
        <v>84831.489416364842</v>
      </c>
      <c r="K16" s="148">
        <f t="shared" si="0"/>
        <v>90647.652000000002</v>
      </c>
      <c r="L16" s="148">
        <f t="shared" si="0"/>
        <v>0</v>
      </c>
      <c r="M16" s="148">
        <f t="shared" si="0"/>
        <v>880.97263282075505</v>
      </c>
      <c r="N16" s="148">
        <f t="shared" si="0"/>
        <v>843.4394511761044</v>
      </c>
      <c r="O16" s="148">
        <f t="shared" si="0"/>
        <v>827.60449836037026</v>
      </c>
    </row>
    <row r="17" spans="3:25" x14ac:dyDescent="0.2">
      <c r="C17" s="108" t="s">
        <v>364</v>
      </c>
      <c r="F17">
        <f>F16*3412*0.000001</f>
        <v>263.69061959999993</v>
      </c>
      <c r="G17">
        <f>G16*3412*0.000001</f>
        <v>273.54409345599998</v>
      </c>
      <c r="H17">
        <f>H16*3412*0.000001</f>
        <v>244.2162805269823</v>
      </c>
      <c r="I17">
        <f>I16*3412*0.000001</f>
        <v>253.41678052</v>
      </c>
    </row>
    <row r="19" spans="3:25" x14ac:dyDescent="0.2">
      <c r="F19" s="108" t="s">
        <v>365</v>
      </c>
      <c r="G19">
        <v>3412</v>
      </c>
    </row>
    <row r="22" spans="3:25" x14ac:dyDescent="0.2">
      <c r="E22" s="221" t="s">
        <v>483</v>
      </c>
    </row>
    <row r="24" spans="3:25" x14ac:dyDescent="0.2">
      <c r="E24" s="108" t="s">
        <v>58</v>
      </c>
      <c r="F24" s="108" t="s">
        <v>387</v>
      </c>
      <c r="P24" s="108" t="s">
        <v>356</v>
      </c>
    </row>
    <row r="25" spans="3:25" x14ac:dyDescent="0.2">
      <c r="D25">
        <v>1987</v>
      </c>
      <c r="E25" s="148">
        <f t="array" ref="E25:N31">TRANSPOSE(E5:K14)</f>
        <v>0</v>
      </c>
      <c r="F25" s="148">
        <v>0</v>
      </c>
      <c r="G25" s="148">
        <v>0</v>
      </c>
      <c r="H25" s="148">
        <v>0</v>
      </c>
      <c r="I25" s="148">
        <v>0</v>
      </c>
      <c r="J25" s="148">
        <v>0</v>
      </c>
      <c r="K25" s="148">
        <v>0</v>
      </c>
      <c r="L25" s="148">
        <v>0</v>
      </c>
      <c r="M25" s="148">
        <v>0</v>
      </c>
      <c r="N25" s="148">
        <v>0</v>
      </c>
      <c r="P25" s="184">
        <f t="array" ref="P25:Y31">TRANSPOSE(M5:S14)</f>
        <v>422.11916578335422</v>
      </c>
      <c r="Q25" s="184">
        <v>91.875300141611234</v>
      </c>
      <c r="R25" s="184">
        <v>63.800780767941376</v>
      </c>
      <c r="S25" s="184">
        <v>207.40910412535271</v>
      </c>
      <c r="T25" s="184">
        <v>20.71064726771942</v>
      </c>
      <c r="U25" s="184">
        <v>29.017034155272604</v>
      </c>
      <c r="V25" s="184">
        <v>37.959453233727352</v>
      </c>
      <c r="W25" s="184">
        <v>3.4997034674063792</v>
      </c>
      <c r="X25" s="184">
        <v>2.2631307451370684</v>
      </c>
      <c r="Y25" s="184">
        <v>2.3183131332324995</v>
      </c>
    </row>
    <row r="26" spans="3:25" x14ac:dyDescent="0.2">
      <c r="D26">
        <v>1992</v>
      </c>
      <c r="E26" s="148">
        <v>32120.9</v>
      </c>
      <c r="F26" s="148">
        <v>12576.9</v>
      </c>
      <c r="G26" s="148">
        <v>18519.899999999998</v>
      </c>
      <c r="H26" s="148">
        <v>12477.2</v>
      </c>
      <c r="I26" s="148">
        <v>293.7</v>
      </c>
      <c r="J26" s="148">
        <v>178.9</v>
      </c>
      <c r="K26" s="148">
        <v>955</v>
      </c>
      <c r="L26" s="148">
        <v>94.600000000000009</v>
      </c>
      <c r="M26" s="148">
        <v>42.800000000000004</v>
      </c>
      <c r="N26" s="148">
        <v>23.400000000000002</v>
      </c>
      <c r="P26" s="184">
        <v>371.82265757592904</v>
      </c>
      <c r="Q26" s="184">
        <v>93.598483169573683</v>
      </c>
      <c r="R26" s="184">
        <v>79.489875739691414</v>
      </c>
      <c r="S26" s="184">
        <v>189.706624903071</v>
      </c>
      <c r="T26" s="184">
        <v>26.151961369281246</v>
      </c>
      <c r="U26" s="184">
        <v>36.422102562119058</v>
      </c>
      <c r="V26" s="184">
        <v>37.934920266251055</v>
      </c>
      <c r="W26" s="184">
        <v>3.7837390640394091</v>
      </c>
      <c r="X26" s="184">
        <v>2.4911062679967642</v>
      </c>
      <c r="Y26" s="184">
        <v>2.037980258151578</v>
      </c>
    </row>
    <row r="27" spans="3:25" x14ac:dyDescent="0.2">
      <c r="D27">
        <v>1997</v>
      </c>
      <c r="E27" s="148">
        <v>32798.486000000004</v>
      </c>
      <c r="F27" s="148">
        <v>11355.11</v>
      </c>
      <c r="G27" s="148">
        <v>20039.987000000001</v>
      </c>
      <c r="H27" s="148">
        <v>14003.207</v>
      </c>
      <c r="I27" s="148">
        <v>212.685</v>
      </c>
      <c r="J27" s="148">
        <v>235.71899999999999</v>
      </c>
      <c r="K27" s="148">
        <v>1348.058</v>
      </c>
      <c r="L27" s="148">
        <v>123.48</v>
      </c>
      <c r="M27" s="148">
        <v>21.911000000000001</v>
      </c>
      <c r="N27" s="148">
        <v>32.545000000000002</v>
      </c>
      <c r="P27" s="184">
        <v>344.50948796388559</v>
      </c>
      <c r="Q27" s="184">
        <v>81.963785539079012</v>
      </c>
      <c r="R27" s="184">
        <v>100.84990431171951</v>
      </c>
      <c r="S27" s="184">
        <v>204.0361952754256</v>
      </c>
      <c r="T27" s="184">
        <v>0.80410090096910947</v>
      </c>
      <c r="U27" s="184">
        <v>47.454206996322299</v>
      </c>
      <c r="V27" s="184">
        <v>41.664999689165832</v>
      </c>
      <c r="W27" s="184">
        <v>3.3703002073340946</v>
      </c>
      <c r="X27" s="184">
        <v>1.1958716434815793</v>
      </c>
      <c r="Y27" s="184">
        <v>1.7556458329873863</v>
      </c>
    </row>
    <row r="28" spans="3:25" x14ac:dyDescent="0.2">
      <c r="D28">
        <v>2002</v>
      </c>
      <c r="E28" s="148">
        <v>29690.671000000002</v>
      </c>
      <c r="F28" s="148">
        <v>10034.416999999999</v>
      </c>
      <c r="G28" s="148">
        <v>16109.473000000002</v>
      </c>
      <c r="H28" s="148">
        <v>14130.563352272726</v>
      </c>
      <c r="I28" s="148">
        <v>193.28734027777779</v>
      </c>
      <c r="J28" s="148">
        <v>572.351</v>
      </c>
      <c r="K28" s="148">
        <v>585.11400000000003</v>
      </c>
      <c r="L28" s="148">
        <v>168.596</v>
      </c>
      <c r="M28" s="148">
        <v>29.605</v>
      </c>
      <c r="N28" s="148">
        <v>61.620000000000005</v>
      </c>
      <c r="P28" s="184">
        <v>347.65763221967148</v>
      </c>
      <c r="Q28" s="184">
        <v>61.979917178648627</v>
      </c>
      <c r="R28" s="184">
        <v>66.030536724243518</v>
      </c>
      <c r="S28" s="184">
        <v>177.79703676212029</v>
      </c>
      <c r="T28" s="184">
        <v>0.9232062499999999</v>
      </c>
      <c r="U28" s="184">
        <v>20.418117938428118</v>
      </c>
      <c r="V28" s="184">
        <v>38.404459010064201</v>
      </c>
      <c r="W28" s="184">
        <v>5.0034464467178879</v>
      </c>
      <c r="X28" s="184">
        <v>0.80735663470671315</v>
      </c>
      <c r="Y28" s="184">
        <v>5.0742517981185165</v>
      </c>
    </row>
    <row r="29" spans="3:25" x14ac:dyDescent="0.2">
      <c r="D29">
        <v>2007</v>
      </c>
      <c r="E29" s="148">
        <v>23811.115999999998</v>
      </c>
      <c r="F29" s="148">
        <v>11447.768</v>
      </c>
      <c r="G29" s="148">
        <v>19959.304999999997</v>
      </c>
      <c r="H29" s="148">
        <v>15913.846</v>
      </c>
      <c r="I29" s="148">
        <v>268.29000000000002</v>
      </c>
      <c r="J29" s="148">
        <v>741.59500000000003</v>
      </c>
      <c r="K29" s="148">
        <v>1572.079</v>
      </c>
      <c r="L29" s="148">
        <v>382.80799999999999</v>
      </c>
      <c r="M29" s="148">
        <v>143.85300000000001</v>
      </c>
      <c r="N29" s="148">
        <v>31.55</v>
      </c>
      <c r="P29" s="184">
        <v>261.64656974062268</v>
      </c>
      <c r="Q29" s="184">
        <v>83.668979445828001</v>
      </c>
      <c r="R29" s="184">
        <v>87.072698492979939</v>
      </c>
      <c r="S29" s="184">
        <v>159.95729554801926</v>
      </c>
      <c r="T29" s="184">
        <v>1.3766604573762173</v>
      </c>
      <c r="U29" s="184">
        <v>22.949922130463044</v>
      </c>
      <c r="V29" s="184">
        <v>63.267301064303993</v>
      </c>
      <c r="W29" s="184">
        <v>5.1790461375595687</v>
      </c>
      <c r="X29" s="184">
        <v>2.6702357301508495</v>
      </c>
      <c r="Y29" s="184">
        <v>2.9398729795989955</v>
      </c>
    </row>
    <row r="30" spans="3:25" x14ac:dyDescent="0.2">
      <c r="D30">
        <v>2012</v>
      </c>
      <c r="E30" s="148">
        <v>37233.163</v>
      </c>
      <c r="F30" s="148">
        <v>12019.213</v>
      </c>
      <c r="G30" s="148">
        <v>21922.157999999999</v>
      </c>
      <c r="H30" s="148">
        <v>11505.765027674068</v>
      </c>
      <c r="I30" s="148">
        <v>255.98938869077944</v>
      </c>
      <c r="J30" s="148">
        <v>277.36200000000002</v>
      </c>
      <c r="K30" s="148">
        <v>1320.367</v>
      </c>
      <c r="L30" s="148">
        <v>157.71100000000001</v>
      </c>
      <c r="M30" s="148">
        <v>105.49300000000001</v>
      </c>
      <c r="N30" s="148">
        <v>34.268000000000001</v>
      </c>
      <c r="P30" s="184">
        <v>284.05789150507343</v>
      </c>
      <c r="Q30" s="184">
        <v>98.622817830946644</v>
      </c>
      <c r="R30" s="184">
        <v>202.71801720025496</v>
      </c>
      <c r="S30" s="184">
        <v>171.24078189275644</v>
      </c>
      <c r="T30" s="184">
        <v>1.074347625719795</v>
      </c>
      <c r="U30" s="184">
        <v>24.031789706781694</v>
      </c>
      <c r="V30" s="184">
        <v>110.75391257730762</v>
      </c>
      <c r="W30" s="184">
        <v>4.3193389838630631</v>
      </c>
      <c r="X30" s="184">
        <v>1.4232419090591697</v>
      </c>
      <c r="Y30" s="184">
        <v>1.4081309194869536</v>
      </c>
    </row>
    <row r="31" spans="3:25" x14ac:dyDescent="0.2">
      <c r="D31">
        <v>2017</v>
      </c>
      <c r="E31" s="148">
        <v>38107.448000000004</v>
      </c>
      <c r="F31" s="148">
        <v>9276.11</v>
      </c>
      <c r="G31" s="148">
        <v>21568.555</v>
      </c>
      <c r="H31" s="148">
        <v>12818.384000000004</v>
      </c>
      <c r="I31" s="148">
        <v>223.00200000000001</v>
      </c>
      <c r="J31" s="148">
        <v>1840.4950000000001</v>
      </c>
      <c r="K31" s="148">
        <v>6545.8850000000002</v>
      </c>
      <c r="L31" s="148">
        <v>144.398</v>
      </c>
      <c r="M31" s="148">
        <v>72.338000000000008</v>
      </c>
      <c r="N31" s="148">
        <v>51.036999999999999</v>
      </c>
      <c r="P31" s="184">
        <v>736.08531814343405</v>
      </c>
      <c r="Q31" s="184">
        <v>64.388053020237038</v>
      </c>
      <c r="R31" s="184">
        <v>253.5933887380871</v>
      </c>
      <c r="S31" s="184">
        <v>143.772986604837</v>
      </c>
      <c r="T31" s="184">
        <v>1.1368257491720202</v>
      </c>
      <c r="U31" s="184">
        <v>11.754590642379634</v>
      </c>
      <c r="V31" s="184">
        <v>123.88651419850765</v>
      </c>
      <c r="W31" s="184">
        <v>1.4908342939357209</v>
      </c>
      <c r="X31" s="184">
        <v>0.94848325802050393</v>
      </c>
      <c r="Y31" s="184">
        <v>1.0226107013212928</v>
      </c>
    </row>
    <row r="32" spans="3:25" x14ac:dyDescent="0.2">
      <c r="E32" s="148"/>
      <c r="F32" s="148"/>
      <c r="G32" s="148"/>
      <c r="H32" s="148"/>
      <c r="I32" s="148"/>
      <c r="J32" s="148"/>
      <c r="K32" s="148"/>
      <c r="L32" s="148"/>
      <c r="M32" s="148"/>
      <c r="N32" s="148"/>
    </row>
    <row r="33" spans="4:14" x14ac:dyDescent="0.2">
      <c r="E33" s="148"/>
      <c r="F33" s="148"/>
      <c r="G33" s="148"/>
      <c r="H33" s="148"/>
      <c r="I33" s="148"/>
      <c r="J33" s="148"/>
      <c r="K33" s="148"/>
      <c r="L33" s="148"/>
      <c r="M33" s="148"/>
      <c r="N33" s="148"/>
    </row>
    <row r="34" spans="4:14" x14ac:dyDescent="0.2">
      <c r="E34" s="148"/>
      <c r="F34" s="148"/>
      <c r="G34" s="148"/>
      <c r="H34" s="148"/>
      <c r="I34" s="148"/>
      <c r="J34" s="148"/>
      <c r="K34" s="148"/>
      <c r="L34" s="148"/>
      <c r="M34" s="148"/>
      <c r="N34" s="148"/>
    </row>
    <row r="35" spans="4:14" x14ac:dyDescent="0.2">
      <c r="E35" s="149" t="s">
        <v>388</v>
      </c>
      <c r="F35" s="148"/>
      <c r="G35" s="148"/>
      <c r="H35" s="148"/>
      <c r="I35" s="148"/>
      <c r="J35" s="148"/>
      <c r="K35" s="148"/>
      <c r="L35" s="148"/>
      <c r="M35" s="148"/>
      <c r="N35" s="148"/>
    </row>
    <row r="36" spans="4:14" x14ac:dyDescent="0.2">
      <c r="D36">
        <v>1987</v>
      </c>
      <c r="E36" s="148">
        <f t="shared" ref="E36:N36" si="1">E25*0.000001*3412</f>
        <v>0</v>
      </c>
      <c r="F36" s="148">
        <f t="shared" si="1"/>
        <v>0</v>
      </c>
      <c r="G36" s="148">
        <f t="shared" si="1"/>
        <v>0</v>
      </c>
      <c r="H36" s="148">
        <f t="shared" si="1"/>
        <v>0</v>
      </c>
      <c r="I36" s="148">
        <f t="shared" si="1"/>
        <v>0</v>
      </c>
      <c r="J36" s="148">
        <f t="shared" si="1"/>
        <v>0</v>
      </c>
      <c r="K36" s="148">
        <f t="shared" si="1"/>
        <v>0</v>
      </c>
      <c r="L36" s="148">
        <f t="shared" si="1"/>
        <v>0</v>
      </c>
      <c r="M36" s="148">
        <f t="shared" si="1"/>
        <v>0</v>
      </c>
      <c r="N36" s="148">
        <f t="shared" si="1"/>
        <v>0</v>
      </c>
    </row>
    <row r="37" spans="4:14" x14ac:dyDescent="0.2">
      <c r="D37">
        <v>1992</v>
      </c>
      <c r="E37" s="148">
        <f t="shared" ref="E37:N37" si="2">E26*0.000001*3412</f>
        <v>109.5965108</v>
      </c>
      <c r="F37" s="148">
        <f t="shared" si="2"/>
        <v>42.912382799999996</v>
      </c>
      <c r="G37" s="148">
        <f t="shared" si="2"/>
        <v>63.189898799999987</v>
      </c>
      <c r="H37" s="148">
        <f t="shared" si="2"/>
        <v>42.572206400000006</v>
      </c>
      <c r="I37" s="148">
        <f t="shared" si="2"/>
        <v>1.0021043999999999</v>
      </c>
      <c r="J37" s="148">
        <f t="shared" si="2"/>
        <v>0.61040679999999992</v>
      </c>
      <c r="K37" s="148">
        <f t="shared" si="2"/>
        <v>3.2584599999999995</v>
      </c>
      <c r="L37" s="148">
        <f t="shared" si="2"/>
        <v>0.32277520000000004</v>
      </c>
      <c r="M37" s="148">
        <f t="shared" si="2"/>
        <v>0.14603360000000001</v>
      </c>
      <c r="N37" s="148">
        <f t="shared" si="2"/>
        <v>7.9840800000000003E-2</v>
      </c>
    </row>
    <row r="38" spans="4:14" x14ac:dyDescent="0.2">
      <c r="D38">
        <v>1997</v>
      </c>
      <c r="E38" s="148">
        <f t="shared" ref="E38:N38" si="3">E27*0.000001*3412</f>
        <v>111.908434232</v>
      </c>
      <c r="F38" s="148">
        <f t="shared" si="3"/>
        <v>38.743635320000003</v>
      </c>
      <c r="G38" s="148">
        <f t="shared" si="3"/>
        <v>68.376435643999997</v>
      </c>
      <c r="H38" s="148">
        <f t="shared" si="3"/>
        <v>47.778942284000003</v>
      </c>
      <c r="I38" s="148">
        <f t="shared" si="3"/>
        <v>0.72568122000000002</v>
      </c>
      <c r="J38" s="148">
        <f t="shared" si="3"/>
        <v>0.8042732279999999</v>
      </c>
      <c r="K38" s="148">
        <f t="shared" si="3"/>
        <v>4.5995738959999999</v>
      </c>
      <c r="L38" s="148">
        <f t="shared" si="3"/>
        <v>0.42131376000000004</v>
      </c>
      <c r="M38" s="148">
        <f t="shared" si="3"/>
        <v>7.4760331999999999E-2</v>
      </c>
      <c r="N38" s="148">
        <f t="shared" si="3"/>
        <v>0.11104354000000001</v>
      </c>
    </row>
    <row r="39" spans="4:14" x14ac:dyDescent="0.2">
      <c r="D39">
        <v>2002</v>
      </c>
      <c r="E39" s="148">
        <f t="shared" ref="E39:N39" si="4">E28*0.000001*3412</f>
        <v>101.30456945200001</v>
      </c>
      <c r="F39" s="148">
        <f t="shared" si="4"/>
        <v>34.237430803999992</v>
      </c>
      <c r="G39" s="148">
        <f t="shared" si="4"/>
        <v>54.965521876000011</v>
      </c>
      <c r="H39" s="148">
        <f t="shared" si="4"/>
        <v>48.213482157954537</v>
      </c>
      <c r="I39" s="148">
        <f t="shared" si="4"/>
        <v>0.65949640502777773</v>
      </c>
      <c r="J39" s="148">
        <f t="shared" si="4"/>
        <v>1.952861612</v>
      </c>
      <c r="K39" s="148">
        <f t="shared" si="4"/>
        <v>1.9964089679999999</v>
      </c>
      <c r="L39" s="148">
        <f t="shared" si="4"/>
        <v>0.57524955199999994</v>
      </c>
      <c r="M39" s="148">
        <f t="shared" si="4"/>
        <v>0.10101225999999999</v>
      </c>
      <c r="N39" s="148">
        <f t="shared" si="4"/>
        <v>0.21024743999999998</v>
      </c>
    </row>
    <row r="40" spans="4:14" x14ac:dyDescent="0.2">
      <c r="D40">
        <v>2007</v>
      </c>
      <c r="E40" s="148">
        <f t="shared" ref="E40:N40" si="5">E29*0.000001*3412</f>
        <v>81.243527791999995</v>
      </c>
      <c r="F40" s="148">
        <f t="shared" si="5"/>
        <v>39.059784415999999</v>
      </c>
      <c r="G40" s="148">
        <f t="shared" si="5"/>
        <v>68.101148659999993</v>
      </c>
      <c r="H40" s="148">
        <f t="shared" si="5"/>
        <v>54.298042551999998</v>
      </c>
      <c r="I40" s="148">
        <f t="shared" si="5"/>
        <v>0.9154054800000001</v>
      </c>
      <c r="J40" s="148">
        <f t="shared" si="5"/>
        <v>2.53032214</v>
      </c>
      <c r="K40" s="148">
        <f t="shared" si="5"/>
        <v>5.3639335479999994</v>
      </c>
      <c r="L40" s="148">
        <f t="shared" si="5"/>
        <v>1.3061408960000001</v>
      </c>
      <c r="M40" s="148">
        <f t="shared" si="5"/>
        <v>0.49082643599999998</v>
      </c>
      <c r="N40" s="148">
        <f t="shared" si="5"/>
        <v>0.1076486</v>
      </c>
    </row>
    <row r="41" spans="4:14" x14ac:dyDescent="0.2">
      <c r="D41">
        <v>2012</v>
      </c>
      <c r="E41" s="148">
        <f t="shared" ref="E41:N41" si="6">E30*0.000001*3412</f>
        <v>127.039552156</v>
      </c>
      <c r="F41" s="148">
        <f t="shared" si="6"/>
        <v>41.009554756</v>
      </c>
      <c r="G41" s="148">
        <f t="shared" si="6"/>
        <v>74.798403095999987</v>
      </c>
      <c r="H41" s="148">
        <f t="shared" si="6"/>
        <v>39.257670274423916</v>
      </c>
      <c r="I41" s="148">
        <f t="shared" si="6"/>
        <v>0.87343579421293938</v>
      </c>
      <c r="J41" s="148">
        <f t="shared" si="6"/>
        <v>0.9463591440000001</v>
      </c>
      <c r="K41" s="148">
        <f t="shared" si="6"/>
        <v>4.5050922039999994</v>
      </c>
      <c r="L41" s="148">
        <f t="shared" si="6"/>
        <v>0.53810993200000001</v>
      </c>
      <c r="M41" s="148">
        <f t="shared" si="6"/>
        <v>0.35994211599999998</v>
      </c>
      <c r="N41" s="148">
        <f t="shared" si="6"/>
        <v>0.11692241599999999</v>
      </c>
    </row>
    <row r="42" spans="4:14" x14ac:dyDescent="0.2">
      <c r="D42">
        <v>2017</v>
      </c>
      <c r="E42" s="148">
        <f t="shared" ref="E42:N42" si="7">E31*0.000001*3412</f>
        <v>130.022612576</v>
      </c>
      <c r="F42" s="148">
        <f t="shared" si="7"/>
        <v>31.650087320000001</v>
      </c>
      <c r="G42" s="148">
        <f t="shared" si="7"/>
        <v>73.591909659999999</v>
      </c>
      <c r="H42" s="148">
        <f t="shared" si="7"/>
        <v>43.736326208000015</v>
      </c>
      <c r="I42" s="148">
        <f t="shared" si="7"/>
        <v>0.76088282399999996</v>
      </c>
      <c r="J42" s="148">
        <f t="shared" si="7"/>
        <v>6.2797689399999994</v>
      </c>
      <c r="K42" s="148">
        <f t="shared" si="7"/>
        <v>22.334559619999997</v>
      </c>
      <c r="L42" s="148">
        <f t="shared" si="7"/>
        <v>0.49268597599999991</v>
      </c>
      <c r="M42" s="148">
        <f t="shared" si="7"/>
        <v>0.24681725600000004</v>
      </c>
      <c r="N42" s="148">
        <f t="shared" si="7"/>
        <v>0.174138244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GD69"/>
  <sheetViews>
    <sheetView topLeftCell="B5" workbookViewId="0">
      <selection activeCell="G21" sqref="G21"/>
    </sheetView>
  </sheetViews>
  <sheetFormatPr defaultRowHeight="12.75" x14ac:dyDescent="0.2"/>
  <cols>
    <col min="6" max="6" width="10.42578125" customWidth="1"/>
    <col min="7" max="7" width="13.140625" customWidth="1"/>
    <col min="8" max="8" width="12.85546875" customWidth="1"/>
    <col min="16" max="16" width="11.42578125" customWidth="1"/>
    <col min="154" max="154" width="10" customWidth="1"/>
    <col min="167" max="167" width="11.42578125" customWidth="1"/>
    <col min="168" max="168" width="10.140625" customWidth="1"/>
    <col min="169" max="169" width="9.7109375" customWidth="1"/>
    <col min="170" max="170" width="10.140625" customWidth="1"/>
    <col min="174" max="174" width="9.140625" bestFit="1" customWidth="1"/>
  </cols>
  <sheetData>
    <row r="1" spans="3:184" x14ac:dyDescent="0.2">
      <c r="C1" s="41" t="s">
        <v>446</v>
      </c>
    </row>
    <row r="2" spans="3:184" x14ac:dyDescent="0.2">
      <c r="D2" s="108" t="str">
        <f>Sector_estimates!E24</f>
        <v>Electricity</v>
      </c>
      <c r="O2" s="108" t="str">
        <f>Sector_estimates!P24</f>
        <v>Fuels</v>
      </c>
    </row>
    <row r="4" spans="3:184" ht="48.75" customHeight="1" x14ac:dyDescent="0.2">
      <c r="D4" s="150" t="s">
        <v>357</v>
      </c>
      <c r="E4" s="150" t="s">
        <v>358</v>
      </c>
      <c r="F4" s="150" t="s">
        <v>359</v>
      </c>
      <c r="G4" s="202" t="s">
        <v>361</v>
      </c>
      <c r="H4" s="202" t="s">
        <v>362</v>
      </c>
      <c r="I4" s="202" t="s">
        <v>340</v>
      </c>
      <c r="J4" s="150" t="s">
        <v>484</v>
      </c>
      <c r="K4" s="150" t="s">
        <v>485</v>
      </c>
      <c r="L4" s="150" t="s">
        <v>486</v>
      </c>
      <c r="M4" s="150" t="s">
        <v>487</v>
      </c>
      <c r="N4" s="202"/>
      <c r="O4" s="202"/>
      <c r="P4" s="202"/>
      <c r="Q4" s="150" t="s">
        <v>359</v>
      </c>
      <c r="R4" s="202"/>
      <c r="S4" s="202"/>
      <c r="T4" s="202"/>
      <c r="U4" s="202"/>
      <c r="V4" s="202"/>
      <c r="W4" s="202"/>
      <c r="X4" s="202"/>
    </row>
    <row r="5" spans="3:184" x14ac:dyDescent="0.2">
      <c r="C5">
        <f>Sector_estimates!D25</f>
        <v>1987</v>
      </c>
      <c r="D5" s="206">
        <f>Sector_estimates!E36</f>
        <v>0</v>
      </c>
      <c r="E5" s="206">
        <f>Sector_estimates!F36</f>
        <v>0</v>
      </c>
      <c r="F5" s="206">
        <f>Sector_estimates!G36</f>
        <v>0</v>
      </c>
      <c r="G5" s="206">
        <f>Sector_estimates!H36</f>
        <v>0</v>
      </c>
      <c r="H5" s="206">
        <f>Sector_estimates!I36</f>
        <v>0</v>
      </c>
      <c r="I5" s="206">
        <f>Sector_estimates!J36</f>
        <v>0</v>
      </c>
      <c r="J5" s="206">
        <f>Sector_estimates!K36</f>
        <v>0</v>
      </c>
      <c r="K5" s="206">
        <f>Sector_estimates!L36</f>
        <v>0</v>
      </c>
      <c r="L5" s="206">
        <f>Sector_estimates!M36</f>
        <v>0</v>
      </c>
      <c r="M5" s="206">
        <f>Sector_estimates!N36</f>
        <v>0</v>
      </c>
      <c r="N5" s="206"/>
      <c r="O5" s="206">
        <f>Sector_estimates!P25</f>
        <v>422.11916578335422</v>
      </c>
      <c r="P5" s="206">
        <f>Sector_estimates!Q25</f>
        <v>91.875300141611234</v>
      </c>
      <c r="Q5" s="206">
        <f>Sector_estimates!R25</f>
        <v>63.800780767941376</v>
      </c>
      <c r="R5" s="206">
        <f>Sector_estimates!S25</f>
        <v>207.40910412535271</v>
      </c>
      <c r="S5" s="206">
        <f>Sector_estimates!T25</f>
        <v>20.71064726771942</v>
      </c>
      <c r="T5" s="206">
        <f>Sector_estimates!U25</f>
        <v>29.017034155272604</v>
      </c>
      <c r="U5" s="206">
        <f>Sector_estimates!V25</f>
        <v>37.959453233727352</v>
      </c>
      <c r="V5" s="206">
        <f>Sector_estimates!W25</f>
        <v>3.4997034674063792</v>
      </c>
      <c r="W5" s="206">
        <f>Sector_estimates!X25</f>
        <v>2.2631307451370684</v>
      </c>
      <c r="X5" s="206">
        <f>Sector_estimates!Y25</f>
        <v>2.3183131332324995</v>
      </c>
    </row>
    <row r="6" spans="3:184" x14ac:dyDescent="0.2">
      <c r="C6">
        <f>Sector_estimates!D26</f>
        <v>1992</v>
      </c>
      <c r="D6" s="206">
        <f>Sector_estimates!E37</f>
        <v>109.5965108</v>
      </c>
      <c r="E6" s="206">
        <f>Sector_estimates!F37</f>
        <v>42.912382799999996</v>
      </c>
      <c r="F6" s="206">
        <f>Sector_estimates!G37</f>
        <v>63.189898799999987</v>
      </c>
      <c r="G6" s="206">
        <f>Sector_estimates!H37</f>
        <v>42.572206400000006</v>
      </c>
      <c r="H6" s="206">
        <f>Sector_estimates!I37</f>
        <v>1.0021043999999999</v>
      </c>
      <c r="I6" s="206">
        <f>Sector_estimates!J37</f>
        <v>0.61040679999999992</v>
      </c>
      <c r="J6" s="206">
        <f>Sector_estimates!K37</f>
        <v>3.2584599999999995</v>
      </c>
      <c r="K6" s="206">
        <f>Sector_estimates!L37</f>
        <v>0.32277520000000004</v>
      </c>
      <c r="L6" s="206">
        <f>Sector_estimates!M37</f>
        <v>0.14603360000000001</v>
      </c>
      <c r="M6" s="206">
        <f>Sector_estimates!N37</f>
        <v>7.9840800000000003E-2</v>
      </c>
      <c r="N6" s="206"/>
      <c r="O6" s="206">
        <f>Sector_estimates!P26</f>
        <v>371.82265757592904</v>
      </c>
      <c r="P6" s="206">
        <f>Sector_estimates!Q26</f>
        <v>93.598483169573683</v>
      </c>
      <c r="Q6" s="206">
        <f>Sector_estimates!R26</f>
        <v>79.489875739691414</v>
      </c>
      <c r="R6" s="206">
        <f>Sector_estimates!S26</f>
        <v>189.706624903071</v>
      </c>
      <c r="S6" s="206">
        <f>Sector_estimates!T26</f>
        <v>26.151961369281246</v>
      </c>
      <c r="T6" s="206">
        <f>Sector_estimates!U26</f>
        <v>36.422102562119058</v>
      </c>
      <c r="U6" s="206">
        <f>Sector_estimates!V26</f>
        <v>37.934920266251055</v>
      </c>
      <c r="V6" s="206">
        <f>Sector_estimates!W26</f>
        <v>3.7837390640394091</v>
      </c>
      <c r="W6" s="206">
        <f>Sector_estimates!X26</f>
        <v>2.4911062679967642</v>
      </c>
      <c r="X6" s="206">
        <f>Sector_estimates!Y26</f>
        <v>2.037980258151578</v>
      </c>
    </row>
    <row r="7" spans="3:184" x14ac:dyDescent="0.2">
      <c r="C7">
        <f>Sector_estimates!D27</f>
        <v>1997</v>
      </c>
      <c r="D7" s="206">
        <f>Sector_estimates!E38</f>
        <v>111.908434232</v>
      </c>
      <c r="E7" s="206">
        <f>Sector_estimates!F38</f>
        <v>38.743635320000003</v>
      </c>
      <c r="F7" s="206">
        <f>Sector_estimates!G38</f>
        <v>68.376435643999997</v>
      </c>
      <c r="G7" s="206">
        <f>Sector_estimates!H38</f>
        <v>47.778942284000003</v>
      </c>
      <c r="H7" s="206">
        <f>Sector_estimates!I38</f>
        <v>0.72568122000000002</v>
      </c>
      <c r="I7" s="206">
        <f>Sector_estimates!J38</f>
        <v>0.8042732279999999</v>
      </c>
      <c r="J7" s="206">
        <f>Sector_estimates!K38</f>
        <v>4.5995738959999999</v>
      </c>
      <c r="K7" s="206">
        <f>Sector_estimates!L38</f>
        <v>0.42131376000000004</v>
      </c>
      <c r="L7" s="206">
        <f>Sector_estimates!M38</f>
        <v>7.4760331999999999E-2</v>
      </c>
      <c r="M7" s="206">
        <f>Sector_estimates!N38</f>
        <v>0.11104354000000001</v>
      </c>
      <c r="N7" s="206"/>
      <c r="O7" s="206">
        <f>Sector_estimates!P27</f>
        <v>344.50948796388559</v>
      </c>
      <c r="P7" s="206">
        <f>Sector_estimates!Q27</f>
        <v>81.963785539079012</v>
      </c>
      <c r="Q7" s="206">
        <f>Sector_estimates!R27</f>
        <v>100.84990431171951</v>
      </c>
      <c r="R7" s="206">
        <f>Sector_estimates!S27</f>
        <v>204.0361952754256</v>
      </c>
      <c r="S7" s="206">
        <f>Sector_estimates!T27</f>
        <v>0.80410090096910947</v>
      </c>
      <c r="T7" s="206">
        <f>Sector_estimates!U27</f>
        <v>47.454206996322299</v>
      </c>
      <c r="U7" s="206">
        <f>Sector_estimates!V27</f>
        <v>41.664999689165832</v>
      </c>
      <c r="V7" s="206">
        <f>Sector_estimates!W27</f>
        <v>3.3703002073340946</v>
      </c>
      <c r="W7" s="206">
        <f>Sector_estimates!X27</f>
        <v>1.1958716434815793</v>
      </c>
      <c r="X7" s="206">
        <f>Sector_estimates!Y27</f>
        <v>1.7556458329873863</v>
      </c>
    </row>
    <row r="8" spans="3:184" x14ac:dyDescent="0.2">
      <c r="C8">
        <f>Sector_estimates!D28</f>
        <v>2002</v>
      </c>
      <c r="D8" s="206">
        <f>Sector_estimates!E39</f>
        <v>101.30456945200001</v>
      </c>
      <c r="E8" s="206">
        <f>Sector_estimates!F39</f>
        <v>34.237430803999992</v>
      </c>
      <c r="F8" s="206">
        <f>Sector_estimates!G39</f>
        <v>54.965521876000011</v>
      </c>
      <c r="G8" s="206">
        <f>Sector_estimates!H39</f>
        <v>48.213482157954537</v>
      </c>
      <c r="H8" s="206">
        <f>Sector_estimates!I39</f>
        <v>0.65949640502777773</v>
      </c>
      <c r="I8" s="206">
        <f>Sector_estimates!J39</f>
        <v>1.952861612</v>
      </c>
      <c r="J8" s="206">
        <f>Sector_estimates!K39</f>
        <v>1.9964089679999999</v>
      </c>
      <c r="K8" s="206">
        <f>Sector_estimates!L39</f>
        <v>0.57524955199999994</v>
      </c>
      <c r="L8" s="206">
        <f>Sector_estimates!M39</f>
        <v>0.10101225999999999</v>
      </c>
      <c r="M8" s="206">
        <f>Sector_estimates!N39</f>
        <v>0.21024743999999998</v>
      </c>
      <c r="N8" s="206"/>
      <c r="O8" s="206">
        <f>Sector_estimates!P28</f>
        <v>347.65763221967148</v>
      </c>
      <c r="P8" s="206">
        <f>Sector_estimates!Q28</f>
        <v>61.979917178648627</v>
      </c>
      <c r="Q8" s="206">
        <f>Sector_estimates!R28</f>
        <v>66.030536724243518</v>
      </c>
      <c r="R8" s="206">
        <f>Sector_estimates!S28</f>
        <v>177.79703676212029</v>
      </c>
      <c r="S8" s="206">
        <f>Sector_estimates!T28</f>
        <v>0.9232062499999999</v>
      </c>
      <c r="T8" s="206">
        <f>Sector_estimates!U28</f>
        <v>20.418117938428118</v>
      </c>
      <c r="U8" s="206">
        <f>Sector_estimates!V28</f>
        <v>38.404459010064201</v>
      </c>
      <c r="V8" s="206">
        <f>Sector_estimates!W28</f>
        <v>5.0034464467178879</v>
      </c>
      <c r="W8" s="206">
        <f>Sector_estimates!X28</f>
        <v>0.80735663470671315</v>
      </c>
      <c r="X8" s="206">
        <f>Sector_estimates!Y28</f>
        <v>5.0742517981185165</v>
      </c>
    </row>
    <row r="9" spans="3:184" x14ac:dyDescent="0.2">
      <c r="C9">
        <f>Sector_estimates!D29</f>
        <v>2007</v>
      </c>
      <c r="D9" s="206">
        <f>Sector_estimates!E40</f>
        <v>81.243527791999995</v>
      </c>
      <c r="E9" s="206">
        <f>Sector_estimates!F40</f>
        <v>39.059784415999999</v>
      </c>
      <c r="F9" s="206">
        <f>Sector_estimates!G40</f>
        <v>68.101148659999993</v>
      </c>
      <c r="G9" s="206">
        <f>Sector_estimates!H40</f>
        <v>54.298042551999998</v>
      </c>
      <c r="H9" s="206">
        <f>Sector_estimates!I40</f>
        <v>0.9154054800000001</v>
      </c>
      <c r="I9" s="206">
        <f>Sector_estimates!J40</f>
        <v>2.53032214</v>
      </c>
      <c r="J9" s="206">
        <f>Sector_estimates!K40</f>
        <v>5.3639335479999994</v>
      </c>
      <c r="K9" s="206">
        <f>Sector_estimates!L40</f>
        <v>1.3061408960000001</v>
      </c>
      <c r="L9" s="206">
        <f>Sector_estimates!M40</f>
        <v>0.49082643599999998</v>
      </c>
      <c r="M9" s="206">
        <f>Sector_estimates!N40</f>
        <v>0.1076486</v>
      </c>
      <c r="N9" s="206"/>
      <c r="O9" s="206">
        <f>Sector_estimates!P29</f>
        <v>261.64656974062268</v>
      </c>
      <c r="P9" s="206">
        <f>Sector_estimates!Q29</f>
        <v>83.668979445828001</v>
      </c>
      <c r="Q9" s="206">
        <f>Sector_estimates!R29</f>
        <v>87.072698492979939</v>
      </c>
      <c r="R9" s="206">
        <f>Sector_estimates!S29</f>
        <v>159.95729554801926</v>
      </c>
      <c r="S9" s="206">
        <f>Sector_estimates!T29</f>
        <v>1.3766604573762173</v>
      </c>
      <c r="T9" s="206">
        <f>Sector_estimates!U29</f>
        <v>22.949922130463044</v>
      </c>
      <c r="U9" s="206">
        <f>Sector_estimates!V29</f>
        <v>63.267301064303993</v>
      </c>
      <c r="V9" s="206">
        <f>Sector_estimates!W29</f>
        <v>5.1790461375595687</v>
      </c>
      <c r="W9" s="206">
        <f>Sector_estimates!X29</f>
        <v>2.6702357301508495</v>
      </c>
      <c r="X9" s="206">
        <f>Sector_estimates!Y29</f>
        <v>2.9398729795989955</v>
      </c>
    </row>
    <row r="10" spans="3:184" x14ac:dyDescent="0.2">
      <c r="C10">
        <v>2012</v>
      </c>
      <c r="D10" s="206">
        <f>Sector_estimates!E41</f>
        <v>127.039552156</v>
      </c>
      <c r="E10" s="206">
        <f>Sector_estimates!F41</f>
        <v>41.009554756</v>
      </c>
      <c r="F10" s="206">
        <f>Sector_estimates!G41</f>
        <v>74.798403095999987</v>
      </c>
      <c r="G10" s="206">
        <f>Sector_estimates!H41</f>
        <v>39.257670274423916</v>
      </c>
      <c r="H10" s="206">
        <f>Sector_estimates!I41</f>
        <v>0.87343579421293938</v>
      </c>
      <c r="I10" s="206">
        <f>Sector_estimates!J41</f>
        <v>0.9463591440000001</v>
      </c>
      <c r="J10" s="206">
        <f>Sector_estimates!K41</f>
        <v>4.5050922039999994</v>
      </c>
      <c r="K10" s="206">
        <f>Sector_estimates!L41</f>
        <v>0.53810993200000001</v>
      </c>
      <c r="L10" s="206">
        <f>Sector_estimates!M41</f>
        <v>0.35994211599999998</v>
      </c>
      <c r="M10" s="206">
        <f>Sector_estimates!N41</f>
        <v>0.11692241599999999</v>
      </c>
      <c r="N10" s="206"/>
      <c r="O10" s="206">
        <f>Sector_estimates!P30</f>
        <v>284.05789150507343</v>
      </c>
      <c r="P10" s="206">
        <f>Sector_estimates!Q30</f>
        <v>98.622817830946644</v>
      </c>
      <c r="Q10" s="206">
        <f>Sector_estimates!R30</f>
        <v>202.71801720025496</v>
      </c>
      <c r="R10" s="206">
        <f>Sector_estimates!S30</f>
        <v>171.24078189275644</v>
      </c>
      <c r="S10" s="206">
        <f>Sector_estimates!T30</f>
        <v>1.074347625719795</v>
      </c>
      <c r="T10" s="206">
        <f>Sector_estimates!U30</f>
        <v>24.031789706781694</v>
      </c>
      <c r="U10" s="206">
        <f>Sector_estimates!V30</f>
        <v>110.75391257730762</v>
      </c>
      <c r="V10" s="206">
        <f>Sector_estimates!W30</f>
        <v>4.3193389838630631</v>
      </c>
      <c r="W10" s="206">
        <f>Sector_estimates!X30</f>
        <v>1.4232419090591697</v>
      </c>
      <c r="X10" s="206">
        <f>Sector_estimates!Y30</f>
        <v>1.4081309194869536</v>
      </c>
    </row>
    <row r="11" spans="3:184" x14ac:dyDescent="0.2">
      <c r="C11">
        <v>2017</v>
      </c>
      <c r="D11" s="206">
        <f>Sector_estimates!E42</f>
        <v>130.022612576</v>
      </c>
      <c r="E11" s="206">
        <f>Sector_estimates!F42</f>
        <v>31.650087320000001</v>
      </c>
      <c r="F11" s="206">
        <f>Sector_estimates!G42</f>
        <v>73.591909659999999</v>
      </c>
      <c r="G11" s="206">
        <f>Sector_estimates!H42</f>
        <v>43.736326208000015</v>
      </c>
      <c r="H11" s="206">
        <f>Sector_estimates!I42</f>
        <v>0.76088282399999996</v>
      </c>
      <c r="I11" s="206">
        <f>Sector_estimates!J42</f>
        <v>6.2797689399999994</v>
      </c>
      <c r="J11" s="206">
        <f>Sector_estimates!K42</f>
        <v>22.334559619999997</v>
      </c>
      <c r="K11" s="206">
        <f>Sector_estimates!L42</f>
        <v>0.49268597599999991</v>
      </c>
      <c r="L11" s="206">
        <f>Sector_estimates!M42</f>
        <v>0.24681725600000004</v>
      </c>
      <c r="M11" s="206">
        <f>Sector_estimates!N42</f>
        <v>0.174138244</v>
      </c>
      <c r="N11" s="206"/>
      <c r="O11" s="206">
        <f>Sector_estimates!P31</f>
        <v>736.08531814343405</v>
      </c>
      <c r="P11" s="206">
        <f>Sector_estimates!Q31</f>
        <v>64.388053020237038</v>
      </c>
      <c r="Q11" s="206">
        <f>Sector_estimates!R31</f>
        <v>253.5933887380871</v>
      </c>
      <c r="R11" s="206">
        <f>Sector_estimates!S31</f>
        <v>143.772986604837</v>
      </c>
      <c r="S11" s="206">
        <f>Sector_estimates!T31</f>
        <v>1.1368257491720202</v>
      </c>
      <c r="T11" s="206">
        <f>Sector_estimates!U31</f>
        <v>11.754590642379634</v>
      </c>
      <c r="U11" s="206">
        <f>Sector_estimates!V31</f>
        <v>123.88651419850765</v>
      </c>
      <c r="V11" s="206">
        <f>Sector_estimates!W31</f>
        <v>1.4908342939357209</v>
      </c>
      <c r="W11" s="206">
        <f>Sector_estimates!X31</f>
        <v>0.94848325802050393</v>
      </c>
      <c r="X11" s="206">
        <f>Sector_estimates!Y31</f>
        <v>1.0226107013212928</v>
      </c>
    </row>
    <row r="13" spans="3:184" ht="18" x14ac:dyDescent="0.25">
      <c r="CN13" s="225" t="s">
        <v>368</v>
      </c>
      <c r="DJ13" s="225" t="s">
        <v>398</v>
      </c>
      <c r="EB13" s="225" t="s">
        <v>396</v>
      </c>
      <c r="EX13" s="112" t="s">
        <v>404</v>
      </c>
      <c r="FE13" s="112" t="s">
        <v>506</v>
      </c>
    </row>
    <row r="14" spans="3:184" ht="18" x14ac:dyDescent="0.25">
      <c r="C14" s="41" t="s">
        <v>369</v>
      </c>
      <c r="D14" s="226" t="s">
        <v>445</v>
      </c>
      <c r="E14" s="237" t="s">
        <v>499</v>
      </c>
      <c r="F14" s="229"/>
      <c r="G14" s="229"/>
      <c r="H14" s="229"/>
      <c r="I14" s="226" t="s">
        <v>498</v>
      </c>
      <c r="J14" s="152"/>
      <c r="L14" s="108" t="s">
        <v>384</v>
      </c>
      <c r="Z14" s="186" t="s">
        <v>497</v>
      </c>
      <c r="AV14" s="225" t="s">
        <v>358</v>
      </c>
      <c r="BR14" s="225" t="s">
        <v>359</v>
      </c>
      <c r="DJ14" s="108" t="s">
        <v>447</v>
      </c>
      <c r="EX14" s="108" t="s">
        <v>507</v>
      </c>
      <c r="EY14" s="108" t="s">
        <v>507</v>
      </c>
      <c r="EZ14" s="108" t="s">
        <v>507</v>
      </c>
      <c r="FA14" s="108" t="s">
        <v>507</v>
      </c>
    </row>
    <row r="15" spans="3:184" ht="26.25" x14ac:dyDescent="0.25">
      <c r="M15" t="str">
        <f>NEA_Data!C46</f>
        <v>Electricity</v>
      </c>
      <c r="S15" s="135" t="str">
        <f>NEA_Data!I46</f>
        <v>Fuels</v>
      </c>
      <c r="BM15" s="108" t="s">
        <v>385</v>
      </c>
      <c r="BN15" s="108" t="s">
        <v>394</v>
      </c>
      <c r="CI15" s="108" t="s">
        <v>385</v>
      </c>
      <c r="CJ15" s="108" t="s">
        <v>394</v>
      </c>
      <c r="CR15" s="135"/>
      <c r="CS15" s="135"/>
      <c r="CT15" s="135"/>
      <c r="CU15" s="135"/>
      <c r="CV15" s="135"/>
      <c r="CW15" s="135"/>
      <c r="DE15" s="108" t="s">
        <v>385</v>
      </c>
      <c r="DF15" s="108" t="s">
        <v>394</v>
      </c>
      <c r="DW15" s="41" t="s">
        <v>415</v>
      </c>
      <c r="EF15" s="135"/>
      <c r="EG15" s="135"/>
      <c r="EH15" s="135"/>
      <c r="EI15" s="135"/>
      <c r="EJ15" s="135"/>
      <c r="EK15" s="135"/>
      <c r="ES15" s="108" t="s">
        <v>385</v>
      </c>
      <c r="ET15" s="108" t="s">
        <v>394</v>
      </c>
      <c r="FF15" s="235" t="s">
        <v>58</v>
      </c>
      <c r="FG15" s="235"/>
      <c r="FH15" s="235"/>
      <c r="FI15" s="236" t="s">
        <v>356</v>
      </c>
      <c r="FJ15" s="236"/>
      <c r="FK15" s="236"/>
      <c r="FL15" s="237" t="s">
        <v>409</v>
      </c>
      <c r="FM15" s="237"/>
      <c r="FN15" s="237"/>
      <c r="FP15" s="112" t="s">
        <v>449</v>
      </c>
      <c r="FU15" s="154" t="s">
        <v>415</v>
      </c>
      <c r="FZ15" s="108" t="s">
        <v>504</v>
      </c>
    </row>
    <row r="16" spans="3:184" ht="51.75" thickBot="1" x14ac:dyDescent="0.25">
      <c r="C16" s="135"/>
      <c r="D16" s="135" t="str">
        <f>'BEA&amp;BLS_Output_data'!F12</f>
        <v>Oil &amp; Gas</v>
      </c>
      <c r="E16" s="135" t="str">
        <f>'BEA&amp;BLS_Output_data'!G12</f>
        <v>Coal Mining</v>
      </c>
      <c r="F16" s="135" t="str">
        <f>'BEA&amp;BLS_Output_data'!H12</f>
        <v>Metal Ore Mining</v>
      </c>
      <c r="G16" s="135" t="str">
        <f>'BEA&amp;BLS_Output_data'!I12</f>
        <v>Nonmetallic Mineral Mining</v>
      </c>
      <c r="H16" s="135" t="str">
        <f>'BEA&amp;BLS_Output_data'!J12</f>
        <v>Support Activities</v>
      </c>
      <c r="I16" s="150" t="s">
        <v>397</v>
      </c>
      <c r="J16" s="150" t="s">
        <v>402</v>
      </c>
      <c r="K16" s="150"/>
      <c r="L16" s="135"/>
      <c r="M16" s="150" t="s">
        <v>389</v>
      </c>
      <c r="N16" s="150" t="s">
        <v>358</v>
      </c>
      <c r="O16" s="150" t="s">
        <v>359</v>
      </c>
      <c r="P16" s="223" t="s">
        <v>368</v>
      </c>
      <c r="Q16" s="223" t="s">
        <v>360</v>
      </c>
      <c r="R16" s="135"/>
      <c r="S16" t="s">
        <v>389</v>
      </c>
      <c r="T16" s="135" t="s">
        <v>358</v>
      </c>
      <c r="U16" s="135" t="s">
        <v>359</v>
      </c>
      <c r="V16" s="135" t="s">
        <v>368</v>
      </c>
      <c r="W16" s="135" t="s">
        <v>360</v>
      </c>
      <c r="X16" s="135"/>
      <c r="Y16" s="135"/>
      <c r="Z16" s="135"/>
      <c r="AA16" s="150" t="s">
        <v>385</v>
      </c>
      <c r="AB16" s="150" t="s">
        <v>386</v>
      </c>
      <c r="AC16" s="150" t="s">
        <v>356</v>
      </c>
      <c r="AD16" s="135"/>
      <c r="AE16" s="135"/>
      <c r="AF16" s="135"/>
      <c r="AG16" s="135"/>
      <c r="AH16" s="135"/>
      <c r="AI16" s="135"/>
      <c r="AJ16" s="135"/>
      <c r="AK16" s="135"/>
      <c r="AL16" s="135"/>
      <c r="AM16" s="135"/>
      <c r="AN16" s="150" t="s">
        <v>385</v>
      </c>
      <c r="AO16" s="150" t="s">
        <v>392</v>
      </c>
      <c r="AP16" s="150" t="s">
        <v>393</v>
      </c>
      <c r="AQ16" s="150" t="s">
        <v>385</v>
      </c>
      <c r="AR16" s="150" t="s">
        <v>58</v>
      </c>
      <c r="AS16" s="150" t="s">
        <v>356</v>
      </c>
      <c r="AT16" s="150"/>
      <c r="AU16" s="150"/>
      <c r="AV16" s="135"/>
      <c r="AW16" s="150" t="s">
        <v>390</v>
      </c>
      <c r="AX16" s="150" t="s">
        <v>386</v>
      </c>
      <c r="AY16" s="150" t="s">
        <v>356</v>
      </c>
      <c r="AZ16" s="135"/>
      <c r="BA16" s="135"/>
      <c r="BB16" s="135"/>
      <c r="BC16" s="135"/>
      <c r="BD16" s="135"/>
      <c r="BE16" s="135"/>
      <c r="BF16" s="135"/>
      <c r="BG16" s="135"/>
      <c r="BH16" s="135"/>
      <c r="BI16" s="135"/>
      <c r="BJ16" s="150" t="s">
        <v>385</v>
      </c>
      <c r="BK16" s="150" t="s">
        <v>392</v>
      </c>
      <c r="BL16" s="150" t="s">
        <v>393</v>
      </c>
      <c r="BM16" s="150" t="s">
        <v>385</v>
      </c>
      <c r="BN16" s="150" t="s">
        <v>58</v>
      </c>
      <c r="BO16" s="150" t="s">
        <v>356</v>
      </c>
      <c r="BP16" s="135"/>
      <c r="BQ16" s="135"/>
      <c r="BR16" s="135"/>
      <c r="BS16" s="150" t="s">
        <v>395</v>
      </c>
      <c r="BT16" s="150" t="s">
        <v>386</v>
      </c>
      <c r="BU16" s="150" t="s">
        <v>356</v>
      </c>
      <c r="BV16" s="135"/>
      <c r="BW16" s="135"/>
      <c r="BX16" s="135"/>
      <c r="BY16" s="135"/>
      <c r="BZ16" s="135"/>
      <c r="CA16" s="135"/>
      <c r="CE16" s="135"/>
      <c r="CF16" s="150" t="s">
        <v>385</v>
      </c>
      <c r="CG16" s="150" t="s">
        <v>392</v>
      </c>
      <c r="CH16" s="150" t="s">
        <v>393</v>
      </c>
      <c r="CI16" s="150" t="s">
        <v>385</v>
      </c>
      <c r="CJ16" s="150" t="s">
        <v>58</v>
      </c>
      <c r="CK16" s="150" t="s">
        <v>356</v>
      </c>
      <c r="CN16" s="135"/>
      <c r="CO16" s="150" t="s">
        <v>395</v>
      </c>
      <c r="CP16" s="150" t="s">
        <v>386</v>
      </c>
      <c r="CQ16" s="150" t="s">
        <v>356</v>
      </c>
      <c r="DA16" s="135"/>
      <c r="DB16" s="150" t="s">
        <v>385</v>
      </c>
      <c r="DC16" s="150" t="s">
        <v>392</v>
      </c>
      <c r="DD16" s="150" t="s">
        <v>393</v>
      </c>
      <c r="DE16" s="150" t="s">
        <v>385</v>
      </c>
      <c r="DF16" s="150" t="s">
        <v>58</v>
      </c>
      <c r="DG16" s="150" t="s">
        <v>356</v>
      </c>
      <c r="DJ16" s="135"/>
      <c r="DK16" s="150" t="s">
        <v>500</v>
      </c>
      <c r="DL16" s="150" t="s">
        <v>386</v>
      </c>
      <c r="DM16" s="150" t="s">
        <v>356</v>
      </c>
      <c r="DX16" s="108" t="s">
        <v>386</v>
      </c>
      <c r="DY16" s="108" t="s">
        <v>9</v>
      </c>
      <c r="EB16" s="135"/>
      <c r="EC16" s="150" t="s">
        <v>395</v>
      </c>
      <c r="ED16" s="150" t="s">
        <v>386</v>
      </c>
      <c r="EE16" s="150" t="s">
        <v>356</v>
      </c>
      <c r="EO16" s="135"/>
      <c r="EP16" s="150" t="s">
        <v>385</v>
      </c>
      <c r="EQ16" s="150" t="s">
        <v>392</v>
      </c>
      <c r="ER16" s="150" t="s">
        <v>393</v>
      </c>
      <c r="ES16" s="150" t="s">
        <v>385</v>
      </c>
      <c r="ET16" s="150" t="s">
        <v>58</v>
      </c>
      <c r="EU16" s="150" t="s">
        <v>356</v>
      </c>
      <c r="EX16" s="135"/>
      <c r="EY16" s="150" t="s">
        <v>395</v>
      </c>
      <c r="EZ16" s="150" t="s">
        <v>386</v>
      </c>
      <c r="FA16" s="150" t="s">
        <v>356</v>
      </c>
      <c r="FF16" s="153" t="s">
        <v>405</v>
      </c>
      <c r="FG16" s="153" t="s">
        <v>397</v>
      </c>
      <c r="FH16" s="153" t="s">
        <v>406</v>
      </c>
      <c r="FI16" s="153" t="s">
        <v>405</v>
      </c>
      <c r="FJ16" s="153" t="s">
        <v>397</v>
      </c>
      <c r="FK16" s="153" t="s">
        <v>406</v>
      </c>
      <c r="FL16" s="153" t="s">
        <v>405</v>
      </c>
      <c r="FM16" s="153" t="s">
        <v>397</v>
      </c>
      <c r="FN16" s="153" t="s">
        <v>406</v>
      </c>
      <c r="FP16" s="154" t="s">
        <v>407</v>
      </c>
      <c r="FQ16" s="154" t="s">
        <v>408</v>
      </c>
      <c r="FR16" s="154" t="s">
        <v>409</v>
      </c>
      <c r="FS16" s="154" t="s">
        <v>410</v>
      </c>
      <c r="FU16" s="154" t="s">
        <v>386</v>
      </c>
      <c r="FV16" s="154" t="s">
        <v>356</v>
      </c>
      <c r="GA16" s="108" t="s">
        <v>502</v>
      </c>
      <c r="GB16" s="108" t="s">
        <v>503</v>
      </c>
    </row>
    <row r="17" spans="3:186" x14ac:dyDescent="0.2">
      <c r="C17">
        <v>1970</v>
      </c>
      <c r="D17">
        <f>'BEA&amp;BLS_Output_data'!M13</f>
        <v>278893.89408</v>
      </c>
      <c r="I17">
        <f>'BEA&amp;BLS_Output_data'!N13</f>
        <v>86668.354649999994</v>
      </c>
      <c r="J17">
        <f>'BEA&amp;BLS_Output_data'!O13</f>
        <v>17144.67916</v>
      </c>
      <c r="L17">
        <f>NEA_Data!B47</f>
        <v>1958</v>
      </c>
      <c r="M17">
        <f>NEA_Data!C47</f>
        <v>13.968999999999999</v>
      </c>
      <c r="N17">
        <f>NEA_Data!D47</f>
        <v>16.773</v>
      </c>
      <c r="O17">
        <f>NEA_Data!E47</f>
        <v>13.225000000000001</v>
      </c>
      <c r="P17">
        <f>NEA_Data!F47</f>
        <v>11.347999999999999</v>
      </c>
      <c r="Q17">
        <f>NEA_Data!G47</f>
        <v>1.8140000000000001</v>
      </c>
      <c r="S17">
        <f>NEA_Data!I47</f>
        <v>154.77800000000002</v>
      </c>
      <c r="T17">
        <f>NEA_Data!J47</f>
        <v>29.626999999999999</v>
      </c>
      <c r="U17">
        <f>NEA_Data!K47</f>
        <v>80.652000000000001</v>
      </c>
      <c r="V17">
        <f>NEA_Data!L47</f>
        <v>153.851</v>
      </c>
      <c r="W17">
        <f>NEA_Data!M47</f>
        <v>117.773</v>
      </c>
      <c r="Z17">
        <v>1970</v>
      </c>
      <c r="AA17" s="206">
        <f t="shared" ref="AA17:AA57" si="0">D17*0.0001</f>
        <v>27.889389408</v>
      </c>
      <c r="AB17">
        <f>M29</f>
        <v>42.785000000000004</v>
      </c>
      <c r="AC17">
        <f>S29</f>
        <v>193.65699999999998</v>
      </c>
      <c r="AM17">
        <f>Z17</f>
        <v>1970</v>
      </c>
      <c r="AN17">
        <f>AA17</f>
        <v>27.889389408</v>
      </c>
      <c r="AO17">
        <f>AO$24</f>
        <v>3.82</v>
      </c>
      <c r="AP17">
        <f>AP$24</f>
        <v>14.58</v>
      </c>
      <c r="AQ17" s="3">
        <f>AN17*10000</f>
        <v>278893.89408</v>
      </c>
      <c r="AR17">
        <f t="shared" ref="AR17:AR57" si="1">AO17*AN17</f>
        <v>106.53746753855999</v>
      </c>
      <c r="AS17">
        <f t="shared" ref="AS17:AS57" si="2">AP17*AN17</f>
        <v>406.62729756864002</v>
      </c>
      <c r="AV17">
        <v>1970</v>
      </c>
      <c r="AW17" s="152">
        <f>612.7/602.5*AW19</f>
        <v>26.699177908713693</v>
      </c>
      <c r="AX17">
        <f>N29</f>
        <v>25.768000000000001</v>
      </c>
      <c r="AY17">
        <f>T29</f>
        <v>40.186</v>
      </c>
      <c r="BI17">
        <f>AV17</f>
        <v>1970</v>
      </c>
      <c r="BJ17">
        <f>AW17</f>
        <v>26.699177908713693</v>
      </c>
      <c r="BK17">
        <f>BK$24</f>
        <v>1.1294956424817195</v>
      </c>
      <c r="BL17">
        <f>BL$24</f>
        <v>2.5909698000441996</v>
      </c>
      <c r="BM17" s="148">
        <f>BJ17*1000</f>
        <v>26699.177908713693</v>
      </c>
      <c r="BN17">
        <f t="shared" ref="BN17:BN56" si="3">BK17*BJ17</f>
        <v>30.156605105736304</v>
      </c>
      <c r="BO17">
        <f t="shared" ref="BO17:BO56" si="4">BL17*BJ17</f>
        <v>69.176763647484435</v>
      </c>
      <c r="BR17">
        <v>1970</v>
      </c>
      <c r="BS17" s="152">
        <f>0.94*BS19</f>
        <v>333.51293999999996</v>
      </c>
      <c r="BT17">
        <f>O29</f>
        <v>37.037999999999997</v>
      </c>
      <c r="BU17">
        <f>U29</f>
        <v>137.791</v>
      </c>
      <c r="CE17">
        <f>BR17</f>
        <v>1970</v>
      </c>
      <c r="CF17">
        <f>BS17</f>
        <v>333.51293999999996</v>
      </c>
      <c r="CG17">
        <f>CG$24</f>
        <v>0.118411253390245</v>
      </c>
      <c r="CH17">
        <f>CH$24</f>
        <v>0.33936352318705254</v>
      </c>
      <c r="CI17" s="148">
        <f>CF17*1000</f>
        <v>333512.93999999994</v>
      </c>
      <c r="CJ17">
        <f t="shared" ref="CJ17:CJ57" si="5">CG17*CF17</f>
        <v>39.491685247265572</v>
      </c>
      <c r="CK17">
        <f t="shared" ref="CK17:CK57" si="6">CH17*CF17</f>
        <v>113.18212634687205</v>
      </c>
      <c r="CN17">
        <v>1970</v>
      </c>
      <c r="CO17" s="152">
        <f>0.94*CO19</f>
        <v>242.36207999999999</v>
      </c>
      <c r="CP17">
        <f t="shared" ref="CP17:CP32" si="7">P29</f>
        <v>25.613999999999997</v>
      </c>
      <c r="CQ17">
        <f t="shared" ref="CQ17:CQ32" si="8">V29*0.9</f>
        <v>222.5754</v>
      </c>
      <c r="DA17">
        <f t="shared" ref="DA17:DA57" si="9">CN17</f>
        <v>1970</v>
      </c>
      <c r="DB17">
        <f t="shared" ref="DB17:DB57" si="10">CO17</f>
        <v>242.36207999999999</v>
      </c>
      <c r="DC17">
        <f>DC$24</f>
        <v>0.12825214986208433</v>
      </c>
      <c r="DD17">
        <f>DD$24</f>
        <v>0.9404362738994102</v>
      </c>
      <c r="DE17" s="148">
        <f t="shared" ref="DE17:DE57" si="11">DB17*1000</f>
        <v>242362.08</v>
      </c>
      <c r="DF17">
        <f t="shared" ref="DF17:DF57" si="12">DC17*DB17</f>
        <v>31.083457805046471</v>
      </c>
      <c r="DG17">
        <f t="shared" ref="DG17:DG57" si="13">DD17*DB17</f>
        <v>227.92609144971075</v>
      </c>
      <c r="DJ17">
        <v>1970</v>
      </c>
      <c r="DK17" s="152">
        <f>I17*0.01</f>
        <v>866.68354649999992</v>
      </c>
      <c r="DL17">
        <f>BN17+CJ17+DF17</f>
        <v>100.73174815804833</v>
      </c>
      <c r="DM17">
        <f>BO17+CK17+DG17</f>
        <v>410.28498144406728</v>
      </c>
      <c r="DW17">
        <f>DJ17</f>
        <v>1970</v>
      </c>
      <c r="DX17">
        <f>DL17/$DK17</f>
        <v>0.11622667646667773</v>
      </c>
      <c r="DY17">
        <f>DM17/$DK17</f>
        <v>0.47339652760336248</v>
      </c>
      <c r="EB17">
        <v>1970</v>
      </c>
      <c r="EC17" s="152">
        <f>0.95*EC19</f>
        <v>47.722585000000002</v>
      </c>
      <c r="ED17">
        <f t="shared" ref="ED17:ED32" si="14">Q29</f>
        <v>1.4039999999999999</v>
      </c>
      <c r="EE17">
        <f t="shared" ref="EE17:EE32" si="15">W29</f>
        <v>79.72</v>
      </c>
      <c r="EO17">
        <f t="shared" ref="EO17:EO57" si="16">EB17</f>
        <v>1970</v>
      </c>
      <c r="EP17">
        <f t="shared" ref="EP17:EP57" si="17">EC17</f>
        <v>47.722585000000002</v>
      </c>
      <c r="EQ17">
        <f t="shared" ref="EQ17:EQ23" si="18">EQ$24</f>
        <v>0.08</v>
      </c>
      <c r="ER17">
        <f t="shared" ref="ER17:ER23" si="19">ER$25</f>
        <v>1.2463977287481347</v>
      </c>
      <c r="ES17" s="148">
        <f>EP17*1000</f>
        <v>47722.584999999999</v>
      </c>
      <c r="ET17">
        <f t="shared" ref="ET17:ET57" si="20">EQ17*EP17</f>
        <v>3.8178068000000001</v>
      </c>
      <c r="EU17">
        <f t="shared" ref="EU17:EU57" si="21">ER17*EP17</f>
        <v>59.481321553989808</v>
      </c>
      <c r="EX17">
        <v>1970</v>
      </c>
      <c r="EY17" s="152">
        <f>AX17*0.01</f>
        <v>0.25768000000000002</v>
      </c>
      <c r="EZ17">
        <f t="shared" ref="EZ17:EZ56" si="22">DB17+DX17+ET18</f>
        <v>246.37648835646667</v>
      </c>
      <c r="FA17">
        <f t="shared" ref="FA17:FA56" si="23">DC17+DY17+EU18</f>
        <v>61.335208579960302</v>
      </c>
      <c r="FE17">
        <f>EX17</f>
        <v>1970</v>
      </c>
      <c r="FF17" s="184">
        <f>AR17</f>
        <v>106.53746753855999</v>
      </c>
      <c r="FG17" s="184">
        <f>DL17</f>
        <v>100.73174815804833</v>
      </c>
      <c r="FH17" s="184">
        <f>ET17</f>
        <v>3.8178068000000001</v>
      </c>
      <c r="FI17" s="184">
        <f>AS17</f>
        <v>406.62729756864002</v>
      </c>
      <c r="FJ17" s="184">
        <f>DM17</f>
        <v>410.28498144406728</v>
      </c>
      <c r="FK17" s="184">
        <f>EU17</f>
        <v>59.481321553989808</v>
      </c>
      <c r="FL17" s="148">
        <f>AQ17</f>
        <v>278893.89408</v>
      </c>
      <c r="FM17" s="148">
        <f>DK17*100</f>
        <v>86668.354649999994</v>
      </c>
      <c r="FN17" s="148">
        <f>ES17</f>
        <v>47722.584999999999</v>
      </c>
      <c r="FP17">
        <f>SUM(FF17:FH17)</f>
        <v>211.08702249660834</v>
      </c>
      <c r="FQ17">
        <f>SUM(FI17:FK17)</f>
        <v>876.39360056669716</v>
      </c>
      <c r="FR17" s="148">
        <f>[5]Indicators_NonMan_2018_BEA!U5</f>
        <v>344533.53800000006</v>
      </c>
      <c r="FS17" s="3">
        <f>[5]Indicators_NonMan_2018_BEA!I5</f>
        <v>286934.34858000005</v>
      </c>
      <c r="FU17" s="13">
        <f>FP17/FR17*1000</f>
        <v>0.61267481744145413</v>
      </c>
      <c r="FV17" s="13">
        <f>FQ17/FR17*1000</f>
        <v>2.5437105648817764</v>
      </c>
      <c r="FW17" s="13"/>
      <c r="FX17" s="13">
        <f>FG17/FM17</f>
        <v>1.1622667646667773E-3</v>
      </c>
      <c r="FZ17">
        <f>FE17</f>
        <v>1970</v>
      </c>
      <c r="GB17">
        <f>J17</f>
        <v>17144.67916</v>
      </c>
    </row>
    <row r="18" spans="3:186" x14ac:dyDescent="0.2">
      <c r="C18">
        <v>1971</v>
      </c>
      <c r="D18">
        <f>'BEA&amp;BLS_Output_data'!M14</f>
        <v>276050.70240000001</v>
      </c>
      <c r="I18">
        <f>'BEA&amp;BLS_Output_data'!N14</f>
        <v>79951.404450000002</v>
      </c>
      <c r="J18">
        <f>'BEA&amp;BLS_Output_data'!O14</f>
        <v>15903.714190000001</v>
      </c>
      <c r="L18">
        <f>NEA_Data!B48</f>
        <v>1959</v>
      </c>
      <c r="M18">
        <f>NEA_Data!C48</f>
        <v>15.805</v>
      </c>
      <c r="N18">
        <f>NEA_Data!D48</f>
        <v>16.749000000000002</v>
      </c>
      <c r="O18">
        <f>NEA_Data!E48</f>
        <v>13.004</v>
      </c>
      <c r="P18">
        <f>NEA_Data!F48</f>
        <v>12.856</v>
      </c>
      <c r="Q18">
        <f>NEA_Data!G48</f>
        <v>1.915</v>
      </c>
      <c r="S18">
        <f>NEA_Data!I48</f>
        <v>159.40800000000002</v>
      </c>
      <c r="T18">
        <f>NEA_Data!J48</f>
        <v>28.373999999999999</v>
      </c>
      <c r="U18">
        <f>NEA_Data!K48</f>
        <v>75.967000000000013</v>
      </c>
      <c r="V18">
        <f>NEA_Data!L48</f>
        <v>167.74</v>
      </c>
      <c r="W18">
        <f>NEA_Data!M48</f>
        <v>119.101</v>
      </c>
      <c r="Z18">
        <f>Z17+1</f>
        <v>1971</v>
      </c>
      <c r="AA18" s="206">
        <f t="shared" si="0"/>
        <v>27.605070240000003</v>
      </c>
      <c r="AB18">
        <f t="shared" ref="AB18:AB32" si="24">M30</f>
        <v>44.602999999999994</v>
      </c>
      <c r="AC18">
        <f t="shared" ref="AC18:AC32" si="25">S30</f>
        <v>198.55599999999998</v>
      </c>
      <c r="AM18">
        <f t="shared" ref="AM18:AM57" si="26">Z18</f>
        <v>1971</v>
      </c>
      <c r="AN18">
        <f t="shared" ref="AN18:AN58" si="27">AA18</f>
        <v>27.605070240000003</v>
      </c>
      <c r="AO18">
        <f t="shared" ref="AO18:AP23" si="28">AO$24</f>
        <v>3.82</v>
      </c>
      <c r="AP18">
        <f t="shared" si="28"/>
        <v>14.58</v>
      </c>
      <c r="AQ18" s="3">
        <f t="shared" ref="AQ18:AQ58" si="29">AN18*10000</f>
        <v>276050.70240000001</v>
      </c>
      <c r="AR18">
        <f t="shared" si="1"/>
        <v>105.45136831680001</v>
      </c>
      <c r="AS18">
        <f t="shared" si="2"/>
        <v>402.48192409920006</v>
      </c>
      <c r="AV18">
        <f>AV17+1</f>
        <v>1971</v>
      </c>
      <c r="AW18" s="152">
        <f>560.9/602.5*AW19</f>
        <v>24.441927352697093</v>
      </c>
      <c r="AX18">
        <f t="shared" ref="AX18:AX32" si="30">N30</f>
        <v>24.885999999999999</v>
      </c>
      <c r="AY18">
        <f t="shared" ref="AY18:AY32" si="31">T30</f>
        <v>38.961999999999996</v>
      </c>
      <c r="BI18">
        <f t="shared" ref="BI18:BI57" si="32">AV18</f>
        <v>1971</v>
      </c>
      <c r="BJ18">
        <f t="shared" ref="BJ18:BJ64" si="33">AW18</f>
        <v>24.441927352697093</v>
      </c>
      <c r="BK18">
        <f t="shared" ref="BK18:BL23" si="34">BK$24</f>
        <v>1.1294956424817195</v>
      </c>
      <c r="BL18">
        <f t="shared" si="34"/>
        <v>2.5909698000441996</v>
      </c>
      <c r="BM18" s="148">
        <f t="shared" ref="BM18:BM61" si="35">BJ18*1000</f>
        <v>24441.927352697094</v>
      </c>
      <c r="BN18">
        <f t="shared" si="3"/>
        <v>27.607050438726116</v>
      </c>
      <c r="BO18">
        <f t="shared" si="4"/>
        <v>63.328295625712443</v>
      </c>
      <c r="BR18">
        <f>BR17+1</f>
        <v>1971</v>
      </c>
      <c r="BS18" s="152">
        <f>0.97*BS19</f>
        <v>344.15697</v>
      </c>
      <c r="BT18">
        <f t="shared" ref="BT18:BT32" si="36">O30</f>
        <v>35.013999999999996</v>
      </c>
      <c r="BU18">
        <f t="shared" ref="BU18:BU32" si="37">U30</f>
        <v>127.316</v>
      </c>
      <c r="CE18">
        <f t="shared" ref="CE18:CE57" si="38">BR18</f>
        <v>1971</v>
      </c>
      <c r="CF18">
        <f t="shared" ref="CF18:CF57" si="39">BS18</f>
        <v>344.15697</v>
      </c>
      <c r="CG18">
        <f t="shared" ref="CG18:CH23" si="40">CG$24</f>
        <v>0.118411253390245</v>
      </c>
      <c r="CH18">
        <f t="shared" si="40"/>
        <v>0.33936352318705254</v>
      </c>
      <c r="CI18" s="148">
        <f t="shared" ref="CI18:CI57" si="41">CF18*1000</f>
        <v>344156.97</v>
      </c>
      <c r="CJ18">
        <f t="shared" si="5"/>
        <v>40.752058180688948</v>
      </c>
      <c r="CK18">
        <f t="shared" si="6"/>
        <v>116.79432186858075</v>
      </c>
      <c r="CN18">
        <f>CN17+1</f>
        <v>1971</v>
      </c>
      <c r="CO18" s="152">
        <f>0.97*CO19</f>
        <v>250.09703999999999</v>
      </c>
      <c r="CP18">
        <f t="shared" si="7"/>
        <v>26.195</v>
      </c>
      <c r="CQ18">
        <f t="shared" si="8"/>
        <v>223.98930000000001</v>
      </c>
      <c r="DA18">
        <f t="shared" si="9"/>
        <v>1971</v>
      </c>
      <c r="DB18">
        <f t="shared" si="10"/>
        <v>250.09703999999999</v>
      </c>
      <c r="DC18">
        <f t="shared" ref="DC18:DC23" si="42">DC$25</f>
        <v>0.13025066086751366</v>
      </c>
      <c r="DD18">
        <f t="shared" ref="DD18:DD23" si="43">DD$24</f>
        <v>0.9404362738994102</v>
      </c>
      <c r="DE18" s="148">
        <f t="shared" si="11"/>
        <v>250097.03999999998</v>
      </c>
      <c r="DF18">
        <f t="shared" si="12"/>
        <v>32.575304741008999</v>
      </c>
      <c r="DG18">
        <f t="shared" si="13"/>
        <v>235.20032841087175</v>
      </c>
      <c r="DJ18">
        <f>DJ17+1</f>
        <v>1971</v>
      </c>
      <c r="DK18" s="152">
        <f t="shared" ref="DK18:DK64" si="44">I18*0.01</f>
        <v>799.51404450000007</v>
      </c>
      <c r="DL18">
        <f t="shared" ref="DL18:DL57" si="45">BN18+CJ18+DF18</f>
        <v>100.93441336042406</v>
      </c>
      <c r="DM18">
        <f t="shared" ref="DM18:DM57" si="46">BO18+CK18+DG18</f>
        <v>415.32294590516494</v>
      </c>
      <c r="DW18">
        <f t="shared" ref="DW18:DW61" si="47">DJ18</f>
        <v>1971</v>
      </c>
      <c r="DX18">
        <f t="shared" ref="DX18:DX55" si="48">DL18/$DK18</f>
        <v>0.12624470333544471</v>
      </c>
      <c r="DY18">
        <f t="shared" ref="DY18:DY55" si="49">DM18/$DK18</f>
        <v>0.51946923104383924</v>
      </c>
      <c r="EB18">
        <f>EB17+1</f>
        <v>1971</v>
      </c>
      <c r="EC18" s="152">
        <f>0.97*EC19</f>
        <v>48.727271000000002</v>
      </c>
      <c r="ED18">
        <f t="shared" si="14"/>
        <v>1.26</v>
      </c>
      <c r="EE18">
        <f t="shared" si="15"/>
        <v>74.004000000000005</v>
      </c>
      <c r="EO18">
        <f t="shared" si="16"/>
        <v>1971</v>
      </c>
      <c r="EP18">
        <f t="shared" si="17"/>
        <v>48.727271000000002</v>
      </c>
      <c r="EQ18">
        <f t="shared" si="18"/>
        <v>0.08</v>
      </c>
      <c r="ER18">
        <f t="shared" si="19"/>
        <v>1.2463977287481347</v>
      </c>
      <c r="ES18" s="148">
        <f t="shared" ref="ES18:ES57" si="50">EP18*1000</f>
        <v>48727.271000000001</v>
      </c>
      <c r="ET18">
        <f t="shared" si="20"/>
        <v>3.8981816800000004</v>
      </c>
      <c r="EU18">
        <f t="shared" si="21"/>
        <v>60.733559902494854</v>
      </c>
      <c r="EX18">
        <f>EX17+1</f>
        <v>1971</v>
      </c>
      <c r="EY18" s="152">
        <f t="shared" ref="EY18:EY57" si="51">AX18*0.01</f>
        <v>0.24886</v>
      </c>
      <c r="EZ18">
        <f t="shared" si="22"/>
        <v>254.24202870333542</v>
      </c>
      <c r="FA18">
        <f t="shared" si="23"/>
        <v>63.261637317163782</v>
      </c>
      <c r="FE18">
        <f t="shared" ref="FE18:FE57" si="52">EX18</f>
        <v>1971</v>
      </c>
      <c r="FF18" s="184">
        <f t="shared" ref="FF18:FF56" si="53">AR18</f>
        <v>105.45136831680001</v>
      </c>
      <c r="FG18" s="184">
        <f t="shared" ref="FG18:FG56" si="54">DL18</f>
        <v>100.93441336042406</v>
      </c>
      <c r="FH18" s="184">
        <f t="shared" ref="FH18:FH56" si="55">ET18</f>
        <v>3.8981816800000004</v>
      </c>
      <c r="FI18" s="184">
        <f t="shared" ref="FI18:FI56" si="56">AS18</f>
        <v>402.48192409920006</v>
      </c>
      <c r="FJ18" s="184">
        <f t="shared" ref="FJ18:FJ56" si="57">DM18</f>
        <v>415.32294590516494</v>
      </c>
      <c r="FK18" s="184">
        <f t="shared" ref="FK18:FK56" si="58">EU18</f>
        <v>60.733559902494854</v>
      </c>
      <c r="FL18" s="148">
        <f t="shared" ref="FL18:FL56" si="59">AQ18</f>
        <v>276050.70240000001</v>
      </c>
      <c r="FM18" s="148">
        <f t="shared" ref="FM18:FM56" si="60">DK18*100</f>
        <v>79951.404450000002</v>
      </c>
      <c r="FN18" s="148">
        <f t="shared" ref="FN18:FN56" si="61">ES18</f>
        <v>48727.271000000001</v>
      </c>
      <c r="FP18">
        <f t="shared" ref="FP18:FP57" si="62">SUM(FF18:FH18)</f>
        <v>210.28396335722408</v>
      </c>
      <c r="FQ18">
        <f t="shared" ref="FQ18:FQ57" si="63">SUM(FI18:FK18)</f>
        <v>878.53842990685996</v>
      </c>
      <c r="FR18" s="148">
        <f>[5]Indicators_NonMan_2018_BEA!U6</f>
        <v>329096.96418000001</v>
      </c>
      <c r="FS18" s="3">
        <f>[5]Indicators_NonMan_2018_BEA!I6</f>
        <v>273389.72408000001</v>
      </c>
      <c r="FU18" s="13">
        <f t="shared" ref="FU18:FU64" si="64">FP18/FR18*1000</f>
        <v>0.63897266230085614</v>
      </c>
      <c r="FV18" s="13">
        <f t="shared" ref="FV18:FV64" si="65">FQ18/FR18*1000</f>
        <v>2.6695427959838067</v>
      </c>
      <c r="FW18" s="13"/>
      <c r="FX18" s="13">
        <f t="shared" ref="FX18:FX64" si="66">FG18/FM18</f>
        <v>1.2624470333544473E-3</v>
      </c>
      <c r="FZ18">
        <f t="shared" ref="FZ18:FZ19" si="67">FE18</f>
        <v>1971</v>
      </c>
      <c r="GB18">
        <f t="shared" ref="GB18:GB19" si="68">J18</f>
        <v>15903.714190000001</v>
      </c>
    </row>
    <row r="19" spans="3:186" x14ac:dyDescent="0.2">
      <c r="C19">
        <f>'BEA&amp;BLS_Output_data'!E15</f>
        <v>1972</v>
      </c>
      <c r="D19">
        <f>'BEA&amp;BLS_Output_data'!M15</f>
        <v>274262.82803999999</v>
      </c>
      <c r="E19">
        <f>'BEA&amp;BLS_Output_data'!G15</f>
        <v>26254.7</v>
      </c>
      <c r="F19">
        <f>'BEA&amp;BLS_Output_data'!H15</f>
        <v>35480.1</v>
      </c>
      <c r="G19">
        <f>'BEA&amp;BLS_Output_data'!I15</f>
        <v>25783.200000000001</v>
      </c>
      <c r="H19">
        <f>'BEA&amp;BLS_Output_data'!J15</f>
        <v>50234.3</v>
      </c>
      <c r="I19">
        <f>'BEA&amp;BLS_Output_data'!N15</f>
        <v>80174.554799999998</v>
      </c>
      <c r="J19">
        <f>'BEA&amp;BLS_Output_data'!O15</f>
        <v>18396.959919999998</v>
      </c>
      <c r="L19">
        <f>NEA_Data!B49</f>
        <v>1960</v>
      </c>
      <c r="M19">
        <f>NEA_Data!C49</f>
        <v>17.044</v>
      </c>
      <c r="N19">
        <f>NEA_Data!D49</f>
        <v>16.847000000000001</v>
      </c>
      <c r="O19">
        <f>NEA_Data!E49</f>
        <v>16.882999999999999</v>
      </c>
      <c r="P19">
        <f>NEA_Data!F49</f>
        <v>13.484999999999999</v>
      </c>
      <c r="Q19">
        <f>NEA_Data!G49</f>
        <v>1.841</v>
      </c>
      <c r="S19">
        <f>NEA_Data!I49</f>
        <v>157.66500000000002</v>
      </c>
      <c r="T19">
        <f>NEA_Data!J49</f>
        <v>27.469000000000001</v>
      </c>
      <c r="U19">
        <f>NEA_Data!K49</f>
        <v>96.471000000000004</v>
      </c>
      <c r="V19">
        <f>NEA_Data!L49</f>
        <v>169.61699999999999</v>
      </c>
      <c r="W19">
        <f>NEA_Data!M49</f>
        <v>109.735</v>
      </c>
      <c r="Z19">
        <f t="shared" ref="Z19:Z61" si="69">Z18+1</f>
        <v>1972</v>
      </c>
      <c r="AA19" s="206">
        <f t="shared" si="0"/>
        <v>27.426282804</v>
      </c>
      <c r="AB19">
        <f t="shared" si="24"/>
        <v>47.206000000000003</v>
      </c>
      <c r="AC19">
        <f t="shared" si="25"/>
        <v>204.72399999999999</v>
      </c>
      <c r="AM19">
        <f t="shared" si="26"/>
        <v>1972</v>
      </c>
      <c r="AN19">
        <f t="shared" si="27"/>
        <v>27.426282804</v>
      </c>
      <c r="AO19">
        <f t="shared" si="28"/>
        <v>3.82</v>
      </c>
      <c r="AP19">
        <f t="shared" si="28"/>
        <v>14.58</v>
      </c>
      <c r="AQ19" s="3">
        <f t="shared" si="29"/>
        <v>274262.82803999999</v>
      </c>
      <c r="AR19">
        <f t="shared" si="1"/>
        <v>104.76840031127999</v>
      </c>
      <c r="AS19">
        <f t="shared" si="2"/>
        <v>399.87520328232</v>
      </c>
      <c r="AV19">
        <f t="shared" ref="AV19:AV64" si="70">AV18+1</f>
        <v>1972</v>
      </c>
      <c r="AW19">
        <f t="shared" ref="AW19:AW57" si="71">E19*0.001</f>
        <v>26.2547</v>
      </c>
      <c r="AX19">
        <f t="shared" si="30"/>
        <v>28.236000000000001</v>
      </c>
      <c r="AY19">
        <f t="shared" si="31"/>
        <v>44.265999999999998</v>
      </c>
      <c r="BI19">
        <f t="shared" si="32"/>
        <v>1972</v>
      </c>
      <c r="BJ19">
        <f t="shared" si="33"/>
        <v>26.2547</v>
      </c>
      <c r="BK19">
        <f t="shared" si="34"/>
        <v>1.1294956424817195</v>
      </c>
      <c r="BL19">
        <f t="shared" si="34"/>
        <v>2.5909698000441996</v>
      </c>
      <c r="BM19" s="148">
        <f t="shared" si="35"/>
        <v>26254.7</v>
      </c>
      <c r="BN19">
        <f t="shared" si="3"/>
        <v>29.654569244664803</v>
      </c>
      <c r="BO19">
        <f t="shared" si="4"/>
        <v>68.025134809220447</v>
      </c>
      <c r="BR19">
        <f t="shared" ref="BR19:BR64" si="72">BR18+1</f>
        <v>1972</v>
      </c>
      <c r="BS19">
        <f t="shared" ref="BS19:BS57" si="73">F19*0.01</f>
        <v>354.80099999999999</v>
      </c>
      <c r="BT19">
        <f t="shared" si="36"/>
        <v>38.048999999999999</v>
      </c>
      <c r="BU19">
        <f t="shared" si="37"/>
        <v>134.101</v>
      </c>
      <c r="CE19">
        <f t="shared" si="38"/>
        <v>1972</v>
      </c>
      <c r="CF19">
        <f t="shared" si="39"/>
        <v>354.80099999999999</v>
      </c>
      <c r="CG19">
        <f t="shared" si="40"/>
        <v>0.118411253390245</v>
      </c>
      <c r="CH19">
        <f t="shared" si="40"/>
        <v>0.33936352318705254</v>
      </c>
      <c r="CI19" s="148">
        <f t="shared" si="41"/>
        <v>354801</v>
      </c>
      <c r="CJ19">
        <f t="shared" si="5"/>
        <v>42.012431114112317</v>
      </c>
      <c r="CK19">
        <f t="shared" si="6"/>
        <v>120.40651739028942</v>
      </c>
      <c r="CN19">
        <f t="shared" ref="CN19:CN64" si="74">CN18+1</f>
        <v>1972</v>
      </c>
      <c r="CO19">
        <f t="shared" ref="CO19:CO57" si="75">G19*0.01</f>
        <v>257.83199999999999</v>
      </c>
      <c r="CP19">
        <f t="shared" si="7"/>
        <v>27.960999999999999</v>
      </c>
      <c r="CQ19">
        <f t="shared" si="8"/>
        <v>235.77029999999999</v>
      </c>
      <c r="DA19">
        <f t="shared" si="9"/>
        <v>1972</v>
      </c>
      <c r="DB19">
        <f t="shared" si="10"/>
        <v>257.83199999999999</v>
      </c>
      <c r="DC19">
        <f t="shared" si="42"/>
        <v>0.13025066086751366</v>
      </c>
      <c r="DD19">
        <f t="shared" si="43"/>
        <v>0.9404362738994102</v>
      </c>
      <c r="DE19" s="148">
        <f t="shared" si="11"/>
        <v>257832</v>
      </c>
      <c r="DF19">
        <f t="shared" si="12"/>
        <v>33.582788392792779</v>
      </c>
      <c r="DG19">
        <f t="shared" si="13"/>
        <v>242.47456537203271</v>
      </c>
      <c r="DJ19">
        <f t="shared" ref="DJ19:DJ57" si="76">DJ18+1</f>
        <v>1972</v>
      </c>
      <c r="DK19" s="152">
        <f t="shared" si="44"/>
        <v>801.74554799999999</v>
      </c>
      <c r="DL19">
        <f t="shared" si="45"/>
        <v>105.24978875156989</v>
      </c>
      <c r="DM19">
        <f t="shared" si="46"/>
        <v>430.90621757154258</v>
      </c>
      <c r="DW19">
        <f t="shared" si="47"/>
        <v>1972</v>
      </c>
      <c r="DX19">
        <f t="shared" si="48"/>
        <v>0.13127580067531588</v>
      </c>
      <c r="DY19">
        <f t="shared" si="49"/>
        <v>0.53746006902871213</v>
      </c>
      <c r="EB19">
        <f t="shared" ref="EB19:EB64" si="77">EB18+1</f>
        <v>1972</v>
      </c>
      <c r="EC19">
        <f t="shared" ref="EC19:EC58" si="78">H19*0.001</f>
        <v>50.234300000000005</v>
      </c>
      <c r="ED19">
        <f t="shared" si="14"/>
        <v>1.331</v>
      </c>
      <c r="EE19">
        <f t="shared" si="15"/>
        <v>80.938000000000002</v>
      </c>
      <c r="EO19">
        <f t="shared" si="16"/>
        <v>1972</v>
      </c>
      <c r="EP19">
        <f t="shared" si="17"/>
        <v>50.234300000000005</v>
      </c>
      <c r="EQ19">
        <f t="shared" si="18"/>
        <v>0.08</v>
      </c>
      <c r="ER19">
        <f t="shared" si="19"/>
        <v>1.2463977287481347</v>
      </c>
      <c r="ES19" s="148">
        <f t="shared" si="50"/>
        <v>50234.3</v>
      </c>
      <c r="ET19">
        <f t="shared" si="20"/>
        <v>4.0187440000000008</v>
      </c>
      <c r="EU19">
        <f t="shared" si="21"/>
        <v>62.611917425252429</v>
      </c>
      <c r="EX19">
        <f t="shared" ref="EX19:EX64" si="79">EX18+1</f>
        <v>1972</v>
      </c>
      <c r="EY19" s="152">
        <f t="shared" si="51"/>
        <v>0.28236</v>
      </c>
      <c r="EZ19">
        <f t="shared" si="22"/>
        <v>262.25769180067533</v>
      </c>
      <c r="FA19">
        <f t="shared" si="23"/>
        <v>67.574590088641841</v>
      </c>
      <c r="FE19">
        <f t="shared" si="52"/>
        <v>1972</v>
      </c>
      <c r="FF19" s="184">
        <f t="shared" si="53"/>
        <v>104.76840031127999</v>
      </c>
      <c r="FG19" s="184">
        <f t="shared" si="54"/>
        <v>105.24978875156989</v>
      </c>
      <c r="FH19" s="184">
        <f t="shared" si="55"/>
        <v>4.0187440000000008</v>
      </c>
      <c r="FI19" s="184">
        <f t="shared" si="56"/>
        <v>399.87520328232</v>
      </c>
      <c r="FJ19" s="184">
        <f t="shared" si="57"/>
        <v>430.90621757154258</v>
      </c>
      <c r="FK19" s="184">
        <f t="shared" si="58"/>
        <v>62.611917425252429</v>
      </c>
      <c r="FL19" s="148">
        <f t="shared" si="59"/>
        <v>274262.82803999999</v>
      </c>
      <c r="FM19" s="148">
        <f t="shared" si="60"/>
        <v>80174.554799999998</v>
      </c>
      <c r="FN19" s="148">
        <f t="shared" si="61"/>
        <v>50234.3</v>
      </c>
      <c r="FP19">
        <f t="shared" si="62"/>
        <v>214.0369330628499</v>
      </c>
      <c r="FQ19">
        <f t="shared" si="63"/>
        <v>893.39333827911491</v>
      </c>
      <c r="FR19" s="148">
        <f>[5]Indicators_NonMan_2018_BEA!U7</f>
        <v>333327.00228000002</v>
      </c>
      <c r="FS19" s="3">
        <f>[5]Indicators_NonMan_2018_BEA!I7</f>
        <v>278014.63030000002</v>
      </c>
      <c r="FU19" s="13">
        <f t="shared" si="64"/>
        <v>0.64212299513333593</v>
      </c>
      <c r="FV19" s="13">
        <f t="shared" si="65"/>
        <v>2.6802309208920625</v>
      </c>
      <c r="FW19" s="13"/>
      <c r="FX19" s="13">
        <f t="shared" si="66"/>
        <v>1.3127580067531588E-3</v>
      </c>
      <c r="FZ19">
        <f t="shared" si="67"/>
        <v>1972</v>
      </c>
      <c r="GA19">
        <f t="shared" ref="GA19" si="80">H19</f>
        <v>50234.3</v>
      </c>
      <c r="GB19">
        <f t="shared" si="68"/>
        <v>18396.959919999998</v>
      </c>
      <c r="GD19" s="108" t="s">
        <v>505</v>
      </c>
    </row>
    <row r="20" spans="3:186" x14ac:dyDescent="0.2">
      <c r="C20">
        <f>'BEA&amp;BLS_Output_data'!E16</f>
        <v>1973</v>
      </c>
      <c r="D20">
        <f>'BEA&amp;BLS_Output_data'!M16</f>
        <v>272558.36364</v>
      </c>
      <c r="E20">
        <f>'BEA&amp;BLS_Output_data'!G16</f>
        <v>27935</v>
      </c>
      <c r="F20">
        <f>'BEA&amp;BLS_Output_data'!H16</f>
        <v>43506.400000000001</v>
      </c>
      <c r="G20">
        <f>'BEA&amp;BLS_Output_data'!I16</f>
        <v>29727.1</v>
      </c>
      <c r="H20">
        <f>'BEA&amp;BLS_Output_data'!J16</f>
        <v>53680.2</v>
      </c>
      <c r="I20">
        <f>'BEA&amp;BLS_Output_data'!N16</f>
        <v>89265.126600000003</v>
      </c>
      <c r="J20">
        <f>'BEA&amp;BLS_Output_data'!O16</f>
        <v>18945.147079999999</v>
      </c>
      <c r="L20">
        <f>NEA_Data!B50</f>
        <v>1961</v>
      </c>
      <c r="M20">
        <f>NEA_Data!C50</f>
        <v>18.54</v>
      </c>
      <c r="N20">
        <f>NEA_Data!D50</f>
        <v>16.263000000000002</v>
      </c>
      <c r="O20">
        <f>NEA_Data!E50</f>
        <v>17.489000000000001</v>
      </c>
      <c r="P20">
        <f>NEA_Data!F50</f>
        <v>14.14</v>
      </c>
      <c r="Q20">
        <f>NEA_Data!G50</f>
        <v>1.9159999999999999</v>
      </c>
      <c r="S20">
        <f>NEA_Data!I50</f>
        <v>156.51600000000002</v>
      </c>
      <c r="T20">
        <f>NEA_Data!J50</f>
        <v>25.357999999999997</v>
      </c>
      <c r="U20">
        <f>NEA_Data!K50</f>
        <v>90.981999999999999</v>
      </c>
      <c r="V20">
        <f>NEA_Data!L50</f>
        <v>170.15899999999999</v>
      </c>
      <c r="W20">
        <f>NEA_Data!M50</f>
        <v>109.319</v>
      </c>
      <c r="Z20">
        <f t="shared" si="69"/>
        <v>1973</v>
      </c>
      <c r="AA20" s="206">
        <f t="shared" si="0"/>
        <v>27.255836364</v>
      </c>
      <c r="AB20">
        <f t="shared" si="24"/>
        <v>51.50800000000001</v>
      </c>
      <c r="AC20">
        <f t="shared" si="25"/>
        <v>228.81299999999999</v>
      </c>
      <c r="AM20">
        <f t="shared" si="26"/>
        <v>1973</v>
      </c>
      <c r="AN20">
        <f t="shared" si="27"/>
        <v>27.255836364</v>
      </c>
      <c r="AO20">
        <f t="shared" si="28"/>
        <v>3.82</v>
      </c>
      <c r="AP20">
        <f t="shared" si="28"/>
        <v>14.58</v>
      </c>
      <c r="AQ20" s="3">
        <f t="shared" si="29"/>
        <v>272558.36364</v>
      </c>
      <c r="AR20">
        <f t="shared" si="1"/>
        <v>104.11729491048</v>
      </c>
      <c r="AS20">
        <f t="shared" si="2"/>
        <v>397.39009418711998</v>
      </c>
      <c r="AV20">
        <f t="shared" si="70"/>
        <v>1973</v>
      </c>
      <c r="AW20">
        <f t="shared" si="71"/>
        <v>27.935000000000002</v>
      </c>
      <c r="AX20">
        <f t="shared" si="30"/>
        <v>28.498000000000001</v>
      </c>
      <c r="AY20">
        <f t="shared" si="31"/>
        <v>48.984999999999999</v>
      </c>
      <c r="BI20">
        <f t="shared" si="32"/>
        <v>1973</v>
      </c>
      <c r="BJ20">
        <f t="shared" si="33"/>
        <v>27.935000000000002</v>
      </c>
      <c r="BK20">
        <f t="shared" si="34"/>
        <v>1.1294956424817195</v>
      </c>
      <c r="BL20">
        <f t="shared" si="34"/>
        <v>2.5909698000441996</v>
      </c>
      <c r="BM20" s="148">
        <f t="shared" si="35"/>
        <v>27935.000000000004</v>
      </c>
      <c r="BN20">
        <f t="shared" si="3"/>
        <v>31.552460772726839</v>
      </c>
      <c r="BO20">
        <f t="shared" si="4"/>
        <v>72.378741364234727</v>
      </c>
      <c r="BR20">
        <f t="shared" si="72"/>
        <v>1973</v>
      </c>
      <c r="BS20">
        <f t="shared" si="73"/>
        <v>435.06400000000002</v>
      </c>
      <c r="BT20">
        <f t="shared" si="36"/>
        <v>43.497</v>
      </c>
      <c r="BU20">
        <f t="shared" si="37"/>
        <v>150.74799999999999</v>
      </c>
      <c r="CE20">
        <f t="shared" si="38"/>
        <v>1973</v>
      </c>
      <c r="CF20">
        <f t="shared" si="39"/>
        <v>435.06400000000002</v>
      </c>
      <c r="CG20">
        <f t="shared" si="40"/>
        <v>0.118411253390245</v>
      </c>
      <c r="CH20">
        <f t="shared" si="40"/>
        <v>0.33936352318705254</v>
      </c>
      <c r="CI20" s="148">
        <f t="shared" si="41"/>
        <v>435064</v>
      </c>
      <c r="CJ20">
        <f t="shared" si="5"/>
        <v>51.51647354497355</v>
      </c>
      <c r="CK20">
        <f t="shared" si="6"/>
        <v>147.64485185185183</v>
      </c>
      <c r="CN20">
        <f t="shared" si="74"/>
        <v>1973</v>
      </c>
      <c r="CO20">
        <f t="shared" si="75"/>
        <v>297.27100000000002</v>
      </c>
      <c r="CP20">
        <f t="shared" si="7"/>
        <v>31.134999999999998</v>
      </c>
      <c r="CQ20">
        <f t="shared" si="8"/>
        <v>249.8409</v>
      </c>
      <c r="DA20">
        <f t="shared" si="9"/>
        <v>1973</v>
      </c>
      <c r="DB20">
        <f t="shared" si="10"/>
        <v>297.27100000000002</v>
      </c>
      <c r="DC20">
        <f t="shared" si="42"/>
        <v>0.13025066086751366</v>
      </c>
      <c r="DD20">
        <f t="shared" si="43"/>
        <v>0.9404362738994102</v>
      </c>
      <c r="DE20" s="148">
        <f t="shared" si="11"/>
        <v>297271</v>
      </c>
      <c r="DF20">
        <f t="shared" si="12"/>
        <v>38.719744206746654</v>
      </c>
      <c r="DG20">
        <f t="shared" si="13"/>
        <v>279.56443157835156</v>
      </c>
      <c r="DJ20">
        <f t="shared" si="76"/>
        <v>1973</v>
      </c>
      <c r="DK20" s="152">
        <f t="shared" si="44"/>
        <v>892.65126600000008</v>
      </c>
      <c r="DL20">
        <f t="shared" si="45"/>
        <v>121.78867852444704</v>
      </c>
      <c r="DM20">
        <f t="shared" si="46"/>
        <v>499.58802479443813</v>
      </c>
      <c r="DW20">
        <f t="shared" si="47"/>
        <v>1973</v>
      </c>
      <c r="DX20">
        <f t="shared" si="48"/>
        <v>0.13643477936259044</v>
      </c>
      <c r="DY20">
        <f t="shared" si="49"/>
        <v>0.55966763709764134</v>
      </c>
      <c r="EB20">
        <f t="shared" si="77"/>
        <v>1973</v>
      </c>
      <c r="EC20">
        <f t="shared" si="78"/>
        <v>53.680199999999999</v>
      </c>
      <c r="ED20">
        <f t="shared" si="14"/>
        <v>1.5029999999999999</v>
      </c>
      <c r="EE20">
        <f t="shared" si="15"/>
        <v>79.108000000000004</v>
      </c>
      <c r="EO20">
        <f t="shared" si="16"/>
        <v>1973</v>
      </c>
      <c r="EP20">
        <f t="shared" si="17"/>
        <v>53.680199999999999</v>
      </c>
      <c r="EQ20">
        <f t="shared" si="18"/>
        <v>0.08</v>
      </c>
      <c r="ER20">
        <f t="shared" si="19"/>
        <v>1.2463977287481347</v>
      </c>
      <c r="ES20" s="148">
        <f t="shared" si="50"/>
        <v>53680.2</v>
      </c>
      <c r="ET20">
        <f t="shared" si="20"/>
        <v>4.294416</v>
      </c>
      <c r="EU20">
        <f t="shared" si="21"/>
        <v>66.906879358745613</v>
      </c>
      <c r="EX20">
        <f t="shared" si="79"/>
        <v>1973</v>
      </c>
      <c r="EY20" s="152">
        <f t="shared" si="51"/>
        <v>0.28498000000000001</v>
      </c>
      <c r="EZ20">
        <f t="shared" si="22"/>
        <v>302.75320277936265</v>
      </c>
      <c r="FA20">
        <f t="shared" si="23"/>
        <v>83.976831968145888</v>
      </c>
      <c r="FE20">
        <f t="shared" si="52"/>
        <v>1973</v>
      </c>
      <c r="FF20" s="184">
        <f t="shared" si="53"/>
        <v>104.11729491048</v>
      </c>
      <c r="FG20" s="184">
        <f t="shared" si="54"/>
        <v>121.78867852444704</v>
      </c>
      <c r="FH20" s="184">
        <f t="shared" si="55"/>
        <v>4.294416</v>
      </c>
      <c r="FI20" s="184">
        <f t="shared" si="56"/>
        <v>397.39009418711998</v>
      </c>
      <c r="FJ20" s="184">
        <f t="shared" si="57"/>
        <v>499.58802479443813</v>
      </c>
      <c r="FK20" s="184">
        <f t="shared" si="58"/>
        <v>66.906879358745613</v>
      </c>
      <c r="FL20" s="148">
        <f t="shared" si="59"/>
        <v>272558.36364</v>
      </c>
      <c r="FM20" s="148">
        <f t="shared" si="60"/>
        <v>89265.126600000003</v>
      </c>
      <c r="FN20" s="148">
        <f t="shared" si="61"/>
        <v>53680.2</v>
      </c>
      <c r="FP20">
        <f t="shared" si="62"/>
        <v>230.20038943492705</v>
      </c>
      <c r="FQ20">
        <f t="shared" si="63"/>
        <v>963.8849983403037</v>
      </c>
      <c r="FR20" s="148">
        <f>[5]Indicators_NonMan_2018_BEA!U8</f>
        <v>348714.53218000004</v>
      </c>
      <c r="FS20" s="3">
        <f>[5]Indicators_NonMan_2018_BEA!I8</f>
        <v>284035.26074</v>
      </c>
      <c r="FU20" s="13">
        <f t="shared" si="64"/>
        <v>0.66013993737462551</v>
      </c>
      <c r="FV20" s="13">
        <f t="shared" si="65"/>
        <v>2.7641090616859181</v>
      </c>
      <c r="FW20" s="13"/>
      <c r="FX20" s="13">
        <f t="shared" si="66"/>
        <v>1.3643477936259045E-3</v>
      </c>
      <c r="FZ20">
        <f t="shared" ref="FZ20:FZ64" si="81">FE20</f>
        <v>1973</v>
      </c>
      <c r="GA20">
        <f t="shared" ref="GA20:GA64" si="82">H20</f>
        <v>53680.2</v>
      </c>
      <c r="GB20">
        <f t="shared" ref="GB20:GB64" si="83">J20</f>
        <v>18945.147079999999</v>
      </c>
    </row>
    <row r="21" spans="3:186" x14ac:dyDescent="0.2">
      <c r="C21">
        <f>'BEA&amp;BLS_Output_data'!E17</f>
        <v>1974</v>
      </c>
      <c r="D21">
        <f>'BEA&amp;BLS_Output_data'!M17</f>
        <v>267473.98259999999</v>
      </c>
      <c r="E21">
        <f>'BEA&amp;BLS_Output_data'!G17</f>
        <v>29955</v>
      </c>
      <c r="F21">
        <f>'BEA&amp;BLS_Output_data'!H17</f>
        <v>42016.6</v>
      </c>
      <c r="G21">
        <f>'BEA&amp;BLS_Output_data'!I17</f>
        <v>30502.3</v>
      </c>
      <c r="H21">
        <f>'BEA&amp;BLS_Output_data'!J17</f>
        <v>66822.100000000006</v>
      </c>
      <c r="I21">
        <f>'BEA&amp;BLS_Output_data'!N17</f>
        <v>95290.186050000004</v>
      </c>
      <c r="J21">
        <f>'BEA&amp;BLS_Output_data'!O17</f>
        <v>22371.316829999996</v>
      </c>
      <c r="L21">
        <f>NEA_Data!B51</f>
        <v>1962</v>
      </c>
      <c r="M21">
        <f>NEA_Data!C51</f>
        <v>20.163</v>
      </c>
      <c r="N21">
        <f>NEA_Data!D51</f>
        <v>17.026</v>
      </c>
      <c r="O21">
        <f>NEA_Data!E51</f>
        <v>18.378</v>
      </c>
      <c r="P21">
        <f>NEA_Data!F51</f>
        <v>14.984999999999999</v>
      </c>
      <c r="Q21">
        <f>NEA_Data!G51</f>
        <v>2.06</v>
      </c>
      <c r="S21">
        <f>NEA_Data!I51</f>
        <v>156.06200000000001</v>
      </c>
      <c r="T21">
        <f>NEA_Data!J51</f>
        <v>25.326000000000001</v>
      </c>
      <c r="U21">
        <f>NEA_Data!K51</f>
        <v>87.572000000000003</v>
      </c>
      <c r="V21">
        <f>NEA_Data!L51</f>
        <v>172.16499999999999</v>
      </c>
      <c r="W21">
        <f>NEA_Data!M51</f>
        <v>112.58799999999999</v>
      </c>
      <c r="Z21">
        <f t="shared" si="69"/>
        <v>1974</v>
      </c>
      <c r="AA21" s="206">
        <f t="shared" si="0"/>
        <v>26.747398260000001</v>
      </c>
      <c r="AB21">
        <f t="shared" si="24"/>
        <v>54.448</v>
      </c>
      <c r="AC21">
        <f t="shared" si="25"/>
        <v>247.06899999999996</v>
      </c>
      <c r="AM21">
        <f t="shared" si="26"/>
        <v>1974</v>
      </c>
      <c r="AN21">
        <f t="shared" si="27"/>
        <v>26.747398260000001</v>
      </c>
      <c r="AO21">
        <f t="shared" si="28"/>
        <v>3.82</v>
      </c>
      <c r="AP21">
        <f t="shared" si="28"/>
        <v>14.58</v>
      </c>
      <c r="AQ21" s="3">
        <f t="shared" si="29"/>
        <v>267473.98259999999</v>
      </c>
      <c r="AR21">
        <f t="shared" si="1"/>
        <v>102.17506135319999</v>
      </c>
      <c r="AS21">
        <f t="shared" si="2"/>
        <v>389.97706663080004</v>
      </c>
      <c r="AV21">
        <f t="shared" si="70"/>
        <v>1974</v>
      </c>
      <c r="AW21">
        <f t="shared" si="71"/>
        <v>29.955000000000002</v>
      </c>
      <c r="AX21">
        <f t="shared" si="30"/>
        <v>29.499000000000002</v>
      </c>
      <c r="AY21">
        <f t="shared" si="31"/>
        <v>55.160000000000004</v>
      </c>
      <c r="BI21">
        <f t="shared" si="32"/>
        <v>1974</v>
      </c>
      <c r="BJ21">
        <f t="shared" si="33"/>
        <v>29.955000000000002</v>
      </c>
      <c r="BK21">
        <f t="shared" si="34"/>
        <v>1.1294956424817195</v>
      </c>
      <c r="BL21">
        <f t="shared" si="34"/>
        <v>2.5909698000441996</v>
      </c>
      <c r="BM21" s="148">
        <f t="shared" si="35"/>
        <v>29955.000000000004</v>
      </c>
      <c r="BN21">
        <f t="shared" si="3"/>
        <v>33.834041970539907</v>
      </c>
      <c r="BO21">
        <f t="shared" si="4"/>
        <v>77.612500360324006</v>
      </c>
      <c r="BR21">
        <f t="shared" si="72"/>
        <v>1974</v>
      </c>
      <c r="BS21">
        <f t="shared" si="73"/>
        <v>420.166</v>
      </c>
      <c r="BT21">
        <f t="shared" si="36"/>
        <v>43.447999999999993</v>
      </c>
      <c r="BU21">
        <f t="shared" si="37"/>
        <v>143.398</v>
      </c>
      <c r="CE21">
        <f t="shared" si="38"/>
        <v>1974</v>
      </c>
      <c r="CF21">
        <f t="shared" si="39"/>
        <v>420.166</v>
      </c>
      <c r="CG21">
        <f t="shared" si="40"/>
        <v>0.118411253390245</v>
      </c>
      <c r="CH21">
        <f t="shared" si="40"/>
        <v>0.33936352318705254</v>
      </c>
      <c r="CI21" s="148">
        <f t="shared" si="41"/>
        <v>420166</v>
      </c>
      <c r="CJ21">
        <f t="shared" si="5"/>
        <v>49.752382691965678</v>
      </c>
      <c r="CK21">
        <f t="shared" si="6"/>
        <v>142.58901408341112</v>
      </c>
      <c r="CN21">
        <f t="shared" si="74"/>
        <v>1974</v>
      </c>
      <c r="CO21">
        <f t="shared" si="75"/>
        <v>305.02300000000002</v>
      </c>
      <c r="CP21">
        <f t="shared" si="7"/>
        <v>31.552999999999997</v>
      </c>
      <c r="CQ21">
        <f t="shared" si="8"/>
        <v>248.16239999999999</v>
      </c>
      <c r="DA21">
        <f t="shared" si="9"/>
        <v>1974</v>
      </c>
      <c r="DB21">
        <f t="shared" si="10"/>
        <v>305.02300000000002</v>
      </c>
      <c r="DC21">
        <f t="shared" si="42"/>
        <v>0.13025066086751366</v>
      </c>
      <c r="DD21">
        <f t="shared" si="43"/>
        <v>0.9404362738994102</v>
      </c>
      <c r="DE21" s="148">
        <f t="shared" si="11"/>
        <v>305023</v>
      </c>
      <c r="DF21">
        <f t="shared" si="12"/>
        <v>39.729447329791626</v>
      </c>
      <c r="DG21">
        <f t="shared" si="13"/>
        <v>286.85469357361984</v>
      </c>
      <c r="DJ21">
        <f t="shared" si="76"/>
        <v>1974</v>
      </c>
      <c r="DK21" s="152">
        <f t="shared" si="44"/>
        <v>952.90186050000011</v>
      </c>
      <c r="DL21">
        <f t="shared" si="45"/>
        <v>123.3158719922972</v>
      </c>
      <c r="DM21">
        <f t="shared" si="46"/>
        <v>507.05620801735495</v>
      </c>
      <c r="DW21">
        <f t="shared" si="47"/>
        <v>1974</v>
      </c>
      <c r="DX21">
        <f t="shared" si="48"/>
        <v>0.12941088385281538</v>
      </c>
      <c r="DY21">
        <f t="shared" si="49"/>
        <v>0.5321179746162904</v>
      </c>
      <c r="EB21">
        <f t="shared" si="77"/>
        <v>1974</v>
      </c>
      <c r="EC21">
        <f t="shared" si="78"/>
        <v>66.822100000000006</v>
      </c>
      <c r="ED21">
        <f t="shared" si="14"/>
        <v>1.8779999999999999</v>
      </c>
      <c r="EE21">
        <f t="shared" si="15"/>
        <v>85.676000000000002</v>
      </c>
      <c r="EO21">
        <f t="shared" si="16"/>
        <v>1974</v>
      </c>
      <c r="EP21">
        <f t="shared" si="17"/>
        <v>66.822100000000006</v>
      </c>
      <c r="EQ21">
        <f t="shared" si="18"/>
        <v>0.08</v>
      </c>
      <c r="ER21">
        <f t="shared" si="19"/>
        <v>1.2463977287481347</v>
      </c>
      <c r="ES21" s="148">
        <f t="shared" si="50"/>
        <v>66822.100000000006</v>
      </c>
      <c r="ET21">
        <f t="shared" si="20"/>
        <v>5.3457680000000005</v>
      </c>
      <c r="EU21">
        <f t="shared" si="21"/>
        <v>83.286913670180738</v>
      </c>
      <c r="EX21">
        <f t="shared" si="79"/>
        <v>1974</v>
      </c>
      <c r="EY21" s="152">
        <f t="shared" si="51"/>
        <v>0.29499000000000003</v>
      </c>
      <c r="EZ21">
        <f t="shared" si="22"/>
        <v>311.13205888385284</v>
      </c>
      <c r="FA21">
        <f t="shared" si="23"/>
        <v>93.825114709400395</v>
      </c>
      <c r="FE21">
        <f t="shared" si="52"/>
        <v>1974</v>
      </c>
      <c r="FF21" s="184">
        <f t="shared" si="53"/>
        <v>102.17506135319999</v>
      </c>
      <c r="FG21" s="184">
        <f t="shared" si="54"/>
        <v>123.3158719922972</v>
      </c>
      <c r="FH21" s="184">
        <f t="shared" si="55"/>
        <v>5.3457680000000005</v>
      </c>
      <c r="FI21" s="184">
        <f t="shared" si="56"/>
        <v>389.97706663080004</v>
      </c>
      <c r="FJ21" s="184">
        <f t="shared" si="57"/>
        <v>507.05620801735495</v>
      </c>
      <c r="FK21" s="184">
        <f t="shared" si="58"/>
        <v>83.286913670180738</v>
      </c>
      <c r="FL21" s="148">
        <f t="shared" si="59"/>
        <v>267473.98259999999</v>
      </c>
      <c r="FM21" s="148">
        <f t="shared" si="60"/>
        <v>95290.186050000018</v>
      </c>
      <c r="FN21" s="148">
        <f t="shared" si="61"/>
        <v>66822.100000000006</v>
      </c>
      <c r="FP21">
        <f t="shared" si="62"/>
        <v>230.83670134549718</v>
      </c>
      <c r="FQ21">
        <f t="shared" si="63"/>
        <v>980.32018831833568</v>
      </c>
      <c r="FR21" s="148">
        <f>[5]Indicators_NonMan_2018_BEA!U9</f>
        <v>361380.12452000001</v>
      </c>
      <c r="FS21" s="3">
        <f>[5]Indicators_NonMan_2018_BEA!I9</f>
        <v>234851.2309</v>
      </c>
      <c r="FU21" s="13">
        <f t="shared" si="64"/>
        <v>0.63876424209024785</v>
      </c>
      <c r="FV21" s="13">
        <f t="shared" si="65"/>
        <v>2.7127119667149304</v>
      </c>
      <c r="FW21" s="13"/>
      <c r="FX21" s="13">
        <f t="shared" si="66"/>
        <v>1.2941088385281538E-3</v>
      </c>
      <c r="FZ21">
        <f t="shared" si="81"/>
        <v>1974</v>
      </c>
      <c r="GA21">
        <f t="shared" si="82"/>
        <v>66822.100000000006</v>
      </c>
      <c r="GB21">
        <f t="shared" si="83"/>
        <v>22371.316829999996</v>
      </c>
    </row>
    <row r="22" spans="3:186" x14ac:dyDescent="0.2">
      <c r="C22">
        <f>'BEA&amp;BLS_Output_data'!E18</f>
        <v>1975</v>
      </c>
      <c r="D22">
        <f>'BEA&amp;BLS_Output_data'!M18</f>
        <v>253073.07168000002</v>
      </c>
      <c r="E22">
        <f>'BEA&amp;BLS_Output_data'!G18</f>
        <v>30547.599999999999</v>
      </c>
      <c r="F22">
        <f>'BEA&amp;BLS_Output_data'!H18</f>
        <v>35789.800000000003</v>
      </c>
      <c r="G22">
        <f>'BEA&amp;BLS_Output_data'!I18</f>
        <v>25397.8</v>
      </c>
      <c r="H22">
        <f>'BEA&amp;BLS_Output_data'!J18</f>
        <v>74745.600000000006</v>
      </c>
      <c r="I22">
        <f>'BEA&amp;BLS_Output_data'!N18</f>
        <v>90464.403900000005</v>
      </c>
      <c r="J22">
        <f>'BEA&amp;BLS_Output_data'!O18</f>
        <v>24816.784780000002</v>
      </c>
      <c r="L22">
        <f>NEA_Data!B52</f>
        <v>1963</v>
      </c>
      <c r="M22">
        <f>NEA_Data!C52</f>
        <v>21.856999999999999</v>
      </c>
      <c r="N22">
        <f>NEA_Data!D52</f>
        <v>18.391000000000002</v>
      </c>
      <c r="O22">
        <f>NEA_Data!E52</f>
        <v>19.373999999999999</v>
      </c>
      <c r="P22">
        <f>NEA_Data!F52</f>
        <v>16.213999999999999</v>
      </c>
      <c r="Q22">
        <f>NEA_Data!G52</f>
        <v>1.988</v>
      </c>
      <c r="S22">
        <f>NEA_Data!I52</f>
        <v>155.98500000000001</v>
      </c>
      <c r="T22">
        <f>NEA_Data!J52</f>
        <v>26.010999999999999</v>
      </c>
      <c r="U22">
        <f>NEA_Data!K52</f>
        <v>89.016999999999996</v>
      </c>
      <c r="V22">
        <f>NEA_Data!L52</f>
        <v>178.86199999999999</v>
      </c>
      <c r="W22">
        <f>NEA_Data!M52</f>
        <v>104.273</v>
      </c>
      <c r="Z22">
        <f t="shared" si="69"/>
        <v>1975</v>
      </c>
      <c r="AA22" s="206">
        <f t="shared" si="0"/>
        <v>25.307307168000005</v>
      </c>
      <c r="AB22">
        <f t="shared" si="24"/>
        <v>56.736000000000004</v>
      </c>
      <c r="AC22">
        <f t="shared" si="25"/>
        <v>259.13099999999997</v>
      </c>
      <c r="AM22">
        <f t="shared" si="26"/>
        <v>1975</v>
      </c>
      <c r="AN22">
        <f t="shared" si="27"/>
        <v>25.307307168000005</v>
      </c>
      <c r="AO22">
        <f t="shared" si="28"/>
        <v>3.82</v>
      </c>
      <c r="AP22">
        <f t="shared" si="28"/>
        <v>14.58</v>
      </c>
      <c r="AQ22" s="3">
        <f t="shared" si="29"/>
        <v>253073.07168000005</v>
      </c>
      <c r="AR22">
        <f t="shared" si="1"/>
        <v>96.673913381760016</v>
      </c>
      <c r="AS22">
        <f t="shared" si="2"/>
        <v>368.98053850944007</v>
      </c>
      <c r="AV22">
        <f t="shared" si="70"/>
        <v>1975</v>
      </c>
      <c r="AW22">
        <f t="shared" si="71"/>
        <v>30.547599999999999</v>
      </c>
      <c r="AX22">
        <f t="shared" si="30"/>
        <v>32.14</v>
      </c>
      <c r="AY22">
        <f t="shared" si="31"/>
        <v>64.762999999999991</v>
      </c>
      <c r="BI22">
        <f t="shared" si="32"/>
        <v>1975</v>
      </c>
      <c r="BJ22">
        <f t="shared" si="33"/>
        <v>30.547599999999999</v>
      </c>
      <c r="BK22">
        <f t="shared" si="34"/>
        <v>1.1294956424817195</v>
      </c>
      <c r="BL22">
        <f t="shared" si="34"/>
        <v>2.5909698000441996</v>
      </c>
      <c r="BM22" s="148">
        <f t="shared" si="35"/>
        <v>30547.599999999999</v>
      </c>
      <c r="BN22">
        <f t="shared" si="3"/>
        <v>34.503381088274573</v>
      </c>
      <c r="BO22">
        <f t="shared" si="4"/>
        <v>79.147909063830184</v>
      </c>
      <c r="BR22">
        <f t="shared" si="72"/>
        <v>1975</v>
      </c>
      <c r="BS22">
        <f t="shared" si="73"/>
        <v>357.89800000000002</v>
      </c>
      <c r="BT22">
        <f t="shared" si="36"/>
        <v>41.510000000000005</v>
      </c>
      <c r="BU22">
        <f t="shared" si="37"/>
        <v>130.89500000000001</v>
      </c>
      <c r="CE22">
        <f t="shared" si="38"/>
        <v>1975</v>
      </c>
      <c r="CF22">
        <f t="shared" si="39"/>
        <v>357.89800000000002</v>
      </c>
      <c r="CG22">
        <f t="shared" si="40"/>
        <v>0.118411253390245</v>
      </c>
      <c r="CH22">
        <f t="shared" si="40"/>
        <v>0.33936352318705254</v>
      </c>
      <c r="CI22" s="148">
        <f t="shared" si="41"/>
        <v>357898</v>
      </c>
      <c r="CJ22">
        <f t="shared" si="5"/>
        <v>42.379150765861908</v>
      </c>
      <c r="CK22">
        <f t="shared" si="6"/>
        <v>121.45752622159974</v>
      </c>
      <c r="CN22">
        <f t="shared" si="74"/>
        <v>1975</v>
      </c>
      <c r="CO22">
        <f t="shared" si="75"/>
        <v>253.97800000000001</v>
      </c>
      <c r="CP22">
        <f t="shared" si="7"/>
        <v>29.200000000000003</v>
      </c>
      <c r="CQ22">
        <f t="shared" si="8"/>
        <v>226.2294</v>
      </c>
      <c r="DA22">
        <f t="shared" si="9"/>
        <v>1975</v>
      </c>
      <c r="DB22">
        <f t="shared" si="10"/>
        <v>253.97800000000001</v>
      </c>
      <c r="DC22">
        <f t="shared" si="42"/>
        <v>0.13025066086751366</v>
      </c>
      <c r="DD22">
        <f t="shared" si="43"/>
        <v>0.9404362738994102</v>
      </c>
      <c r="DE22" s="148">
        <f t="shared" si="11"/>
        <v>253978</v>
      </c>
      <c r="DF22">
        <f t="shared" si="12"/>
        <v>33.080802345809388</v>
      </c>
      <c r="DG22">
        <f t="shared" si="13"/>
        <v>238.8501239724244</v>
      </c>
      <c r="DJ22">
        <f t="shared" si="76"/>
        <v>1975</v>
      </c>
      <c r="DK22" s="152">
        <f t="shared" si="44"/>
        <v>904.64403900000002</v>
      </c>
      <c r="DL22">
        <f t="shared" si="45"/>
        <v>109.96333419994588</v>
      </c>
      <c r="DM22">
        <f t="shared" si="46"/>
        <v>439.4555592578543</v>
      </c>
      <c r="DW22">
        <f t="shared" si="47"/>
        <v>1975</v>
      </c>
      <c r="DX22">
        <f t="shared" si="48"/>
        <v>0.12155425720983043</v>
      </c>
      <c r="DY22">
        <f t="shared" si="49"/>
        <v>0.48577732269548984</v>
      </c>
      <c r="EB22">
        <f t="shared" si="77"/>
        <v>1975</v>
      </c>
      <c r="EC22">
        <f t="shared" si="78"/>
        <v>74.74560000000001</v>
      </c>
      <c r="ED22">
        <f t="shared" si="14"/>
        <v>2.3319999999999999</v>
      </c>
      <c r="EE22">
        <f t="shared" si="15"/>
        <v>91.721999999999994</v>
      </c>
      <c r="EO22">
        <f t="shared" si="16"/>
        <v>1975</v>
      </c>
      <c r="EP22">
        <f t="shared" si="17"/>
        <v>74.74560000000001</v>
      </c>
      <c r="EQ22">
        <f t="shared" si="18"/>
        <v>0.08</v>
      </c>
      <c r="ER22">
        <f t="shared" si="19"/>
        <v>1.2463977287481347</v>
      </c>
      <c r="ES22" s="148">
        <f t="shared" si="50"/>
        <v>74745.600000000006</v>
      </c>
      <c r="ET22">
        <f t="shared" si="20"/>
        <v>5.979648000000001</v>
      </c>
      <c r="EU22">
        <f t="shared" si="21"/>
        <v>93.162746073916594</v>
      </c>
      <c r="EX22">
        <f t="shared" si="79"/>
        <v>1975</v>
      </c>
      <c r="EY22" s="152">
        <f t="shared" si="51"/>
        <v>0.32140000000000002</v>
      </c>
      <c r="EZ22">
        <f t="shared" si="22"/>
        <v>260.61418625720984</v>
      </c>
      <c r="FA22">
        <f t="shared" si="23"/>
        <v>102.11380958893696</v>
      </c>
      <c r="FE22">
        <f t="shared" si="52"/>
        <v>1975</v>
      </c>
      <c r="FF22" s="184">
        <f t="shared" si="53"/>
        <v>96.673913381760016</v>
      </c>
      <c r="FG22" s="184">
        <f t="shared" si="54"/>
        <v>109.96333419994588</v>
      </c>
      <c r="FH22" s="184">
        <f t="shared" si="55"/>
        <v>5.979648000000001</v>
      </c>
      <c r="FI22" s="184">
        <f t="shared" si="56"/>
        <v>368.98053850944007</v>
      </c>
      <c r="FJ22" s="184">
        <f t="shared" si="57"/>
        <v>439.4555592578543</v>
      </c>
      <c r="FK22" s="184">
        <f t="shared" si="58"/>
        <v>93.162746073916594</v>
      </c>
      <c r="FL22" s="148">
        <f t="shared" si="59"/>
        <v>253073.07168000005</v>
      </c>
      <c r="FM22" s="148">
        <f t="shared" si="60"/>
        <v>90464.403900000005</v>
      </c>
      <c r="FN22" s="148">
        <f t="shared" si="61"/>
        <v>74745.600000000006</v>
      </c>
      <c r="FP22">
        <f t="shared" si="62"/>
        <v>212.61689558170588</v>
      </c>
      <c r="FQ22">
        <f t="shared" si="63"/>
        <v>901.59884384121096</v>
      </c>
      <c r="FR22" s="148">
        <f>[5]Indicators_NonMan_2018_BEA!U10</f>
        <v>348469.31258000003</v>
      </c>
      <c r="FS22" s="3">
        <f>[5]Indicators_NonMan_2018_BEA!I10</f>
        <v>204992.06134000001</v>
      </c>
      <c r="FU22" s="13">
        <f t="shared" si="64"/>
        <v>0.61014524925460756</v>
      </c>
      <c r="FV22" s="13">
        <f t="shared" si="65"/>
        <v>2.5873120280404205</v>
      </c>
      <c r="FW22" s="13"/>
      <c r="FX22" s="13">
        <f t="shared" si="66"/>
        <v>1.2155425720983043E-3</v>
      </c>
      <c r="FZ22">
        <f t="shared" si="81"/>
        <v>1975</v>
      </c>
      <c r="GA22">
        <f t="shared" si="82"/>
        <v>74745.600000000006</v>
      </c>
      <c r="GB22">
        <f t="shared" si="83"/>
        <v>24816.784780000002</v>
      </c>
    </row>
    <row r="23" spans="3:186" x14ac:dyDescent="0.2">
      <c r="C23">
        <f>'BEA&amp;BLS_Output_data'!E19</f>
        <v>1976</v>
      </c>
      <c r="D23">
        <f>'BEA&amp;BLS_Output_data'!M19</f>
        <v>256228.14408</v>
      </c>
      <c r="E23">
        <f>'BEA&amp;BLS_Output_data'!G19</f>
        <v>30807.3</v>
      </c>
      <c r="F23">
        <f>'BEA&amp;BLS_Output_data'!H19</f>
        <v>37280.400000000001</v>
      </c>
      <c r="G23">
        <f>'BEA&amp;BLS_Output_data'!I19</f>
        <v>25468.5</v>
      </c>
      <c r="H23">
        <f>'BEA&amp;BLS_Output_data'!J19</f>
        <v>81432.899999999994</v>
      </c>
      <c r="I23">
        <f>'BEA&amp;BLS_Output_data'!N19</f>
        <v>91605.088650000005</v>
      </c>
      <c r="J23">
        <f>'BEA&amp;BLS_Output_data'!O19</f>
        <v>26864.942770000001</v>
      </c>
      <c r="L23">
        <f>NEA_Data!B53</f>
        <v>1964</v>
      </c>
      <c r="M23">
        <f>NEA_Data!C53</f>
        <v>23.552</v>
      </c>
      <c r="N23">
        <f>NEA_Data!D53</f>
        <v>16.669</v>
      </c>
      <c r="O23">
        <f>NEA_Data!E53</f>
        <v>21.837</v>
      </c>
      <c r="P23">
        <f>NEA_Data!F53</f>
        <v>18.152999999999999</v>
      </c>
      <c r="Q23">
        <f>NEA_Data!G53</f>
        <v>2.0270000000000001</v>
      </c>
      <c r="S23">
        <f>NEA_Data!I53</f>
        <v>153.66900000000001</v>
      </c>
      <c r="T23">
        <f>NEA_Data!J53</f>
        <v>24.132000000000001</v>
      </c>
      <c r="U23">
        <f>NEA_Data!K53</f>
        <v>100.52399999999999</v>
      </c>
      <c r="V23">
        <f>NEA_Data!L53</f>
        <v>197.458</v>
      </c>
      <c r="W23">
        <f>NEA_Data!M53</f>
        <v>106.011</v>
      </c>
      <c r="Z23">
        <f t="shared" si="69"/>
        <v>1976</v>
      </c>
      <c r="AA23" s="206">
        <f t="shared" si="0"/>
        <v>25.622814408</v>
      </c>
      <c r="AB23">
        <f t="shared" si="24"/>
        <v>60.347000000000008</v>
      </c>
      <c r="AC23">
        <f t="shared" si="25"/>
        <v>280.56900000000002</v>
      </c>
      <c r="AM23">
        <f t="shared" si="26"/>
        <v>1976</v>
      </c>
      <c r="AN23">
        <f t="shared" si="27"/>
        <v>25.622814408</v>
      </c>
      <c r="AO23">
        <f t="shared" si="28"/>
        <v>3.82</v>
      </c>
      <c r="AP23">
        <f t="shared" si="28"/>
        <v>14.58</v>
      </c>
      <c r="AQ23" s="3">
        <f t="shared" si="29"/>
        <v>256228.14408</v>
      </c>
      <c r="AR23">
        <f t="shared" si="1"/>
        <v>97.879151038559996</v>
      </c>
      <c r="AS23">
        <f t="shared" si="2"/>
        <v>373.58063406863999</v>
      </c>
      <c r="AV23">
        <f t="shared" si="70"/>
        <v>1976</v>
      </c>
      <c r="AW23">
        <f t="shared" si="71"/>
        <v>30.807300000000001</v>
      </c>
      <c r="AX23">
        <f t="shared" si="30"/>
        <v>34.182000000000002</v>
      </c>
      <c r="AY23">
        <f t="shared" si="31"/>
        <v>73.566999999999993</v>
      </c>
      <c r="BI23">
        <f t="shared" si="32"/>
        <v>1976</v>
      </c>
      <c r="BJ23">
        <f t="shared" si="33"/>
        <v>30.807300000000001</v>
      </c>
      <c r="BK23">
        <f t="shared" si="34"/>
        <v>1.1294956424817195</v>
      </c>
      <c r="BL23">
        <f t="shared" si="34"/>
        <v>2.5909698000441996</v>
      </c>
      <c r="BM23" s="148">
        <f t="shared" si="35"/>
        <v>30807.300000000003</v>
      </c>
      <c r="BN23">
        <f t="shared" si="3"/>
        <v>34.796711106627079</v>
      </c>
      <c r="BO23">
        <f t="shared" si="4"/>
        <v>79.820783920901675</v>
      </c>
      <c r="BR23">
        <f t="shared" si="72"/>
        <v>1976</v>
      </c>
      <c r="BS23">
        <f t="shared" si="73"/>
        <v>372.80400000000003</v>
      </c>
      <c r="BT23">
        <f t="shared" si="36"/>
        <v>46.353999999999999</v>
      </c>
      <c r="BU23">
        <f t="shared" si="37"/>
        <v>139.40700000000001</v>
      </c>
      <c r="CE23">
        <f t="shared" si="38"/>
        <v>1976</v>
      </c>
      <c r="CF23">
        <f t="shared" si="39"/>
        <v>372.80400000000003</v>
      </c>
      <c r="CG23">
        <f t="shared" si="40"/>
        <v>0.118411253390245</v>
      </c>
      <c r="CH23">
        <f t="shared" si="40"/>
        <v>0.33936352318705254</v>
      </c>
      <c r="CI23" s="148">
        <f t="shared" si="41"/>
        <v>372804.00000000006</v>
      </c>
      <c r="CJ23">
        <f t="shared" si="5"/>
        <v>44.144188908896901</v>
      </c>
      <c r="CK23">
        <f t="shared" si="6"/>
        <v>126.51607889822594</v>
      </c>
      <c r="CN23">
        <f t="shared" si="74"/>
        <v>1976</v>
      </c>
      <c r="CO23">
        <f t="shared" si="75"/>
        <v>254.685</v>
      </c>
      <c r="CP23">
        <f t="shared" si="7"/>
        <v>31.448999999999998</v>
      </c>
      <c r="CQ23">
        <f t="shared" si="8"/>
        <v>235.76490000000001</v>
      </c>
      <c r="DA23">
        <f t="shared" si="9"/>
        <v>1976</v>
      </c>
      <c r="DB23">
        <f t="shared" si="10"/>
        <v>254.685</v>
      </c>
      <c r="DC23">
        <f t="shared" si="42"/>
        <v>0.13025066086751366</v>
      </c>
      <c r="DD23">
        <f t="shared" si="43"/>
        <v>0.9404362738994102</v>
      </c>
      <c r="DE23" s="148">
        <f t="shared" si="11"/>
        <v>254685</v>
      </c>
      <c r="DF23">
        <f t="shared" si="12"/>
        <v>33.172889563042716</v>
      </c>
      <c r="DG23">
        <f t="shared" si="13"/>
        <v>239.51501241807128</v>
      </c>
      <c r="DJ23">
        <f t="shared" si="76"/>
        <v>1976</v>
      </c>
      <c r="DK23" s="152">
        <f t="shared" si="44"/>
        <v>916.05088650000005</v>
      </c>
      <c r="DL23">
        <f t="shared" si="45"/>
        <v>112.1137895785667</v>
      </c>
      <c r="DM23">
        <f t="shared" si="46"/>
        <v>445.8518752371989</v>
      </c>
      <c r="DW23">
        <f t="shared" si="47"/>
        <v>1976</v>
      </c>
      <c r="DX23">
        <f t="shared" si="48"/>
        <v>0.12238816776535776</v>
      </c>
      <c r="DY23">
        <f t="shared" si="49"/>
        <v>0.48671081684194067</v>
      </c>
      <c r="EB23">
        <f t="shared" si="77"/>
        <v>1976</v>
      </c>
      <c r="EC23">
        <f t="shared" si="78"/>
        <v>81.432899999999989</v>
      </c>
      <c r="ED23">
        <f t="shared" si="14"/>
        <v>2.6360000000000001</v>
      </c>
      <c r="EE23">
        <f t="shared" si="15"/>
        <v>88.751999999999995</v>
      </c>
      <c r="EO23">
        <f t="shared" si="16"/>
        <v>1976</v>
      </c>
      <c r="EP23">
        <f t="shared" si="17"/>
        <v>81.432899999999989</v>
      </c>
      <c r="EQ23">
        <f t="shared" si="18"/>
        <v>0.08</v>
      </c>
      <c r="ER23">
        <f t="shared" si="19"/>
        <v>1.2463977287481347</v>
      </c>
      <c r="ES23" s="148">
        <f t="shared" si="50"/>
        <v>81432.899999999994</v>
      </c>
      <c r="ET23">
        <f t="shared" si="20"/>
        <v>6.5146319999999989</v>
      </c>
      <c r="EU23">
        <f t="shared" si="21"/>
        <v>101.49778160537396</v>
      </c>
      <c r="EX23">
        <f t="shared" si="79"/>
        <v>1976</v>
      </c>
      <c r="EY23" s="152">
        <f t="shared" si="51"/>
        <v>0.34182000000000001</v>
      </c>
      <c r="EZ23">
        <f t="shared" si="22"/>
        <v>262.18858016776539</v>
      </c>
      <c r="FA23">
        <f t="shared" si="23"/>
        <v>118.62376857770944</v>
      </c>
      <c r="FE23">
        <f t="shared" si="52"/>
        <v>1976</v>
      </c>
      <c r="FF23" s="184">
        <f t="shared" si="53"/>
        <v>97.879151038559996</v>
      </c>
      <c r="FG23" s="184">
        <f t="shared" si="54"/>
        <v>112.1137895785667</v>
      </c>
      <c r="FH23" s="184">
        <f t="shared" si="55"/>
        <v>6.5146319999999989</v>
      </c>
      <c r="FI23" s="184">
        <f t="shared" si="56"/>
        <v>373.58063406863999</v>
      </c>
      <c r="FJ23" s="184">
        <f t="shared" si="57"/>
        <v>445.8518752371989</v>
      </c>
      <c r="FK23" s="184">
        <f t="shared" si="58"/>
        <v>101.49778160537396</v>
      </c>
      <c r="FL23" s="148">
        <f t="shared" si="59"/>
        <v>256228.14408</v>
      </c>
      <c r="FM23" s="148">
        <f t="shared" si="60"/>
        <v>91605.088650000005</v>
      </c>
      <c r="FN23" s="148">
        <f t="shared" si="61"/>
        <v>81432.899999999994</v>
      </c>
      <c r="FP23">
        <f t="shared" si="62"/>
        <v>216.5075726171267</v>
      </c>
      <c r="FQ23">
        <f t="shared" si="63"/>
        <v>920.93029091121286</v>
      </c>
      <c r="FR23" s="148">
        <f>[5]Indicators_NonMan_2018_BEA!U11</f>
        <v>355733.94322999998</v>
      </c>
      <c r="FS23" s="3">
        <f>[5]Indicators_NonMan_2018_BEA!I11</f>
        <v>208124.36788000001</v>
      </c>
      <c r="FU23" s="13">
        <f t="shared" si="64"/>
        <v>0.60862219289865072</v>
      </c>
      <c r="FV23" s="13">
        <f t="shared" si="65"/>
        <v>2.5888175937031259</v>
      </c>
      <c r="FW23" s="13"/>
      <c r="FX23" s="13">
        <f t="shared" si="66"/>
        <v>1.2238816776535776E-3</v>
      </c>
      <c r="FZ23">
        <f t="shared" si="81"/>
        <v>1976</v>
      </c>
      <c r="GA23">
        <f t="shared" si="82"/>
        <v>81432.899999999994</v>
      </c>
      <c r="GB23">
        <f t="shared" si="83"/>
        <v>26864.942770000001</v>
      </c>
    </row>
    <row r="24" spans="3:186" x14ac:dyDescent="0.2">
      <c r="C24">
        <f>'BEA&amp;BLS_Output_data'!E20</f>
        <v>1977</v>
      </c>
      <c r="D24">
        <f>'BEA&amp;BLS_Output_data'!M20</f>
        <v>262074.09432000003</v>
      </c>
      <c r="E24">
        <f>'BEA&amp;BLS_Output_data'!G20</f>
        <v>31221.9</v>
      </c>
      <c r="F24">
        <f>'BEA&amp;BLS_Output_data'!H20</f>
        <v>35985.599999999999</v>
      </c>
      <c r="G24">
        <f>'BEA&amp;BLS_Output_data'!I20</f>
        <v>26501.7</v>
      </c>
      <c r="H24">
        <f>'BEA&amp;BLS_Output_data'!J20</f>
        <v>92264.9</v>
      </c>
      <c r="I24">
        <f>'BEA&amp;BLS_Output_data'!N20</f>
        <v>91874.365050000008</v>
      </c>
      <c r="J24">
        <f>'BEA&amp;BLS_Output_data'!O20</f>
        <v>30693.451719999997</v>
      </c>
      <c r="L24">
        <f>NEA_Data!B54</f>
        <v>1965</v>
      </c>
      <c r="M24">
        <f>NEA_Data!C54</f>
        <v>24.488</v>
      </c>
      <c r="N24">
        <f>NEA_Data!D54</f>
        <v>19.364999999999998</v>
      </c>
      <c r="O24">
        <f>NEA_Data!E54</f>
        <v>24.233000000000001</v>
      </c>
      <c r="P24">
        <f>NEA_Data!F54</f>
        <v>20.391999999999999</v>
      </c>
      <c r="Q24">
        <f>NEA_Data!G54</f>
        <v>1.9039999999999999</v>
      </c>
      <c r="S24">
        <f>NEA_Data!I54</f>
        <v>151.607</v>
      </c>
      <c r="T24">
        <f>NEA_Data!J54</f>
        <v>28.751999999999999</v>
      </c>
      <c r="U24">
        <f>NEA_Data!K54</f>
        <v>106.60999999999999</v>
      </c>
      <c r="V24">
        <f>NEA_Data!L54</f>
        <v>218.19499999999999</v>
      </c>
      <c r="W24">
        <f>NEA_Data!M54</f>
        <v>98.986999999999995</v>
      </c>
      <c r="Z24">
        <f t="shared" si="69"/>
        <v>1977</v>
      </c>
      <c r="AA24" s="206">
        <f t="shared" si="0"/>
        <v>26.207409432000006</v>
      </c>
      <c r="AB24">
        <f t="shared" si="24"/>
        <v>65.620999999999995</v>
      </c>
      <c r="AC24">
        <f t="shared" si="25"/>
        <v>307.55500000000001</v>
      </c>
      <c r="AM24">
        <f t="shared" si="26"/>
        <v>1977</v>
      </c>
      <c r="AN24">
        <f t="shared" si="27"/>
        <v>26.207409432000006</v>
      </c>
      <c r="AO24" s="120">
        <v>3.82</v>
      </c>
      <c r="AP24" s="120">
        <v>14.58</v>
      </c>
      <c r="AQ24" s="3">
        <f t="shared" si="29"/>
        <v>262074.09432000006</v>
      </c>
      <c r="AR24">
        <f t="shared" si="1"/>
        <v>100.11230403024001</v>
      </c>
      <c r="AS24">
        <f t="shared" si="2"/>
        <v>382.10402951856008</v>
      </c>
      <c r="AV24">
        <f t="shared" si="70"/>
        <v>1977</v>
      </c>
      <c r="AW24">
        <f t="shared" si="71"/>
        <v>31.221900000000002</v>
      </c>
      <c r="AX24">
        <f t="shared" si="30"/>
        <v>35.265000000000001</v>
      </c>
      <c r="AY24">
        <f t="shared" si="31"/>
        <v>80.894999999999996</v>
      </c>
      <c r="BI24">
        <f t="shared" si="32"/>
        <v>1977</v>
      </c>
      <c r="BJ24">
        <f t="shared" si="33"/>
        <v>31.221900000000002</v>
      </c>
      <c r="BK24" s="151">
        <f>AX24/AW24</f>
        <v>1.1294956424817195</v>
      </c>
      <c r="BL24" s="151">
        <f>AY24/AW24</f>
        <v>2.5909698000441996</v>
      </c>
      <c r="BM24" s="148">
        <f t="shared" si="35"/>
        <v>31221.9</v>
      </c>
      <c r="BN24">
        <f t="shared" si="3"/>
        <v>35.265000000000001</v>
      </c>
      <c r="BO24">
        <f t="shared" si="4"/>
        <v>80.894999999999996</v>
      </c>
      <c r="BR24">
        <f t="shared" si="72"/>
        <v>1977</v>
      </c>
      <c r="BS24">
        <f t="shared" si="73"/>
        <v>359.85599999999999</v>
      </c>
      <c r="BT24">
        <f t="shared" si="36"/>
        <v>42.611000000000004</v>
      </c>
      <c r="BU24">
        <f t="shared" si="37"/>
        <v>122.12199999999999</v>
      </c>
      <c r="CE24">
        <f t="shared" si="38"/>
        <v>1977</v>
      </c>
      <c r="CF24">
        <f t="shared" si="39"/>
        <v>359.85599999999999</v>
      </c>
      <c r="CG24" s="151">
        <f>BT24/BS24</f>
        <v>0.118411253390245</v>
      </c>
      <c r="CH24" s="151">
        <f>BU24/BS24</f>
        <v>0.33936352318705254</v>
      </c>
      <c r="CI24" s="148">
        <f t="shared" si="41"/>
        <v>359856</v>
      </c>
      <c r="CJ24">
        <f t="shared" si="5"/>
        <v>42.611000000000004</v>
      </c>
      <c r="CK24">
        <f t="shared" si="6"/>
        <v>122.12199999999997</v>
      </c>
      <c r="CN24">
        <f t="shared" si="74"/>
        <v>1977</v>
      </c>
      <c r="CO24">
        <f t="shared" si="75"/>
        <v>265.017</v>
      </c>
      <c r="CP24">
        <f t="shared" si="7"/>
        <v>33.989000000000004</v>
      </c>
      <c r="CQ24">
        <f t="shared" si="8"/>
        <v>249.23159999999999</v>
      </c>
      <c r="DA24">
        <f t="shared" si="9"/>
        <v>1977</v>
      </c>
      <c r="DB24">
        <f t="shared" si="10"/>
        <v>265.017</v>
      </c>
      <c r="DC24" s="151">
        <f>CP24/CO24</f>
        <v>0.12825214986208433</v>
      </c>
      <c r="DD24" s="151">
        <f>CQ24/CO24</f>
        <v>0.9404362738994102</v>
      </c>
      <c r="DE24" s="148">
        <f t="shared" si="11"/>
        <v>265017</v>
      </c>
      <c r="DF24">
        <f t="shared" si="12"/>
        <v>33.989000000000004</v>
      </c>
      <c r="DG24">
        <f t="shared" si="13"/>
        <v>249.23159999999999</v>
      </c>
      <c r="DJ24">
        <f t="shared" si="76"/>
        <v>1977</v>
      </c>
      <c r="DK24" s="152">
        <f t="shared" si="44"/>
        <v>918.74365050000006</v>
      </c>
      <c r="DL24">
        <f t="shared" si="45"/>
        <v>111.86500000000001</v>
      </c>
      <c r="DM24">
        <f t="shared" si="46"/>
        <v>452.24859999999995</v>
      </c>
      <c r="DW24">
        <f t="shared" si="47"/>
        <v>1977</v>
      </c>
      <c r="DX24">
        <f t="shared" si="48"/>
        <v>0.12175866460586766</v>
      </c>
      <c r="DY24">
        <f t="shared" si="49"/>
        <v>0.4922467760771751</v>
      </c>
      <c r="EB24">
        <f t="shared" si="77"/>
        <v>1977</v>
      </c>
      <c r="EC24">
        <f t="shared" si="78"/>
        <v>92.264899999999997</v>
      </c>
      <c r="ED24">
        <f t="shared" si="14"/>
        <v>3.2090000000000001</v>
      </c>
      <c r="EE24">
        <f t="shared" si="15"/>
        <v>91.686000000000007</v>
      </c>
      <c r="EO24">
        <f t="shared" si="16"/>
        <v>1977</v>
      </c>
      <c r="EP24">
        <f t="shared" si="17"/>
        <v>92.264899999999997</v>
      </c>
      <c r="EQ24" s="120">
        <v>0.08</v>
      </c>
      <c r="ER24" s="120">
        <v>1.2789999999999999</v>
      </c>
      <c r="ES24" s="148">
        <f t="shared" si="50"/>
        <v>92264.9</v>
      </c>
      <c r="ET24">
        <f t="shared" si="20"/>
        <v>7.3811919999999995</v>
      </c>
      <c r="EU24">
        <f t="shared" si="21"/>
        <v>118.00680709999999</v>
      </c>
      <c r="EX24">
        <f t="shared" si="79"/>
        <v>1977</v>
      </c>
      <c r="EY24" s="152">
        <f t="shared" si="51"/>
        <v>0.35265000000000002</v>
      </c>
      <c r="EZ24">
        <f t="shared" si="22"/>
        <v>273.27335124605492</v>
      </c>
      <c r="FA24">
        <f t="shared" si="23"/>
        <v>129.51447652851587</v>
      </c>
      <c r="FE24">
        <f t="shared" si="52"/>
        <v>1977</v>
      </c>
      <c r="FF24" s="184">
        <f t="shared" si="53"/>
        <v>100.11230403024001</v>
      </c>
      <c r="FG24" s="184">
        <f t="shared" si="54"/>
        <v>111.86500000000001</v>
      </c>
      <c r="FH24" s="184">
        <f t="shared" si="55"/>
        <v>7.3811919999999995</v>
      </c>
      <c r="FI24" s="184">
        <f t="shared" si="56"/>
        <v>382.10402951856008</v>
      </c>
      <c r="FJ24" s="184">
        <f t="shared" si="57"/>
        <v>452.24859999999995</v>
      </c>
      <c r="FK24" s="184">
        <f t="shared" si="58"/>
        <v>118.00680709999999</v>
      </c>
      <c r="FL24" s="148">
        <f t="shared" si="59"/>
        <v>262074.09432000006</v>
      </c>
      <c r="FM24" s="148">
        <f t="shared" si="60"/>
        <v>91874.365050000008</v>
      </c>
      <c r="FN24" s="148">
        <f t="shared" si="61"/>
        <v>92264.9</v>
      </c>
      <c r="FP24">
        <f t="shared" si="62"/>
        <v>219.35849603024002</v>
      </c>
      <c r="FQ24">
        <f t="shared" si="63"/>
        <v>952.35943661855993</v>
      </c>
      <c r="FR24" s="148">
        <f>[5]Indicators_NonMan_2018_BEA!U12</f>
        <v>366725.9118</v>
      </c>
      <c r="FS24" s="3">
        <f>[5]Indicators_NonMan_2018_BEA!I12</f>
        <v>212928.67309999999</v>
      </c>
      <c r="FU24" s="13">
        <f t="shared" si="64"/>
        <v>0.59815379544238689</v>
      </c>
      <c r="FV24" s="13">
        <f t="shared" si="65"/>
        <v>2.5969243131582829</v>
      </c>
      <c r="FW24" s="13"/>
      <c r="FX24" s="13">
        <f t="shared" si="66"/>
        <v>1.2175866460586767E-3</v>
      </c>
      <c r="FZ24">
        <f t="shared" si="81"/>
        <v>1977</v>
      </c>
      <c r="GA24">
        <f t="shared" si="82"/>
        <v>92264.9</v>
      </c>
      <c r="GB24">
        <f t="shared" si="83"/>
        <v>30693.451719999997</v>
      </c>
    </row>
    <row r="25" spans="3:186" x14ac:dyDescent="0.2">
      <c r="C25">
        <f>'BEA&amp;BLS_Output_data'!E21</f>
        <v>1978</v>
      </c>
      <c r="D25">
        <f>'BEA&amp;BLS_Output_data'!M21</f>
        <v>265062.3468</v>
      </c>
      <c r="E25">
        <f>'BEA&amp;BLS_Output_data'!G21</f>
        <v>30922.9</v>
      </c>
      <c r="F25">
        <f>'BEA&amp;BLS_Output_data'!H21</f>
        <v>40087.699999999997</v>
      </c>
      <c r="G25">
        <f>'BEA&amp;BLS_Output_data'!I21</f>
        <v>28943.4</v>
      </c>
      <c r="H25">
        <f>'BEA&amp;BLS_Output_data'!J21</f>
        <v>103413.2</v>
      </c>
      <c r="I25">
        <f>'BEA&amp;BLS_Output_data'!N21</f>
        <v>95591.875350000002</v>
      </c>
      <c r="J25">
        <f>'BEA&amp;BLS_Output_data'!O21</f>
        <v>34696.726759999998</v>
      </c>
      <c r="L25">
        <f>NEA_Data!B55</f>
        <v>1966</v>
      </c>
      <c r="M25">
        <f>NEA_Data!C55</f>
        <v>26.123999999999999</v>
      </c>
      <c r="N25">
        <f>NEA_Data!D55</f>
        <v>19.677999999999997</v>
      </c>
      <c r="O25">
        <f>NEA_Data!E55</f>
        <v>27.045999999999999</v>
      </c>
      <c r="P25">
        <f>NEA_Data!F55</f>
        <v>22.552</v>
      </c>
      <c r="Q25">
        <f>NEA_Data!G55</f>
        <v>1.712</v>
      </c>
      <c r="S25">
        <f>NEA_Data!I55</f>
        <v>153.399</v>
      </c>
      <c r="T25">
        <f>NEA_Data!J55</f>
        <v>29.827000000000002</v>
      </c>
      <c r="U25">
        <f>NEA_Data!K55</f>
        <v>116.654</v>
      </c>
      <c r="V25">
        <f>NEA_Data!L55</f>
        <v>236.74299999999999</v>
      </c>
      <c r="W25">
        <f>NEA_Data!M55</f>
        <v>88.599000000000004</v>
      </c>
      <c r="Z25">
        <f t="shared" si="69"/>
        <v>1978</v>
      </c>
      <c r="AA25" s="206">
        <f t="shared" si="0"/>
        <v>26.506234680000002</v>
      </c>
      <c r="AB25">
        <f t="shared" si="24"/>
        <v>76.894000000000005</v>
      </c>
      <c r="AC25">
        <f t="shared" si="25"/>
        <v>317.91499999999996</v>
      </c>
      <c r="AM25">
        <f t="shared" si="26"/>
        <v>1978</v>
      </c>
      <c r="AN25">
        <f t="shared" si="27"/>
        <v>26.506234680000002</v>
      </c>
      <c r="AO25">
        <f t="shared" ref="AO25:AO33" si="84">AO24+AO$68</f>
        <v>3.8676945087905925</v>
      </c>
      <c r="AP25">
        <f t="shared" ref="AP25:AP33" si="85">AP24+AP$68</f>
        <v>14.834992782874904</v>
      </c>
      <c r="AQ25" s="3">
        <f t="shared" si="29"/>
        <v>265062.3468</v>
      </c>
      <c r="AR25">
        <f t="shared" si="1"/>
        <v>102.51801832055078</v>
      </c>
      <c r="AS25">
        <f t="shared" si="2"/>
        <v>393.21980017898852</v>
      </c>
      <c r="AV25">
        <f t="shared" si="70"/>
        <v>1978</v>
      </c>
      <c r="AW25">
        <f t="shared" si="71"/>
        <v>30.922900000000002</v>
      </c>
      <c r="AX25">
        <f t="shared" si="30"/>
        <v>35.143999999999998</v>
      </c>
      <c r="AY25">
        <f t="shared" si="31"/>
        <v>76.929000000000002</v>
      </c>
      <c r="BI25">
        <f t="shared" si="32"/>
        <v>1978</v>
      </c>
      <c r="BJ25">
        <f t="shared" si="33"/>
        <v>30.922900000000002</v>
      </c>
      <c r="BK25">
        <f t="shared" ref="BK25:BK33" si="86">BK24+BK$68</f>
        <v>1.1157798517328441</v>
      </c>
      <c r="BL25">
        <f t="shared" ref="BL25:BL33" si="87">BL24+BL$68</f>
        <v>2.5664825969897764</v>
      </c>
      <c r="BM25" s="148">
        <f t="shared" si="35"/>
        <v>30922.9</v>
      </c>
      <c r="BN25">
        <f t="shared" si="3"/>
        <v>34.503148777149569</v>
      </c>
      <c r="BO25">
        <f t="shared" si="4"/>
        <v>79.363084698455168</v>
      </c>
      <c r="BR25">
        <f t="shared" si="72"/>
        <v>1978</v>
      </c>
      <c r="BS25">
        <f t="shared" si="73"/>
        <v>400.87699999999995</v>
      </c>
      <c r="BT25">
        <f t="shared" si="36"/>
        <v>52.662000000000006</v>
      </c>
      <c r="BU25">
        <f t="shared" si="37"/>
        <v>139.41200000000001</v>
      </c>
      <c r="CE25">
        <f t="shared" si="38"/>
        <v>1978</v>
      </c>
      <c r="CF25">
        <f t="shared" si="39"/>
        <v>400.87699999999995</v>
      </c>
      <c r="CG25">
        <f t="shared" ref="CG25:CG33" si="88">CG24+CG$68</f>
        <v>0.12169444710971304</v>
      </c>
      <c r="CH25">
        <f t="shared" ref="CH25:CH33" si="89">CH24+CH$68</f>
        <v>0.32880050243146236</v>
      </c>
      <c r="CI25" s="148">
        <f t="shared" si="41"/>
        <v>400876.99999999994</v>
      </c>
      <c r="CJ25">
        <f t="shared" si="5"/>
        <v>48.784504874000426</v>
      </c>
      <c r="CK25">
        <f t="shared" si="6"/>
        <v>131.80855901321732</v>
      </c>
      <c r="CN25">
        <f t="shared" si="74"/>
        <v>1978</v>
      </c>
      <c r="CO25">
        <f t="shared" si="75"/>
        <v>289.43400000000003</v>
      </c>
      <c r="CP25">
        <f t="shared" si="7"/>
        <v>38.144999999999996</v>
      </c>
      <c r="CQ25">
        <f t="shared" si="8"/>
        <v>257.86260000000004</v>
      </c>
      <c r="DA25">
        <f t="shared" si="9"/>
        <v>1978</v>
      </c>
      <c r="DB25">
        <f t="shared" si="10"/>
        <v>289.43400000000003</v>
      </c>
      <c r="DC25">
        <f t="shared" ref="DC25:DC33" si="90">DC24+DC$67</f>
        <v>0.13025066086751366</v>
      </c>
      <c r="DD25">
        <f t="shared" ref="DD25:DD33" si="91">DD24+DD$67</f>
        <v>0.93277335193480759</v>
      </c>
      <c r="DE25" s="148">
        <f t="shared" si="11"/>
        <v>289434</v>
      </c>
      <c r="DF25">
        <f t="shared" si="12"/>
        <v>37.69896977752795</v>
      </c>
      <c r="DG25">
        <f t="shared" si="13"/>
        <v>269.97632234389914</v>
      </c>
      <c r="DJ25">
        <f t="shared" si="76"/>
        <v>1978</v>
      </c>
      <c r="DK25" s="152">
        <f t="shared" si="44"/>
        <v>955.91875350000009</v>
      </c>
      <c r="DL25">
        <f t="shared" si="45"/>
        <v>120.98662342867794</v>
      </c>
      <c r="DM25">
        <f t="shared" si="46"/>
        <v>481.1479660555716</v>
      </c>
      <c r="DW25">
        <f t="shared" si="47"/>
        <v>1978</v>
      </c>
      <c r="DX25">
        <f t="shared" si="48"/>
        <v>0.12656580173335613</v>
      </c>
      <c r="DY25">
        <f t="shared" si="49"/>
        <v>0.50333562794316655</v>
      </c>
      <c r="EB25">
        <f t="shared" si="77"/>
        <v>1978</v>
      </c>
      <c r="EC25">
        <f t="shared" si="78"/>
        <v>103.4132</v>
      </c>
      <c r="ED25">
        <f t="shared" si="14"/>
        <v>4.4349999999999996</v>
      </c>
      <c r="EE25">
        <f t="shared" si="15"/>
        <v>100.07299999999999</v>
      </c>
      <c r="EO25">
        <f t="shared" si="16"/>
        <v>1978</v>
      </c>
      <c r="EP25">
        <f t="shared" si="17"/>
        <v>103.4132</v>
      </c>
      <c r="EQ25">
        <f t="shared" ref="EQ25:EQ33" si="92">EQ24+EQ$67</f>
        <v>7.8661066299553994E-2</v>
      </c>
      <c r="ER25">
        <f t="shared" ref="ER25:ER33" si="93">ER24+ER$67</f>
        <v>1.2463977287481347</v>
      </c>
      <c r="ES25" s="148">
        <f t="shared" si="50"/>
        <v>103413.2</v>
      </c>
      <c r="ET25">
        <f t="shared" si="20"/>
        <v>8.1345925814490379</v>
      </c>
      <c r="EU25">
        <f t="shared" si="21"/>
        <v>128.8939776025766</v>
      </c>
      <c r="EX25">
        <f t="shared" si="79"/>
        <v>1978</v>
      </c>
      <c r="EY25" s="152">
        <f t="shared" si="51"/>
        <v>0.35143999999999997</v>
      </c>
      <c r="EZ25">
        <f t="shared" si="22"/>
        <v>298.0012431015835</v>
      </c>
      <c r="FA25">
        <f t="shared" si="23"/>
        <v>133.13453291774721</v>
      </c>
      <c r="FE25">
        <f t="shared" si="52"/>
        <v>1978</v>
      </c>
      <c r="FF25" s="184">
        <f t="shared" si="53"/>
        <v>102.51801832055078</v>
      </c>
      <c r="FG25" s="184">
        <f t="shared" si="54"/>
        <v>120.98662342867794</v>
      </c>
      <c r="FH25" s="184">
        <f t="shared" si="55"/>
        <v>8.1345925814490379</v>
      </c>
      <c r="FI25" s="184">
        <f t="shared" si="56"/>
        <v>393.21980017898852</v>
      </c>
      <c r="FJ25" s="184">
        <f t="shared" si="57"/>
        <v>481.1479660555716</v>
      </c>
      <c r="FK25" s="184">
        <f t="shared" si="58"/>
        <v>128.8939776025766</v>
      </c>
      <c r="FL25" s="148">
        <f t="shared" si="59"/>
        <v>265062.3468</v>
      </c>
      <c r="FM25" s="148">
        <f t="shared" si="60"/>
        <v>95591.875350000017</v>
      </c>
      <c r="FN25" s="148">
        <f t="shared" si="61"/>
        <v>103413.2</v>
      </c>
      <c r="FP25">
        <f t="shared" si="62"/>
        <v>231.63923433067774</v>
      </c>
      <c r="FQ25">
        <f t="shared" si="63"/>
        <v>1003.2617438371367</v>
      </c>
      <c r="FR25" s="148">
        <f>[5]Indicators_NonMan_2018_BEA!U13</f>
        <v>381347.13045</v>
      </c>
      <c r="FS25" s="3">
        <f>[5]Indicators_NonMan_2018_BEA!I13</f>
        <v>214945.11786</v>
      </c>
      <c r="FU25" s="13">
        <f t="shared" si="64"/>
        <v>0.60742356722951374</v>
      </c>
      <c r="FV25" s="13">
        <f t="shared" si="65"/>
        <v>2.6308359594924982</v>
      </c>
      <c r="FW25" s="13"/>
      <c r="FX25" s="13">
        <f t="shared" si="66"/>
        <v>1.2656580173335613E-3</v>
      </c>
      <c r="FZ25">
        <f t="shared" si="81"/>
        <v>1978</v>
      </c>
      <c r="GA25">
        <f t="shared" si="82"/>
        <v>103413.2</v>
      </c>
      <c r="GB25">
        <f t="shared" si="83"/>
        <v>34696.726759999998</v>
      </c>
    </row>
    <row r="26" spans="3:186" x14ac:dyDescent="0.2">
      <c r="C26">
        <f>'BEA&amp;BLS_Output_data'!E22</f>
        <v>1979</v>
      </c>
      <c r="D26">
        <f>'BEA&amp;BLS_Output_data'!M22</f>
        <v>260123.02656</v>
      </c>
      <c r="E26">
        <f>'BEA&amp;BLS_Output_data'!G22</f>
        <v>36961.5</v>
      </c>
      <c r="F26">
        <f>'BEA&amp;BLS_Output_data'!H22</f>
        <v>43596.3</v>
      </c>
      <c r="G26">
        <f>'BEA&amp;BLS_Output_data'!I22</f>
        <v>30835.4</v>
      </c>
      <c r="H26">
        <f>'BEA&amp;BLS_Output_data'!J22</f>
        <v>109162.5</v>
      </c>
      <c r="I26">
        <f>'BEA&amp;BLS_Output_data'!N22</f>
        <v>107730.50639999998</v>
      </c>
      <c r="J26">
        <f>'BEA&amp;BLS_Output_data'!O22</f>
        <v>35824.53383</v>
      </c>
      <c r="L26">
        <f>NEA_Data!B56</f>
        <v>1967</v>
      </c>
      <c r="M26">
        <f>NEA_Data!C56</f>
        <v>32.021999999999998</v>
      </c>
      <c r="N26">
        <f>NEA_Data!D56</f>
        <v>19.786999999999999</v>
      </c>
      <c r="O26">
        <f>NEA_Data!E56</f>
        <v>23.739000000000001</v>
      </c>
      <c r="P26">
        <f>NEA_Data!F56</f>
        <v>23.044</v>
      </c>
      <c r="Q26">
        <f>NEA_Data!G56</f>
        <v>1.542</v>
      </c>
      <c r="S26">
        <f>NEA_Data!I56</f>
        <v>157.006</v>
      </c>
      <c r="T26">
        <f>NEA_Data!J56</f>
        <v>30.721</v>
      </c>
      <c r="U26">
        <f>NEA_Data!K56</f>
        <v>105.413</v>
      </c>
      <c r="V26">
        <f>NEA_Data!L56</f>
        <v>237.27699999999999</v>
      </c>
      <c r="W26">
        <f>NEA_Data!M56</f>
        <v>79.349000000000004</v>
      </c>
      <c r="Z26">
        <f t="shared" si="69"/>
        <v>1979</v>
      </c>
      <c r="AA26" s="206">
        <f t="shared" si="0"/>
        <v>26.012302656000003</v>
      </c>
      <c r="AB26">
        <f t="shared" si="24"/>
        <v>84.054000000000002</v>
      </c>
      <c r="AC26">
        <f t="shared" si="25"/>
        <v>321.577</v>
      </c>
      <c r="AM26">
        <f t="shared" si="26"/>
        <v>1979</v>
      </c>
      <c r="AN26">
        <f t="shared" si="27"/>
        <v>26.012302656000003</v>
      </c>
      <c r="AO26">
        <f t="shared" si="84"/>
        <v>3.9153890175811852</v>
      </c>
      <c r="AP26">
        <f t="shared" si="85"/>
        <v>15.089985565749808</v>
      </c>
      <c r="AQ26" s="3">
        <f t="shared" si="29"/>
        <v>260123.02656000003</v>
      </c>
      <c r="AR26">
        <f t="shared" si="1"/>
        <v>101.84828414130031</v>
      </c>
      <c r="AS26">
        <f t="shared" si="2"/>
        <v>392.52527161095543</v>
      </c>
      <c r="AV26">
        <f t="shared" si="70"/>
        <v>1979</v>
      </c>
      <c r="AW26">
        <f t="shared" si="71"/>
        <v>36.961500000000001</v>
      </c>
      <c r="AX26">
        <f t="shared" si="30"/>
        <v>42.346000000000004</v>
      </c>
      <c r="AY26">
        <f t="shared" si="31"/>
        <v>89.113</v>
      </c>
      <c r="BI26">
        <f t="shared" si="32"/>
        <v>1979</v>
      </c>
      <c r="BJ26">
        <f t="shared" si="33"/>
        <v>36.961500000000001</v>
      </c>
      <c r="BK26">
        <f t="shared" si="86"/>
        <v>1.1020640609839687</v>
      </c>
      <c r="BL26">
        <f t="shared" si="87"/>
        <v>2.5419953939353532</v>
      </c>
      <c r="BM26" s="148">
        <f t="shared" si="35"/>
        <v>36961.5</v>
      </c>
      <c r="BN26">
        <f t="shared" si="3"/>
        <v>40.733940790058959</v>
      </c>
      <c r="BO26">
        <f t="shared" si="4"/>
        <v>93.955962752941559</v>
      </c>
      <c r="BR26">
        <f t="shared" si="72"/>
        <v>1979</v>
      </c>
      <c r="BS26">
        <f t="shared" si="73"/>
        <v>435.96300000000002</v>
      </c>
      <c r="BT26">
        <f t="shared" si="36"/>
        <v>57.025999999999996</v>
      </c>
      <c r="BU26">
        <f t="shared" si="37"/>
        <v>137.27600000000001</v>
      </c>
      <c r="CE26">
        <f t="shared" si="38"/>
        <v>1979</v>
      </c>
      <c r="CF26">
        <f t="shared" si="39"/>
        <v>435.96300000000002</v>
      </c>
      <c r="CG26">
        <f t="shared" si="88"/>
        <v>0.12497764082918109</v>
      </c>
      <c r="CH26">
        <f t="shared" si="89"/>
        <v>0.31823748167587218</v>
      </c>
      <c r="CI26" s="148">
        <f t="shared" si="41"/>
        <v>435963</v>
      </c>
      <c r="CJ26">
        <f t="shared" si="5"/>
        <v>54.485627228812277</v>
      </c>
      <c r="CK26">
        <f t="shared" si="6"/>
        <v>138.73976722385828</v>
      </c>
      <c r="CN26">
        <f t="shared" si="74"/>
        <v>1979</v>
      </c>
      <c r="CO26">
        <f t="shared" si="75"/>
        <v>308.35400000000004</v>
      </c>
      <c r="CP26">
        <f t="shared" si="7"/>
        <v>42.075000000000003</v>
      </c>
      <c r="CQ26">
        <f t="shared" si="8"/>
        <v>275.32620000000003</v>
      </c>
      <c r="DA26">
        <f t="shared" si="9"/>
        <v>1979</v>
      </c>
      <c r="DB26">
        <f t="shared" si="10"/>
        <v>308.35400000000004</v>
      </c>
      <c r="DC26">
        <f t="shared" si="90"/>
        <v>0.13224917187294299</v>
      </c>
      <c r="DD26">
        <f t="shared" si="91"/>
        <v>0.92511042997020498</v>
      </c>
      <c r="DE26" s="148">
        <f t="shared" si="11"/>
        <v>308354.00000000006</v>
      </c>
      <c r="DF26">
        <f t="shared" si="12"/>
        <v>40.779561143709472</v>
      </c>
      <c r="DG26">
        <f t="shared" si="13"/>
        <v>285.26150152303262</v>
      </c>
      <c r="DJ26">
        <f t="shared" si="76"/>
        <v>1979</v>
      </c>
      <c r="DK26" s="152">
        <f t="shared" si="44"/>
        <v>1077.3050639999999</v>
      </c>
      <c r="DL26">
        <f t="shared" si="45"/>
        <v>135.99912916258069</v>
      </c>
      <c r="DM26">
        <f t="shared" si="46"/>
        <v>517.95723149983246</v>
      </c>
      <c r="DW26">
        <f t="shared" si="47"/>
        <v>1979</v>
      </c>
      <c r="DX26">
        <f t="shared" si="48"/>
        <v>0.12624012798902123</v>
      </c>
      <c r="DY26">
        <f t="shared" si="49"/>
        <v>0.48078974916972311</v>
      </c>
      <c r="EB26">
        <f t="shared" si="77"/>
        <v>1979</v>
      </c>
      <c r="EC26">
        <f t="shared" si="78"/>
        <v>109.16250000000001</v>
      </c>
      <c r="ED26">
        <f t="shared" si="14"/>
        <v>5.5510000000000002</v>
      </c>
      <c r="EE26">
        <f t="shared" si="15"/>
        <v>103.596</v>
      </c>
      <c r="EO26">
        <f t="shared" si="16"/>
        <v>1979</v>
      </c>
      <c r="EP26">
        <f t="shared" si="17"/>
        <v>109.16250000000001</v>
      </c>
      <c r="EQ26">
        <f t="shared" si="92"/>
        <v>7.7322132599107987E-2</v>
      </c>
      <c r="ER26">
        <f t="shared" si="93"/>
        <v>1.2137954574962695</v>
      </c>
      <c r="ES26" s="148">
        <f t="shared" si="50"/>
        <v>109162.50000000001</v>
      </c>
      <c r="ET26">
        <f t="shared" si="20"/>
        <v>8.440677299850126</v>
      </c>
      <c r="EU26">
        <f t="shared" si="21"/>
        <v>132.50094662893653</v>
      </c>
      <c r="EX26">
        <f t="shared" si="79"/>
        <v>1979</v>
      </c>
      <c r="EY26" s="152">
        <f t="shared" si="51"/>
        <v>0.42346000000000006</v>
      </c>
      <c r="EZ26">
        <f t="shared" si="22"/>
        <v>320.0149304233596</v>
      </c>
      <c r="FA26">
        <f t="shared" si="23"/>
        <v>179.92501551342346</v>
      </c>
      <c r="FE26">
        <f t="shared" si="52"/>
        <v>1979</v>
      </c>
      <c r="FF26" s="184">
        <f t="shared" si="53"/>
        <v>101.84828414130031</v>
      </c>
      <c r="FG26" s="184">
        <f t="shared" si="54"/>
        <v>135.99912916258069</v>
      </c>
      <c r="FH26" s="184">
        <f t="shared" si="55"/>
        <v>8.440677299850126</v>
      </c>
      <c r="FI26" s="184">
        <f t="shared" si="56"/>
        <v>392.52527161095543</v>
      </c>
      <c r="FJ26" s="184">
        <f t="shared" si="57"/>
        <v>517.95723149983246</v>
      </c>
      <c r="FK26" s="184">
        <f t="shared" si="58"/>
        <v>132.50094662893653</v>
      </c>
      <c r="FL26" s="148">
        <f t="shared" si="59"/>
        <v>260123.02656000003</v>
      </c>
      <c r="FM26" s="148">
        <f t="shared" si="60"/>
        <v>107730.50639999998</v>
      </c>
      <c r="FN26" s="148">
        <f t="shared" si="61"/>
        <v>109162.50000000001</v>
      </c>
      <c r="FP26">
        <f t="shared" si="62"/>
        <v>246.28809060373115</v>
      </c>
      <c r="FQ26">
        <f t="shared" si="63"/>
        <v>1042.9834497397244</v>
      </c>
      <c r="FR26" s="148">
        <f>[5]Indicators_NonMan_2018_BEA!U14</f>
        <v>395962.21861000004</v>
      </c>
      <c r="FS26" s="3">
        <f>[5]Indicators_NonMan_2018_BEA!I14</f>
        <v>179703.97830000002</v>
      </c>
      <c r="FU26" s="13">
        <f t="shared" si="64"/>
        <v>0.62199896613447025</v>
      </c>
      <c r="FV26" s="13">
        <f t="shared" si="65"/>
        <v>2.6340478983097197</v>
      </c>
      <c r="FW26" s="13"/>
      <c r="FX26" s="13">
        <f t="shared" si="66"/>
        <v>1.2624012798902124E-3</v>
      </c>
      <c r="FZ26">
        <f t="shared" si="81"/>
        <v>1979</v>
      </c>
      <c r="GA26">
        <f t="shared" si="82"/>
        <v>109162.5</v>
      </c>
      <c r="GB26">
        <f t="shared" si="83"/>
        <v>35824.53383</v>
      </c>
    </row>
    <row r="27" spans="3:186" x14ac:dyDescent="0.2">
      <c r="C27">
        <f>'BEA&amp;BLS_Output_data'!E23</f>
        <v>1980</v>
      </c>
      <c r="D27">
        <f>'BEA&amp;BLS_Output_data'!M23</f>
        <v>255506.46660000001</v>
      </c>
      <c r="E27">
        <f>'BEA&amp;BLS_Output_data'!G23</f>
        <v>40121.300000000003</v>
      </c>
      <c r="F27">
        <f>'BEA&amp;BLS_Output_data'!H23</f>
        <v>42202.7</v>
      </c>
      <c r="G27">
        <f>'BEA&amp;BLS_Output_data'!I23</f>
        <v>28245.5</v>
      </c>
      <c r="H27">
        <f>'BEA&amp;BLS_Output_data'!J23</f>
        <v>151805.79999999999</v>
      </c>
      <c r="I27">
        <f>'BEA&amp;BLS_Output_data'!N23</f>
        <v>107911.27065000002</v>
      </c>
      <c r="J27">
        <f>'BEA&amp;BLS_Output_data'!O23</f>
        <v>46952.984639999995</v>
      </c>
      <c r="L27">
        <f>NEA_Data!B57</f>
        <v>1968</v>
      </c>
      <c r="M27">
        <f>NEA_Data!C57</f>
        <v>35.603999999999999</v>
      </c>
      <c r="N27">
        <f>NEA_Data!D57</f>
        <v>20.776</v>
      </c>
      <c r="O27">
        <f>NEA_Data!E57</f>
        <v>27.677</v>
      </c>
      <c r="P27">
        <f>NEA_Data!F57</f>
        <v>23.742000000000001</v>
      </c>
      <c r="Q27">
        <f>NEA_Data!G57</f>
        <v>1.51</v>
      </c>
      <c r="S27">
        <f>NEA_Data!I57</f>
        <v>169.15699999999998</v>
      </c>
      <c r="T27">
        <f>NEA_Data!J57</f>
        <v>32.304000000000002</v>
      </c>
      <c r="U27">
        <f>NEA_Data!K57</f>
        <v>114.85699999999999</v>
      </c>
      <c r="V27">
        <f>NEA_Data!L57</f>
        <v>238.48699999999999</v>
      </c>
      <c r="W27">
        <f>NEA_Data!M57</f>
        <v>80.274000000000001</v>
      </c>
      <c r="Z27">
        <f t="shared" si="69"/>
        <v>1980</v>
      </c>
      <c r="AA27" s="206">
        <f t="shared" si="0"/>
        <v>25.550646660000002</v>
      </c>
      <c r="AB27">
        <f t="shared" si="24"/>
        <v>92.366</v>
      </c>
      <c r="AC27">
        <f t="shared" si="25"/>
        <v>324.65199999999999</v>
      </c>
      <c r="AM27">
        <f t="shared" si="26"/>
        <v>1980</v>
      </c>
      <c r="AN27">
        <f t="shared" si="27"/>
        <v>25.550646660000002</v>
      </c>
      <c r="AO27">
        <f t="shared" si="84"/>
        <v>3.9630835263717779</v>
      </c>
      <c r="AP27">
        <f t="shared" si="85"/>
        <v>15.344978348624712</v>
      </c>
      <c r="AQ27" s="3">
        <f t="shared" si="29"/>
        <v>255506.46660000001</v>
      </c>
      <c r="AR27">
        <f t="shared" si="1"/>
        <v>101.25934686639209</v>
      </c>
      <c r="AS27">
        <f t="shared" si="2"/>
        <v>392.07411979106035</v>
      </c>
      <c r="AV27">
        <f t="shared" si="70"/>
        <v>1980</v>
      </c>
      <c r="AW27">
        <f t="shared" si="71"/>
        <v>40.121300000000005</v>
      </c>
      <c r="AX27">
        <f t="shared" si="30"/>
        <v>46.473999999999997</v>
      </c>
      <c r="AY27">
        <f t="shared" si="31"/>
        <v>93.939000000000007</v>
      </c>
      <c r="BI27">
        <f t="shared" si="32"/>
        <v>1980</v>
      </c>
      <c r="BJ27">
        <f t="shared" si="33"/>
        <v>40.121300000000005</v>
      </c>
      <c r="BK27">
        <f t="shared" si="86"/>
        <v>1.0883482702350933</v>
      </c>
      <c r="BL27">
        <f t="shared" si="87"/>
        <v>2.51750819088093</v>
      </c>
      <c r="BM27" s="148">
        <f t="shared" si="35"/>
        <v>40121.300000000003</v>
      </c>
      <c r="BN27">
        <f t="shared" si="3"/>
        <v>43.665947454583254</v>
      </c>
      <c r="BO27">
        <f t="shared" si="4"/>
        <v>101.00570137879107</v>
      </c>
      <c r="BR27">
        <f t="shared" si="72"/>
        <v>1980</v>
      </c>
      <c r="BS27">
        <f t="shared" si="73"/>
        <v>422.02699999999999</v>
      </c>
      <c r="BT27">
        <f t="shared" si="36"/>
        <v>52.751000000000005</v>
      </c>
      <c r="BU27">
        <f t="shared" si="37"/>
        <v>114.69799999999999</v>
      </c>
      <c r="CE27">
        <f t="shared" si="38"/>
        <v>1980</v>
      </c>
      <c r="CF27">
        <f t="shared" si="39"/>
        <v>422.02699999999999</v>
      </c>
      <c r="CG27">
        <f t="shared" si="88"/>
        <v>0.12826083454864912</v>
      </c>
      <c r="CH27">
        <f t="shared" si="89"/>
        <v>0.307674460920282</v>
      </c>
      <c r="CI27" s="148">
        <f t="shared" si="41"/>
        <v>422027</v>
      </c>
      <c r="CJ27">
        <f t="shared" si="5"/>
        <v>54.129535222062742</v>
      </c>
      <c r="CK27">
        <f t="shared" si="6"/>
        <v>129.84692971880384</v>
      </c>
      <c r="CN27">
        <f t="shared" si="74"/>
        <v>1980</v>
      </c>
      <c r="CO27">
        <f t="shared" si="75"/>
        <v>282.45499999999998</v>
      </c>
      <c r="CP27">
        <f t="shared" si="7"/>
        <v>40.334000000000003</v>
      </c>
      <c r="CQ27">
        <f t="shared" si="8"/>
        <v>258.13799999999998</v>
      </c>
      <c r="DA27">
        <f t="shared" si="9"/>
        <v>1980</v>
      </c>
      <c r="DB27">
        <f t="shared" si="10"/>
        <v>282.45499999999998</v>
      </c>
      <c r="DC27">
        <f t="shared" si="90"/>
        <v>0.13424768287837233</v>
      </c>
      <c r="DD27">
        <f t="shared" si="91"/>
        <v>0.91744750800560237</v>
      </c>
      <c r="DE27" s="148">
        <f t="shared" si="11"/>
        <v>282455</v>
      </c>
      <c r="DF27">
        <f t="shared" si="12"/>
        <v>37.918929267410654</v>
      </c>
      <c r="DG27">
        <f t="shared" si="13"/>
        <v>259.13763587372239</v>
      </c>
      <c r="DJ27">
        <f t="shared" si="76"/>
        <v>1980</v>
      </c>
      <c r="DK27" s="152">
        <f t="shared" si="44"/>
        <v>1079.1127065000003</v>
      </c>
      <c r="DL27">
        <f t="shared" si="45"/>
        <v>135.71441194405665</v>
      </c>
      <c r="DM27">
        <f t="shared" si="46"/>
        <v>489.99026697131728</v>
      </c>
      <c r="DW27">
        <f t="shared" si="47"/>
        <v>1980</v>
      </c>
      <c r="DX27">
        <f t="shared" si="48"/>
        <v>0.12576481689686841</v>
      </c>
      <c r="DY27">
        <f t="shared" si="49"/>
        <v>0.45406773918968507</v>
      </c>
      <c r="EB27">
        <f t="shared" si="77"/>
        <v>1980</v>
      </c>
      <c r="EC27">
        <f t="shared" si="78"/>
        <v>151.8058</v>
      </c>
      <c r="ED27">
        <f t="shared" si="14"/>
        <v>8.1649999999999991</v>
      </c>
      <c r="EE27">
        <f t="shared" si="15"/>
        <v>130.08000000000001</v>
      </c>
      <c r="EO27">
        <f t="shared" si="16"/>
        <v>1980</v>
      </c>
      <c r="EP27">
        <f t="shared" si="17"/>
        <v>151.8058</v>
      </c>
      <c r="EQ27">
        <f t="shared" si="92"/>
        <v>7.598319889866198E-2</v>
      </c>
      <c r="ER27">
        <f t="shared" si="93"/>
        <v>1.1811931862444043</v>
      </c>
      <c r="ES27" s="148">
        <f t="shared" si="50"/>
        <v>151805.80000000002</v>
      </c>
      <c r="ET27">
        <f t="shared" si="20"/>
        <v>11.534690295370501</v>
      </c>
      <c r="EU27">
        <f t="shared" si="21"/>
        <v>179.3119765923808</v>
      </c>
      <c r="EX27">
        <f t="shared" si="79"/>
        <v>1980</v>
      </c>
      <c r="EY27" s="152">
        <f t="shared" si="51"/>
        <v>0.46473999999999999</v>
      </c>
      <c r="EZ27">
        <f t="shared" si="22"/>
        <v>295.81039341028833</v>
      </c>
      <c r="FA27">
        <f t="shared" si="23"/>
        <v>204.15963025441124</v>
      </c>
      <c r="FE27">
        <f t="shared" si="52"/>
        <v>1980</v>
      </c>
      <c r="FF27" s="184">
        <f t="shared" si="53"/>
        <v>101.25934686639209</v>
      </c>
      <c r="FG27" s="184">
        <f t="shared" si="54"/>
        <v>135.71441194405665</v>
      </c>
      <c r="FH27" s="184">
        <f t="shared" si="55"/>
        <v>11.534690295370501</v>
      </c>
      <c r="FI27" s="184">
        <f t="shared" si="56"/>
        <v>392.07411979106035</v>
      </c>
      <c r="FJ27" s="184">
        <f t="shared" si="57"/>
        <v>489.99026697131728</v>
      </c>
      <c r="FK27" s="184">
        <f t="shared" si="58"/>
        <v>179.3119765923808</v>
      </c>
      <c r="FL27" s="148">
        <f t="shared" si="59"/>
        <v>255506.46660000001</v>
      </c>
      <c r="FM27" s="148">
        <f t="shared" si="60"/>
        <v>107911.27065000003</v>
      </c>
      <c r="FN27" s="148">
        <f t="shared" si="61"/>
        <v>151805.80000000002</v>
      </c>
      <c r="FP27">
        <f t="shared" si="62"/>
        <v>248.50844910581924</v>
      </c>
      <c r="FQ27">
        <f t="shared" si="63"/>
        <v>1061.3763633547583</v>
      </c>
      <c r="FR27" s="148">
        <f>[5]Indicators_NonMan_2018_BEA!U15</f>
        <v>410859.30931000004</v>
      </c>
      <c r="FS27" s="3">
        <f>[5]Indicators_NonMan_2018_BEA!I15</f>
        <v>178527.12086</v>
      </c>
      <c r="FU27" s="13">
        <f t="shared" si="64"/>
        <v>0.60485047673172121</v>
      </c>
      <c r="FV27" s="13">
        <f t="shared" si="65"/>
        <v>2.5833085421314683</v>
      </c>
      <c r="FW27" s="13"/>
      <c r="FX27" s="13">
        <f t="shared" si="66"/>
        <v>1.2576481689686842E-3</v>
      </c>
      <c r="FZ27">
        <f t="shared" si="81"/>
        <v>1980</v>
      </c>
      <c r="GA27">
        <f t="shared" si="82"/>
        <v>151805.79999999999</v>
      </c>
      <c r="GB27">
        <f t="shared" si="83"/>
        <v>46952.984639999995</v>
      </c>
    </row>
    <row r="28" spans="3:186" x14ac:dyDescent="0.2">
      <c r="C28">
        <f>'BEA&amp;BLS_Output_data'!E24</f>
        <v>1981</v>
      </c>
      <c r="D28">
        <f>'BEA&amp;BLS_Output_data'!M24</f>
        <v>250984.19616000002</v>
      </c>
      <c r="E28">
        <f>'BEA&amp;BLS_Output_data'!G24</f>
        <v>39546.800000000003</v>
      </c>
      <c r="F28">
        <f>'BEA&amp;BLS_Output_data'!H24</f>
        <v>40787.300000000003</v>
      </c>
      <c r="G28">
        <f>'BEA&amp;BLS_Output_data'!I24</f>
        <v>25288</v>
      </c>
      <c r="H28">
        <f>'BEA&amp;BLS_Output_data'!J24</f>
        <v>177235.7</v>
      </c>
      <c r="I28">
        <f>'BEA&amp;BLS_Output_data'!N24</f>
        <v>105603.72149999999</v>
      </c>
      <c r="J28">
        <f>'BEA&amp;BLS_Output_data'!O24</f>
        <v>54990.967470000003</v>
      </c>
      <c r="L28">
        <f>NEA_Data!B58</f>
        <v>1969</v>
      </c>
      <c r="M28">
        <f>NEA_Data!C58</f>
        <v>38.866999999999997</v>
      </c>
      <c r="N28">
        <f>NEA_Data!D58</f>
        <v>22.651</v>
      </c>
      <c r="O28">
        <f>NEA_Data!E58</f>
        <v>33.316000000000003</v>
      </c>
      <c r="P28">
        <f>NEA_Data!F58</f>
        <v>24.576000000000001</v>
      </c>
      <c r="Q28">
        <f>NEA_Data!G58</f>
        <v>1.542</v>
      </c>
      <c r="S28">
        <f>NEA_Data!I58</f>
        <v>180.928</v>
      </c>
      <c r="T28">
        <f>NEA_Data!J58</f>
        <v>35.308</v>
      </c>
      <c r="U28">
        <f>NEA_Data!K58</f>
        <v>131.56299999999999</v>
      </c>
      <c r="V28">
        <f>NEA_Data!L58</f>
        <v>241.87299999999999</v>
      </c>
      <c r="W28">
        <f>NEA_Data!M58</f>
        <v>84.72</v>
      </c>
      <c r="Z28">
        <f t="shared" si="69"/>
        <v>1981</v>
      </c>
      <c r="AA28" s="206">
        <f t="shared" si="0"/>
        <v>25.098419616000005</v>
      </c>
      <c r="AB28">
        <f t="shared" si="24"/>
        <v>99.72399999999999</v>
      </c>
      <c r="AC28">
        <f t="shared" si="25"/>
        <v>325.22500000000002</v>
      </c>
      <c r="AM28">
        <f t="shared" si="26"/>
        <v>1981</v>
      </c>
      <c r="AN28">
        <f t="shared" si="27"/>
        <v>25.098419616000005</v>
      </c>
      <c r="AO28">
        <f t="shared" si="84"/>
        <v>4.0107780351623701</v>
      </c>
      <c r="AP28">
        <f t="shared" si="85"/>
        <v>15.599971131499617</v>
      </c>
      <c r="AQ28" s="3">
        <f t="shared" si="29"/>
        <v>250984.19616000005</v>
      </c>
      <c r="AR28">
        <f t="shared" si="1"/>
        <v>100.66419011314119</v>
      </c>
      <c r="AS28">
        <f t="shared" si="2"/>
        <v>391.53462145586377</v>
      </c>
      <c r="AV28">
        <f t="shared" si="70"/>
        <v>1981</v>
      </c>
      <c r="AW28">
        <f t="shared" si="71"/>
        <v>39.546800000000005</v>
      </c>
      <c r="AX28">
        <f t="shared" si="30"/>
        <v>47.301000000000002</v>
      </c>
      <c r="AY28">
        <f t="shared" si="31"/>
        <v>91.945999999999998</v>
      </c>
      <c r="BI28">
        <f t="shared" si="32"/>
        <v>1981</v>
      </c>
      <c r="BJ28">
        <f t="shared" si="33"/>
        <v>39.546800000000005</v>
      </c>
      <c r="BK28">
        <f t="shared" si="86"/>
        <v>1.0746324794862179</v>
      </c>
      <c r="BL28">
        <f t="shared" si="87"/>
        <v>2.4930209878265068</v>
      </c>
      <c r="BM28" s="148">
        <f t="shared" si="35"/>
        <v>39546.800000000003</v>
      </c>
      <c r="BN28">
        <f t="shared" si="3"/>
        <v>42.498275739745566</v>
      </c>
      <c r="BO28">
        <f t="shared" si="4"/>
        <v>98.59100240137731</v>
      </c>
      <c r="BR28">
        <f t="shared" si="72"/>
        <v>1981</v>
      </c>
      <c r="BS28">
        <f t="shared" si="73"/>
        <v>407.87300000000005</v>
      </c>
      <c r="BT28">
        <f t="shared" si="36"/>
        <v>58.383000000000003</v>
      </c>
      <c r="BU28">
        <f t="shared" si="37"/>
        <v>111.285</v>
      </c>
      <c r="CE28">
        <f t="shared" si="38"/>
        <v>1981</v>
      </c>
      <c r="CF28">
        <f t="shared" si="39"/>
        <v>407.87300000000005</v>
      </c>
      <c r="CG28">
        <f t="shared" si="88"/>
        <v>0.13154402826811715</v>
      </c>
      <c r="CH28">
        <f t="shared" si="89"/>
        <v>0.29711144016469182</v>
      </c>
      <c r="CI28" s="148">
        <f t="shared" si="41"/>
        <v>407873.00000000006</v>
      </c>
      <c r="CJ28">
        <f t="shared" si="5"/>
        <v>53.653257441801749</v>
      </c>
      <c r="CK28">
        <f t="shared" si="6"/>
        <v>121.18373443429336</v>
      </c>
      <c r="CN28">
        <f t="shared" si="74"/>
        <v>1981</v>
      </c>
      <c r="CO28">
        <f t="shared" si="75"/>
        <v>252.88</v>
      </c>
      <c r="CP28">
        <f t="shared" si="7"/>
        <v>38.545000000000002</v>
      </c>
      <c r="CQ28">
        <f t="shared" si="8"/>
        <v>237.5658</v>
      </c>
      <c r="DA28">
        <f t="shared" si="9"/>
        <v>1981</v>
      </c>
      <c r="DB28">
        <f t="shared" si="10"/>
        <v>252.88</v>
      </c>
      <c r="DC28">
        <f t="shared" si="90"/>
        <v>0.13624619388380166</v>
      </c>
      <c r="DD28">
        <f t="shared" si="91"/>
        <v>0.90978458604099977</v>
      </c>
      <c r="DE28" s="148">
        <f t="shared" si="11"/>
        <v>252880</v>
      </c>
      <c r="DF28">
        <f t="shared" si="12"/>
        <v>34.453937509335766</v>
      </c>
      <c r="DG28">
        <f t="shared" si="13"/>
        <v>230.06632611804801</v>
      </c>
      <c r="DJ28">
        <f t="shared" si="76"/>
        <v>1981</v>
      </c>
      <c r="DK28" s="152">
        <f t="shared" si="44"/>
        <v>1056.0372149999998</v>
      </c>
      <c r="DL28">
        <f t="shared" si="45"/>
        <v>130.60547069088307</v>
      </c>
      <c r="DM28">
        <f t="shared" si="46"/>
        <v>449.84106295371868</v>
      </c>
      <c r="DW28">
        <f t="shared" si="47"/>
        <v>1981</v>
      </c>
      <c r="DX28">
        <f t="shared" si="48"/>
        <v>0.12367506451075504</v>
      </c>
      <c r="DY28">
        <f t="shared" si="49"/>
        <v>0.42597084322801898</v>
      </c>
      <c r="EB28">
        <f t="shared" si="77"/>
        <v>1981</v>
      </c>
      <c r="EC28">
        <f t="shared" si="78"/>
        <v>177.23570000000001</v>
      </c>
      <c r="ED28">
        <f t="shared" si="14"/>
        <v>12.17</v>
      </c>
      <c r="EE28">
        <f t="shared" si="15"/>
        <v>169.196</v>
      </c>
      <c r="EO28">
        <f t="shared" si="16"/>
        <v>1981</v>
      </c>
      <c r="EP28">
        <f t="shared" si="17"/>
        <v>177.23570000000001</v>
      </c>
      <c r="EQ28">
        <f t="shared" si="92"/>
        <v>7.4644265198215973E-2</v>
      </c>
      <c r="ER28">
        <f t="shared" si="93"/>
        <v>1.1485909149925391</v>
      </c>
      <c r="ES28" s="148">
        <f t="shared" si="50"/>
        <v>177235.7</v>
      </c>
      <c r="ET28">
        <f t="shared" si="20"/>
        <v>13.229628593391448</v>
      </c>
      <c r="EU28">
        <f t="shared" si="21"/>
        <v>203.57131483234318</v>
      </c>
      <c r="EX28">
        <f t="shared" si="79"/>
        <v>1981</v>
      </c>
      <c r="EY28" s="152">
        <f t="shared" si="51"/>
        <v>0.47301000000000004</v>
      </c>
      <c r="EZ28">
        <f t="shared" si="22"/>
        <v>264.88984867608133</v>
      </c>
      <c r="FA28">
        <f t="shared" si="23"/>
        <v>181.51542326395153</v>
      </c>
      <c r="FE28">
        <f t="shared" si="52"/>
        <v>1981</v>
      </c>
      <c r="FF28" s="184">
        <f t="shared" si="53"/>
        <v>100.66419011314119</v>
      </c>
      <c r="FG28" s="184">
        <f t="shared" si="54"/>
        <v>130.60547069088307</v>
      </c>
      <c r="FH28" s="184">
        <f t="shared" si="55"/>
        <v>13.229628593391448</v>
      </c>
      <c r="FI28" s="184">
        <f t="shared" si="56"/>
        <v>391.53462145586377</v>
      </c>
      <c r="FJ28" s="184">
        <f t="shared" si="57"/>
        <v>449.84106295371868</v>
      </c>
      <c r="FK28" s="184">
        <f t="shared" si="58"/>
        <v>203.57131483234318</v>
      </c>
      <c r="FL28" s="148">
        <f t="shared" si="59"/>
        <v>250984.19616000005</v>
      </c>
      <c r="FM28" s="148">
        <f t="shared" si="60"/>
        <v>105603.72149999999</v>
      </c>
      <c r="FN28" s="148">
        <f t="shared" si="61"/>
        <v>177235.7</v>
      </c>
      <c r="FP28">
        <f t="shared" si="62"/>
        <v>244.49928939741571</v>
      </c>
      <c r="FQ28">
        <f t="shared" si="63"/>
        <v>1044.9469992419256</v>
      </c>
      <c r="FR28" s="148">
        <f>[5]Indicators_NonMan_2018_BEA!U16</f>
        <v>416756.84068999998</v>
      </c>
      <c r="FS28" s="3">
        <f>[5]Indicators_NonMan_2018_BEA!I16</f>
        <v>163425.31304000001</v>
      </c>
      <c r="FU28" s="13">
        <f t="shared" si="64"/>
        <v>0.58667132852003701</v>
      </c>
      <c r="FV28" s="13">
        <f t="shared" si="65"/>
        <v>2.5073301676629178</v>
      </c>
      <c r="FW28" s="13"/>
      <c r="FX28" s="13">
        <f t="shared" si="66"/>
        <v>1.2367506451075503E-3</v>
      </c>
      <c r="FZ28">
        <f t="shared" si="81"/>
        <v>1981</v>
      </c>
      <c r="GA28">
        <f t="shared" si="82"/>
        <v>177235.7</v>
      </c>
      <c r="GB28">
        <f t="shared" si="83"/>
        <v>54990.967470000003</v>
      </c>
    </row>
    <row r="29" spans="3:186" x14ac:dyDescent="0.2">
      <c r="C29">
        <f>'BEA&amp;BLS_Output_data'!E25</f>
        <v>1982</v>
      </c>
      <c r="D29">
        <f>'BEA&amp;BLS_Output_data'!M25</f>
        <v>239158.11444000003</v>
      </c>
      <c r="E29">
        <f>'BEA&amp;BLS_Output_data'!G25</f>
        <v>36781.1</v>
      </c>
      <c r="F29">
        <f>'BEA&amp;BLS_Output_data'!H25</f>
        <v>25816.1</v>
      </c>
      <c r="G29">
        <f>'BEA&amp;BLS_Output_data'!I25</f>
        <v>19424.900000000001</v>
      </c>
      <c r="H29">
        <f>'BEA&amp;BLS_Output_data'!J25</f>
        <v>162146.1</v>
      </c>
      <c r="I29">
        <f>'BEA&amp;BLS_Output_data'!N25</f>
        <v>89583.022349999999</v>
      </c>
      <c r="J29">
        <f>'BEA&amp;BLS_Output_data'!O25</f>
        <v>51498.16029</v>
      </c>
      <c r="L29">
        <f>NEA_Data!B59</f>
        <v>1970</v>
      </c>
      <c r="M29">
        <f>NEA_Data!C59</f>
        <v>42.785000000000004</v>
      </c>
      <c r="N29">
        <f>NEA_Data!D59</f>
        <v>25.768000000000001</v>
      </c>
      <c r="O29">
        <f>NEA_Data!E59</f>
        <v>37.037999999999997</v>
      </c>
      <c r="P29">
        <f>NEA_Data!F59</f>
        <v>25.613999999999997</v>
      </c>
      <c r="Q29">
        <f>NEA_Data!G59</f>
        <v>1.4039999999999999</v>
      </c>
      <c r="S29">
        <f>NEA_Data!I59</f>
        <v>193.65699999999998</v>
      </c>
      <c r="T29">
        <f>NEA_Data!J59</f>
        <v>40.186</v>
      </c>
      <c r="U29">
        <f>NEA_Data!K59</f>
        <v>137.791</v>
      </c>
      <c r="V29">
        <f>NEA_Data!L59</f>
        <v>247.30599999999998</v>
      </c>
      <c r="W29">
        <f>NEA_Data!M59</f>
        <v>79.72</v>
      </c>
      <c r="Z29">
        <f t="shared" si="69"/>
        <v>1982</v>
      </c>
      <c r="AA29" s="206">
        <f t="shared" si="0"/>
        <v>23.915811444000006</v>
      </c>
      <c r="AB29">
        <f t="shared" si="24"/>
        <v>106.35900000000001</v>
      </c>
      <c r="AC29">
        <f t="shared" si="25"/>
        <v>316.88599999999997</v>
      </c>
      <c r="AM29">
        <f t="shared" si="26"/>
        <v>1982</v>
      </c>
      <c r="AN29">
        <f t="shared" si="27"/>
        <v>23.915811444000006</v>
      </c>
      <c r="AO29">
        <f t="shared" si="84"/>
        <v>4.0584725439529628</v>
      </c>
      <c r="AP29">
        <f t="shared" si="85"/>
        <v>15.854963914374521</v>
      </c>
      <c r="AQ29" s="3">
        <f t="shared" si="29"/>
        <v>239158.11444000006</v>
      </c>
      <c r="AR29">
        <f t="shared" si="1"/>
        <v>97.061664111830083</v>
      </c>
      <c r="AS29">
        <f t="shared" si="2"/>
        <v>379.1843274276053</v>
      </c>
      <c r="AV29">
        <f t="shared" si="70"/>
        <v>1982</v>
      </c>
      <c r="AW29">
        <f t="shared" si="71"/>
        <v>36.781100000000002</v>
      </c>
      <c r="AX29">
        <f t="shared" si="30"/>
        <v>50.208999999999996</v>
      </c>
      <c r="AY29">
        <f t="shared" si="31"/>
        <v>93.802999999999997</v>
      </c>
      <c r="BI29">
        <f t="shared" si="32"/>
        <v>1982</v>
      </c>
      <c r="BJ29">
        <f t="shared" si="33"/>
        <v>36.781100000000002</v>
      </c>
      <c r="BK29">
        <f t="shared" si="86"/>
        <v>1.0609166887373425</v>
      </c>
      <c r="BL29">
        <f t="shared" si="87"/>
        <v>2.4685337847720836</v>
      </c>
      <c r="BM29" s="148">
        <f t="shared" si="35"/>
        <v>36781.1</v>
      </c>
      <c r="BN29">
        <f t="shared" si="3"/>
        <v>39.021682820117071</v>
      </c>
      <c r="BO29">
        <f t="shared" si="4"/>
        <v>90.795387991080489</v>
      </c>
      <c r="BR29">
        <f t="shared" si="72"/>
        <v>1982</v>
      </c>
      <c r="BS29">
        <f t="shared" si="73"/>
        <v>258.161</v>
      </c>
      <c r="BT29">
        <f t="shared" si="36"/>
        <v>40.429000000000002</v>
      </c>
      <c r="BU29">
        <f t="shared" si="37"/>
        <v>64.48</v>
      </c>
      <c r="CE29">
        <f t="shared" si="38"/>
        <v>1982</v>
      </c>
      <c r="CF29">
        <f t="shared" si="39"/>
        <v>258.161</v>
      </c>
      <c r="CG29">
        <f t="shared" si="88"/>
        <v>0.13482722198758518</v>
      </c>
      <c r="CH29">
        <f t="shared" si="89"/>
        <v>0.28654841940910164</v>
      </c>
      <c r="CI29" s="148">
        <f t="shared" si="41"/>
        <v>258161</v>
      </c>
      <c r="CJ29">
        <f t="shared" si="5"/>
        <v>34.807130455536978</v>
      </c>
      <c r="CK29">
        <f t="shared" si="6"/>
        <v>73.975626503073087</v>
      </c>
      <c r="CN29">
        <f t="shared" si="74"/>
        <v>1982</v>
      </c>
      <c r="CO29">
        <f t="shared" si="75"/>
        <v>194.24900000000002</v>
      </c>
      <c r="CP29">
        <f t="shared" si="7"/>
        <v>33.68</v>
      </c>
      <c r="CQ29">
        <f t="shared" si="8"/>
        <v>193.26689999999999</v>
      </c>
      <c r="DA29">
        <f t="shared" si="9"/>
        <v>1982</v>
      </c>
      <c r="DB29">
        <f t="shared" si="10"/>
        <v>194.24900000000002</v>
      </c>
      <c r="DC29">
        <f t="shared" si="90"/>
        <v>0.13824470488923099</v>
      </c>
      <c r="DD29">
        <f t="shared" si="91"/>
        <v>0.90212166407639716</v>
      </c>
      <c r="DE29" s="148">
        <f t="shared" si="11"/>
        <v>194249.00000000003</v>
      </c>
      <c r="DF29">
        <f t="shared" si="12"/>
        <v>26.853895680028234</v>
      </c>
      <c r="DG29">
        <f t="shared" si="13"/>
        <v>175.23623112517609</v>
      </c>
      <c r="DJ29">
        <f t="shared" si="76"/>
        <v>1982</v>
      </c>
      <c r="DK29" s="152">
        <f t="shared" si="44"/>
        <v>895.83022349999999</v>
      </c>
      <c r="DL29">
        <f t="shared" si="45"/>
        <v>100.68270895568229</v>
      </c>
      <c r="DM29">
        <f t="shared" si="46"/>
        <v>340.00724561932964</v>
      </c>
      <c r="DW29">
        <f t="shared" si="47"/>
        <v>1982</v>
      </c>
      <c r="DX29">
        <f t="shared" si="48"/>
        <v>0.11239039085142263</v>
      </c>
      <c r="DY29">
        <f t="shared" si="49"/>
        <v>0.37954428942006962</v>
      </c>
      <c r="EB29">
        <f t="shared" si="77"/>
        <v>1982</v>
      </c>
      <c r="EC29">
        <f t="shared" si="78"/>
        <v>162.14610000000002</v>
      </c>
      <c r="ED29">
        <f t="shared" si="14"/>
        <v>12.565</v>
      </c>
      <c r="EE29">
        <f t="shared" si="15"/>
        <v>154.94300000000001</v>
      </c>
      <c r="EO29">
        <f t="shared" si="16"/>
        <v>1982</v>
      </c>
      <c r="EP29">
        <f t="shared" si="17"/>
        <v>162.14610000000002</v>
      </c>
      <c r="EQ29">
        <f t="shared" si="92"/>
        <v>7.3305331497769965E-2</v>
      </c>
      <c r="ER29">
        <f t="shared" si="93"/>
        <v>1.1159886437406739</v>
      </c>
      <c r="ES29" s="148">
        <f t="shared" si="50"/>
        <v>162146.1</v>
      </c>
      <c r="ET29">
        <f t="shared" si="20"/>
        <v>11.886173611570561</v>
      </c>
      <c r="EU29">
        <f t="shared" si="21"/>
        <v>180.95320622683971</v>
      </c>
      <c r="EX29">
        <f t="shared" si="79"/>
        <v>1982</v>
      </c>
      <c r="EY29" s="152">
        <f t="shared" si="51"/>
        <v>0.50208999999999993</v>
      </c>
      <c r="EZ29">
        <f t="shared" si="22"/>
        <v>203.979562720308</v>
      </c>
      <c r="FA29">
        <f t="shared" si="23"/>
        <v>145.31031924333087</v>
      </c>
      <c r="FE29">
        <f t="shared" si="52"/>
        <v>1982</v>
      </c>
      <c r="FF29" s="184">
        <f t="shared" si="53"/>
        <v>97.061664111830083</v>
      </c>
      <c r="FG29" s="184">
        <f t="shared" si="54"/>
        <v>100.68270895568229</v>
      </c>
      <c r="FH29" s="184">
        <f t="shared" si="55"/>
        <v>11.886173611570561</v>
      </c>
      <c r="FI29" s="184">
        <f t="shared" si="56"/>
        <v>379.1843274276053</v>
      </c>
      <c r="FJ29" s="184">
        <f t="shared" si="57"/>
        <v>340.00724561932964</v>
      </c>
      <c r="FK29" s="184">
        <f t="shared" si="58"/>
        <v>180.95320622683971</v>
      </c>
      <c r="FL29" s="148">
        <f t="shared" si="59"/>
        <v>239158.11444000006</v>
      </c>
      <c r="FM29" s="148">
        <f t="shared" si="60"/>
        <v>89583.022349999999</v>
      </c>
      <c r="FN29" s="148">
        <f t="shared" si="61"/>
        <v>162146.1</v>
      </c>
      <c r="FP29">
        <f t="shared" si="62"/>
        <v>209.63054667908293</v>
      </c>
      <c r="FQ29">
        <f t="shared" si="63"/>
        <v>900.1447792737747</v>
      </c>
      <c r="FR29" s="148">
        <f>[5]Indicators_NonMan_2018_BEA!U17</f>
        <v>386171.82607999997</v>
      </c>
      <c r="FS29" s="3">
        <f>[5]Indicators_NonMan_2018_BEA!I17</f>
        <v>155137.07924000002</v>
      </c>
      <c r="FU29" s="13">
        <f t="shared" si="64"/>
        <v>0.54284267396466035</v>
      </c>
      <c r="FV29" s="13">
        <f t="shared" si="65"/>
        <v>2.3309436848645175</v>
      </c>
      <c r="FW29" s="13"/>
      <c r="FX29" s="13">
        <f t="shared" si="66"/>
        <v>1.1239039085142262E-3</v>
      </c>
      <c r="FZ29">
        <f t="shared" si="81"/>
        <v>1982</v>
      </c>
      <c r="GA29">
        <f t="shared" si="82"/>
        <v>162146.1</v>
      </c>
      <c r="GB29">
        <f t="shared" si="83"/>
        <v>51498.16029</v>
      </c>
    </row>
    <row r="30" spans="3:186" x14ac:dyDescent="0.2">
      <c r="C30">
        <f>'BEA&amp;BLS_Output_data'!E26</f>
        <v>1983</v>
      </c>
      <c r="D30">
        <f>'BEA&amp;BLS_Output_data'!M26</f>
        <v>234690.24179999999</v>
      </c>
      <c r="E30">
        <f>'BEA&amp;BLS_Output_data'!G26</f>
        <v>36144.400000000001</v>
      </c>
      <c r="F30">
        <f>'BEA&amp;BLS_Output_data'!H26</f>
        <v>23521.599999999999</v>
      </c>
      <c r="G30">
        <f>'BEA&amp;BLS_Output_data'!I26</f>
        <v>22089.5</v>
      </c>
      <c r="H30">
        <f>'BEA&amp;BLS_Output_data'!J26</f>
        <v>133648.1</v>
      </c>
      <c r="I30">
        <f>'BEA&amp;BLS_Output_data'!N26</f>
        <v>90777.313049999997</v>
      </c>
      <c r="J30">
        <f>'BEA&amp;BLS_Output_data'!O26</f>
        <v>41095.177350000005</v>
      </c>
      <c r="L30">
        <f>NEA_Data!B60</f>
        <v>1971</v>
      </c>
      <c r="M30">
        <f>NEA_Data!C60</f>
        <v>44.602999999999994</v>
      </c>
      <c r="N30">
        <f>NEA_Data!D60</f>
        <v>24.885999999999999</v>
      </c>
      <c r="O30">
        <f>NEA_Data!E60</f>
        <v>35.013999999999996</v>
      </c>
      <c r="P30">
        <f>NEA_Data!F60</f>
        <v>26.195</v>
      </c>
      <c r="Q30">
        <f>NEA_Data!G60</f>
        <v>1.26</v>
      </c>
      <c r="S30">
        <f>NEA_Data!I60</f>
        <v>198.55599999999998</v>
      </c>
      <c r="T30">
        <f>NEA_Data!J60</f>
        <v>38.961999999999996</v>
      </c>
      <c r="U30">
        <f>NEA_Data!K60</f>
        <v>127.316</v>
      </c>
      <c r="V30">
        <f>NEA_Data!L60</f>
        <v>248.87700000000001</v>
      </c>
      <c r="W30">
        <f>NEA_Data!M60</f>
        <v>74.004000000000005</v>
      </c>
      <c r="Z30">
        <f t="shared" si="69"/>
        <v>1983</v>
      </c>
      <c r="AA30" s="206">
        <f t="shared" si="0"/>
        <v>23.469024180000002</v>
      </c>
      <c r="AB30">
        <f t="shared" si="24"/>
        <v>113.39100000000001</v>
      </c>
      <c r="AC30">
        <f t="shared" si="25"/>
        <v>311.12</v>
      </c>
      <c r="AM30">
        <f t="shared" si="26"/>
        <v>1983</v>
      </c>
      <c r="AN30">
        <f t="shared" si="27"/>
        <v>23.469024180000002</v>
      </c>
      <c r="AO30">
        <f t="shared" si="84"/>
        <v>4.1061670527435554</v>
      </c>
      <c r="AP30">
        <f t="shared" si="85"/>
        <v>16.109956697249423</v>
      </c>
      <c r="AQ30" s="3">
        <f t="shared" si="29"/>
        <v>234690.24180000002</v>
      </c>
      <c r="AR30">
        <f t="shared" si="1"/>
        <v>96.367733847957851</v>
      </c>
      <c r="AS30">
        <f t="shared" si="2"/>
        <v>378.0849632664997</v>
      </c>
      <c r="AV30">
        <f t="shared" si="70"/>
        <v>1983</v>
      </c>
      <c r="AW30">
        <f t="shared" si="71"/>
        <v>36.144400000000005</v>
      </c>
      <c r="AX30">
        <f t="shared" si="30"/>
        <v>47.943999999999996</v>
      </c>
      <c r="AY30">
        <f t="shared" si="31"/>
        <v>86.841000000000008</v>
      </c>
      <c r="BI30">
        <f t="shared" si="32"/>
        <v>1983</v>
      </c>
      <c r="BJ30">
        <f t="shared" si="33"/>
        <v>36.144400000000005</v>
      </c>
      <c r="BK30">
        <f t="shared" si="86"/>
        <v>1.047200897988467</v>
      </c>
      <c r="BL30">
        <f t="shared" si="87"/>
        <v>2.4440465817176604</v>
      </c>
      <c r="BM30" s="148">
        <f t="shared" si="35"/>
        <v>36144.400000000001</v>
      </c>
      <c r="BN30">
        <f t="shared" si="3"/>
        <v>37.850448137254354</v>
      </c>
      <c r="BO30">
        <f t="shared" si="4"/>
        <v>88.338597268235816</v>
      </c>
      <c r="BR30">
        <f t="shared" si="72"/>
        <v>1983</v>
      </c>
      <c r="BS30">
        <f t="shared" si="73"/>
        <v>235.21599999999998</v>
      </c>
      <c r="BT30">
        <f t="shared" si="36"/>
        <v>42.634</v>
      </c>
      <c r="BU30">
        <f t="shared" si="37"/>
        <v>62.679000000000002</v>
      </c>
      <c r="CE30">
        <f t="shared" si="38"/>
        <v>1983</v>
      </c>
      <c r="CF30">
        <f t="shared" si="39"/>
        <v>235.21599999999998</v>
      </c>
      <c r="CG30">
        <f t="shared" si="88"/>
        <v>0.13811041570705321</v>
      </c>
      <c r="CH30">
        <f t="shared" si="89"/>
        <v>0.27598539865351146</v>
      </c>
      <c r="CI30" s="148">
        <f t="shared" si="41"/>
        <v>235215.99999999997</v>
      </c>
      <c r="CJ30">
        <f t="shared" si="5"/>
        <v>32.485779540950226</v>
      </c>
      <c r="CK30">
        <f t="shared" si="6"/>
        <v>64.916181529684351</v>
      </c>
      <c r="CN30">
        <f t="shared" si="74"/>
        <v>1983</v>
      </c>
      <c r="CO30">
        <f t="shared" si="75"/>
        <v>220.89500000000001</v>
      </c>
      <c r="CP30">
        <f t="shared" si="7"/>
        <v>37.994999999999997</v>
      </c>
      <c r="CQ30">
        <f t="shared" si="8"/>
        <v>208.64610000000002</v>
      </c>
      <c r="DA30">
        <f t="shared" si="9"/>
        <v>1983</v>
      </c>
      <c r="DB30">
        <f t="shared" si="10"/>
        <v>220.89500000000001</v>
      </c>
      <c r="DC30">
        <f t="shared" si="90"/>
        <v>0.14024321589466032</v>
      </c>
      <c r="DD30">
        <f t="shared" si="91"/>
        <v>0.89445874211179455</v>
      </c>
      <c r="DE30" s="148">
        <f t="shared" si="11"/>
        <v>220895</v>
      </c>
      <c r="DF30">
        <f t="shared" si="12"/>
        <v>30.979025175050992</v>
      </c>
      <c r="DG30">
        <f t="shared" si="13"/>
        <v>197.58146383878486</v>
      </c>
      <c r="DJ30">
        <f t="shared" si="76"/>
        <v>1983</v>
      </c>
      <c r="DK30" s="152">
        <f t="shared" si="44"/>
        <v>907.77313049999998</v>
      </c>
      <c r="DL30">
        <f t="shared" si="45"/>
        <v>101.31525285325557</v>
      </c>
      <c r="DM30">
        <f t="shared" si="46"/>
        <v>350.83624263670504</v>
      </c>
      <c r="DW30">
        <f t="shared" si="47"/>
        <v>1983</v>
      </c>
      <c r="DX30">
        <f t="shared" si="48"/>
        <v>0.11160856104812365</v>
      </c>
      <c r="DY30">
        <f t="shared" si="49"/>
        <v>0.38648009160996538</v>
      </c>
      <c r="EB30">
        <f t="shared" si="77"/>
        <v>1983</v>
      </c>
      <c r="EC30">
        <f t="shared" si="78"/>
        <v>133.6481</v>
      </c>
      <c r="ED30">
        <f t="shared" si="14"/>
        <v>12.388</v>
      </c>
      <c r="EE30">
        <f t="shared" si="15"/>
        <v>137.453</v>
      </c>
      <c r="EO30">
        <f t="shared" si="16"/>
        <v>1983</v>
      </c>
      <c r="EP30">
        <f t="shared" si="17"/>
        <v>133.6481</v>
      </c>
      <c r="EQ30">
        <f t="shared" si="92"/>
        <v>7.1966397797323958E-2</v>
      </c>
      <c r="ER30">
        <f t="shared" si="93"/>
        <v>1.0833863724888086</v>
      </c>
      <c r="ES30" s="148">
        <f t="shared" si="50"/>
        <v>133648.1</v>
      </c>
      <c r="ET30">
        <f t="shared" si="20"/>
        <v>9.6181723294565327</v>
      </c>
      <c r="EU30">
        <f t="shared" si="21"/>
        <v>144.79253024902155</v>
      </c>
      <c r="EX30">
        <f t="shared" si="79"/>
        <v>1983</v>
      </c>
      <c r="EY30" s="152">
        <f t="shared" si="51"/>
        <v>0.47943999999999998</v>
      </c>
      <c r="EZ30">
        <f t="shared" si="22"/>
        <v>231.74182772335257</v>
      </c>
      <c r="FA30">
        <f t="shared" si="23"/>
        <v>160.2435949704973</v>
      </c>
      <c r="FE30">
        <f t="shared" si="52"/>
        <v>1983</v>
      </c>
      <c r="FF30" s="184">
        <f t="shared" si="53"/>
        <v>96.367733847957851</v>
      </c>
      <c r="FG30" s="184">
        <f t="shared" si="54"/>
        <v>101.31525285325557</v>
      </c>
      <c r="FH30" s="184">
        <f t="shared" si="55"/>
        <v>9.6181723294565327</v>
      </c>
      <c r="FI30" s="184">
        <f t="shared" si="56"/>
        <v>378.0849632664997</v>
      </c>
      <c r="FJ30" s="184">
        <f t="shared" si="57"/>
        <v>350.83624263670504</v>
      </c>
      <c r="FK30" s="184">
        <f t="shared" si="58"/>
        <v>144.79253024902155</v>
      </c>
      <c r="FL30" s="148">
        <f t="shared" si="59"/>
        <v>234690.24180000002</v>
      </c>
      <c r="FM30" s="148">
        <f t="shared" si="60"/>
        <v>90777.313049999997</v>
      </c>
      <c r="FN30" s="148">
        <f t="shared" si="61"/>
        <v>133648.1</v>
      </c>
      <c r="FP30">
        <f t="shared" si="62"/>
        <v>207.30115903066996</v>
      </c>
      <c r="FQ30">
        <f t="shared" si="63"/>
        <v>873.71373615222626</v>
      </c>
      <c r="FR30" s="148">
        <f>[5]Indicators_NonMan_2018_BEA!U18</f>
        <v>366266.12504999997</v>
      </c>
      <c r="FS30" s="3">
        <f>[5]Indicators_NonMan_2018_BEA!I18</f>
        <v>153526.07622000002</v>
      </c>
      <c r="FU30" s="13">
        <f t="shared" si="64"/>
        <v>0.56598507165348888</v>
      </c>
      <c r="FV30" s="13">
        <f t="shared" si="65"/>
        <v>2.3854614893281578</v>
      </c>
      <c r="FW30" s="13"/>
      <c r="FX30" s="13">
        <f t="shared" si="66"/>
        <v>1.1160856104812367E-3</v>
      </c>
      <c r="FZ30">
        <f t="shared" si="81"/>
        <v>1983</v>
      </c>
      <c r="GA30">
        <f t="shared" si="82"/>
        <v>133648.1</v>
      </c>
      <c r="GB30">
        <f t="shared" si="83"/>
        <v>41095.177350000005</v>
      </c>
    </row>
    <row r="31" spans="3:186" x14ac:dyDescent="0.2">
      <c r="C31">
        <f>'BEA&amp;BLS_Output_data'!E27</f>
        <v>1984</v>
      </c>
      <c r="D31">
        <f>'BEA&amp;BLS_Output_data'!M27</f>
        <v>250973.31660000002</v>
      </c>
      <c r="E31">
        <f>'BEA&amp;BLS_Output_data'!G27</f>
        <v>41794.5</v>
      </c>
      <c r="F31">
        <f>'BEA&amp;BLS_Output_data'!H27</f>
        <v>31103.3</v>
      </c>
      <c r="G31">
        <f>'BEA&amp;BLS_Output_data'!I27</f>
        <v>25179.200000000001</v>
      </c>
      <c r="H31">
        <f>'BEA&amp;BLS_Output_data'!J27</f>
        <v>151997.79999999999</v>
      </c>
      <c r="I31">
        <f>'BEA&amp;BLS_Output_data'!N27</f>
        <v>103444.52369999999</v>
      </c>
      <c r="J31">
        <f>'BEA&amp;BLS_Output_data'!O27</f>
        <v>45972.28284</v>
      </c>
      <c r="L31">
        <f>NEA_Data!B61</f>
        <v>1972</v>
      </c>
      <c r="M31">
        <f>NEA_Data!C61</f>
        <v>47.206000000000003</v>
      </c>
      <c r="N31">
        <f>NEA_Data!D61</f>
        <v>28.236000000000001</v>
      </c>
      <c r="O31">
        <f>NEA_Data!E61</f>
        <v>38.048999999999999</v>
      </c>
      <c r="P31">
        <f>NEA_Data!F61</f>
        <v>27.960999999999999</v>
      </c>
      <c r="Q31">
        <f>NEA_Data!G61</f>
        <v>1.331</v>
      </c>
      <c r="S31">
        <f>NEA_Data!I61</f>
        <v>204.72399999999999</v>
      </c>
      <c r="T31">
        <f>NEA_Data!J61</f>
        <v>44.265999999999998</v>
      </c>
      <c r="U31">
        <f>NEA_Data!K61</f>
        <v>134.101</v>
      </c>
      <c r="V31">
        <f>NEA_Data!L61</f>
        <v>261.96699999999998</v>
      </c>
      <c r="W31">
        <f>NEA_Data!M61</f>
        <v>80.938000000000002</v>
      </c>
      <c r="Z31">
        <f t="shared" si="69"/>
        <v>1984</v>
      </c>
      <c r="AA31" s="206">
        <f t="shared" si="0"/>
        <v>25.097331660000002</v>
      </c>
      <c r="AB31">
        <f t="shared" si="24"/>
        <v>117.994</v>
      </c>
      <c r="AC31">
        <f t="shared" si="25"/>
        <v>310.05600000000004</v>
      </c>
      <c r="AM31">
        <f t="shared" si="26"/>
        <v>1984</v>
      </c>
      <c r="AN31">
        <f t="shared" si="27"/>
        <v>25.097331660000002</v>
      </c>
      <c r="AO31">
        <f t="shared" si="84"/>
        <v>4.1538615615341481</v>
      </c>
      <c r="AP31">
        <f t="shared" si="85"/>
        <v>16.364949480124327</v>
      </c>
      <c r="AQ31" s="3">
        <f t="shared" si="29"/>
        <v>250973.31660000002</v>
      </c>
      <c r="AR31">
        <f t="shared" si="1"/>
        <v>104.25084127954803</v>
      </c>
      <c r="AS31">
        <f t="shared" si="2"/>
        <v>410.71656470182484</v>
      </c>
      <c r="AV31">
        <f t="shared" si="70"/>
        <v>1984</v>
      </c>
      <c r="AW31">
        <f t="shared" si="71"/>
        <v>41.794499999999999</v>
      </c>
      <c r="AX31">
        <f t="shared" si="30"/>
        <v>55.217999999999996</v>
      </c>
      <c r="AY31">
        <f t="shared" si="31"/>
        <v>96.915999999999997</v>
      </c>
      <c r="BI31">
        <f t="shared" si="32"/>
        <v>1984</v>
      </c>
      <c r="BJ31">
        <f t="shared" si="33"/>
        <v>41.794499999999999</v>
      </c>
      <c r="BK31">
        <f t="shared" si="86"/>
        <v>1.0334851072395916</v>
      </c>
      <c r="BL31">
        <f t="shared" si="87"/>
        <v>2.4195593786632372</v>
      </c>
      <c r="BM31" s="148">
        <f t="shared" si="35"/>
        <v>41794.5</v>
      </c>
      <c r="BN31">
        <f t="shared" si="3"/>
        <v>43.193993314525109</v>
      </c>
      <c r="BO31">
        <f t="shared" si="4"/>
        <v>101.12427445154067</v>
      </c>
      <c r="BR31">
        <f t="shared" si="72"/>
        <v>1984</v>
      </c>
      <c r="BS31">
        <f t="shared" si="73"/>
        <v>311.03300000000002</v>
      </c>
      <c r="BT31">
        <f t="shared" si="36"/>
        <v>53.949999999999996</v>
      </c>
      <c r="BU31">
        <f t="shared" si="37"/>
        <v>74.292000000000002</v>
      </c>
      <c r="CE31">
        <f t="shared" si="38"/>
        <v>1984</v>
      </c>
      <c r="CF31">
        <f t="shared" si="39"/>
        <v>311.03300000000002</v>
      </c>
      <c r="CG31">
        <f t="shared" si="88"/>
        <v>0.14139360942652124</v>
      </c>
      <c r="CH31">
        <f t="shared" si="89"/>
        <v>0.26542237789792128</v>
      </c>
      <c r="CI31" s="148">
        <f t="shared" si="41"/>
        <v>311033</v>
      </c>
      <c r="CJ31">
        <f t="shared" si="5"/>
        <v>43.978078520759183</v>
      </c>
      <c r="CK31">
        <f t="shared" si="6"/>
        <v>82.55511846472416</v>
      </c>
      <c r="CN31">
        <f t="shared" si="74"/>
        <v>1984</v>
      </c>
      <c r="CO31">
        <f t="shared" si="75"/>
        <v>251.792</v>
      </c>
      <c r="CP31">
        <f t="shared" si="7"/>
        <v>38.137</v>
      </c>
      <c r="CQ31">
        <f t="shared" si="8"/>
        <v>205.42139999999998</v>
      </c>
      <c r="DA31">
        <f t="shared" si="9"/>
        <v>1984</v>
      </c>
      <c r="DB31">
        <f t="shared" si="10"/>
        <v>251.792</v>
      </c>
      <c r="DC31">
        <f t="shared" si="90"/>
        <v>0.14224172690008965</v>
      </c>
      <c r="DD31">
        <f t="shared" si="91"/>
        <v>0.88679582014719194</v>
      </c>
      <c r="DE31" s="148">
        <f t="shared" si="11"/>
        <v>251792</v>
      </c>
      <c r="DF31">
        <f t="shared" si="12"/>
        <v>35.815328899627374</v>
      </c>
      <c r="DG31">
        <f t="shared" si="13"/>
        <v>223.28809314650175</v>
      </c>
      <c r="DJ31">
        <f t="shared" si="76"/>
        <v>1984</v>
      </c>
      <c r="DK31" s="152">
        <f t="shared" si="44"/>
        <v>1034.4452369999999</v>
      </c>
      <c r="DL31">
        <f t="shared" si="45"/>
        <v>122.98740073491167</v>
      </c>
      <c r="DM31">
        <f t="shared" si="46"/>
        <v>406.96748606276657</v>
      </c>
      <c r="DW31">
        <f t="shared" si="47"/>
        <v>1984</v>
      </c>
      <c r="DX31">
        <f t="shared" si="48"/>
        <v>0.11889213303508273</v>
      </c>
      <c r="DY31">
        <f t="shared" si="49"/>
        <v>0.39341617275266799</v>
      </c>
      <c r="EB31">
        <f t="shared" si="77"/>
        <v>1984</v>
      </c>
      <c r="EC31">
        <f t="shared" si="78"/>
        <v>151.99779999999998</v>
      </c>
      <c r="ED31">
        <f t="shared" si="14"/>
        <v>16.158000000000001</v>
      </c>
      <c r="EE31">
        <f t="shared" si="15"/>
        <v>162.92400000000001</v>
      </c>
      <c r="EO31">
        <f t="shared" si="16"/>
        <v>1984</v>
      </c>
      <c r="EP31">
        <f t="shared" si="17"/>
        <v>151.99779999999998</v>
      </c>
      <c r="EQ31">
        <f t="shared" si="92"/>
        <v>7.0627464096877951E-2</v>
      </c>
      <c r="ER31">
        <f t="shared" si="93"/>
        <v>1.0507841012369434</v>
      </c>
      <c r="ES31" s="148">
        <f t="shared" si="50"/>
        <v>151997.79999999999</v>
      </c>
      <c r="ET31">
        <f t="shared" si="20"/>
        <v>10.735219162304434</v>
      </c>
      <c r="EU31">
        <f t="shared" si="21"/>
        <v>159.71687166299267</v>
      </c>
      <c r="EX31">
        <f t="shared" si="79"/>
        <v>1984</v>
      </c>
      <c r="EY31" s="152">
        <f t="shared" si="51"/>
        <v>0.55218</v>
      </c>
      <c r="EZ31">
        <f t="shared" si="22"/>
        <v>261.32616408595425</v>
      </c>
      <c r="FA31">
        <f t="shared" si="23"/>
        <v>138.8912958671751</v>
      </c>
      <c r="FE31">
        <f t="shared" si="52"/>
        <v>1984</v>
      </c>
      <c r="FF31" s="184">
        <f t="shared" si="53"/>
        <v>104.25084127954803</v>
      </c>
      <c r="FG31" s="184">
        <f t="shared" si="54"/>
        <v>122.98740073491167</v>
      </c>
      <c r="FH31" s="184">
        <f t="shared" si="55"/>
        <v>10.735219162304434</v>
      </c>
      <c r="FI31" s="184">
        <f t="shared" si="56"/>
        <v>410.71656470182484</v>
      </c>
      <c r="FJ31" s="184">
        <f t="shared" si="57"/>
        <v>406.96748606276657</v>
      </c>
      <c r="FK31" s="184">
        <f t="shared" si="58"/>
        <v>159.71687166299267</v>
      </c>
      <c r="FL31" s="148">
        <f t="shared" si="59"/>
        <v>250973.31660000002</v>
      </c>
      <c r="FM31" s="148">
        <f t="shared" si="60"/>
        <v>103444.52369999999</v>
      </c>
      <c r="FN31" s="148">
        <f t="shared" si="61"/>
        <v>151997.79999999999</v>
      </c>
      <c r="FP31">
        <f t="shared" si="62"/>
        <v>237.97346117676415</v>
      </c>
      <c r="FQ31">
        <f t="shared" si="63"/>
        <v>977.40092242758396</v>
      </c>
      <c r="FR31" s="148">
        <f>[5]Indicators_NonMan_2018_BEA!U19</f>
        <v>400284.21405999997</v>
      </c>
      <c r="FS31" s="3">
        <f>[5]Indicators_NonMan_2018_BEA!I19</f>
        <v>168312.14180000001</v>
      </c>
      <c r="FU31" s="13">
        <f t="shared" si="64"/>
        <v>0.59451123181463628</v>
      </c>
      <c r="FV31" s="13">
        <f t="shared" si="65"/>
        <v>2.4417673445425403</v>
      </c>
      <c r="FW31" s="13"/>
      <c r="FX31" s="13">
        <f t="shared" si="66"/>
        <v>1.1889213303508273E-3</v>
      </c>
      <c r="FZ31">
        <f t="shared" si="81"/>
        <v>1984</v>
      </c>
      <c r="GA31">
        <f t="shared" si="82"/>
        <v>151997.79999999999</v>
      </c>
      <c r="GB31">
        <f t="shared" si="83"/>
        <v>45972.28284</v>
      </c>
    </row>
    <row r="32" spans="3:186" x14ac:dyDescent="0.2">
      <c r="C32">
        <f>'BEA&amp;BLS_Output_data'!E28</f>
        <v>1985</v>
      </c>
      <c r="D32">
        <f>'BEA&amp;BLS_Output_data'!M28</f>
        <v>249965.14404000004</v>
      </c>
      <c r="E32">
        <f>'BEA&amp;BLS_Output_data'!G28</f>
        <v>39784.9</v>
      </c>
      <c r="F32">
        <f>'BEA&amp;BLS_Output_data'!H28</f>
        <v>31507.7</v>
      </c>
      <c r="G32">
        <f>'BEA&amp;BLS_Output_data'!I28</f>
        <v>24742.7</v>
      </c>
      <c r="H32">
        <f>'BEA&amp;BLS_Output_data'!J28</f>
        <v>135885</v>
      </c>
      <c r="I32">
        <f>'BEA&amp;BLS_Output_data'!N28</f>
        <v>99766.906200000012</v>
      </c>
      <c r="J32">
        <f>'BEA&amp;BLS_Output_data'!O28</f>
        <v>41445.966840000001</v>
      </c>
      <c r="L32">
        <f>NEA_Data!B62</f>
        <v>1973</v>
      </c>
      <c r="M32">
        <f>NEA_Data!C62</f>
        <v>51.50800000000001</v>
      </c>
      <c r="N32">
        <f>NEA_Data!D62</f>
        <v>28.498000000000001</v>
      </c>
      <c r="O32">
        <f>NEA_Data!E62</f>
        <v>43.497</v>
      </c>
      <c r="P32">
        <f>NEA_Data!F62</f>
        <v>31.134999999999998</v>
      </c>
      <c r="Q32">
        <f>NEA_Data!G62</f>
        <v>1.5029999999999999</v>
      </c>
      <c r="S32">
        <f>NEA_Data!I62</f>
        <v>228.81299999999999</v>
      </c>
      <c r="T32">
        <f>NEA_Data!J62</f>
        <v>48.984999999999999</v>
      </c>
      <c r="U32">
        <f>NEA_Data!K62</f>
        <v>150.74799999999999</v>
      </c>
      <c r="V32">
        <f>NEA_Data!L62</f>
        <v>277.601</v>
      </c>
      <c r="W32">
        <f>NEA_Data!M62</f>
        <v>79.108000000000004</v>
      </c>
      <c r="Z32">
        <f t="shared" si="69"/>
        <v>1985</v>
      </c>
      <c r="AA32" s="206">
        <f t="shared" si="0"/>
        <v>24.996514404000006</v>
      </c>
      <c r="AB32">
        <f t="shared" si="24"/>
        <v>122.383</v>
      </c>
      <c r="AC32">
        <f t="shared" si="25"/>
        <v>303.07799999999997</v>
      </c>
      <c r="AM32">
        <f t="shared" si="26"/>
        <v>1985</v>
      </c>
      <c r="AN32">
        <f t="shared" si="27"/>
        <v>24.996514404000006</v>
      </c>
      <c r="AO32">
        <f t="shared" si="84"/>
        <v>4.2015560703247408</v>
      </c>
      <c r="AP32">
        <f t="shared" si="85"/>
        <v>16.619942262999231</v>
      </c>
      <c r="AQ32" s="3">
        <f t="shared" si="29"/>
        <v>249965.14404000007</v>
      </c>
      <c r="AR32">
        <f t="shared" si="1"/>
        <v>105.02425683108605</v>
      </c>
      <c r="AS32">
        <f t="shared" si="2"/>
        <v>415.44062617070875</v>
      </c>
      <c r="AV32">
        <f t="shared" si="70"/>
        <v>1985</v>
      </c>
      <c r="AW32">
        <f t="shared" si="71"/>
        <v>39.7849</v>
      </c>
      <c r="AX32">
        <f t="shared" si="30"/>
        <v>55.893999999999998</v>
      </c>
      <c r="AY32">
        <f t="shared" si="31"/>
        <v>95.111000000000004</v>
      </c>
      <c r="BI32">
        <f t="shared" si="32"/>
        <v>1985</v>
      </c>
      <c r="BJ32">
        <f t="shared" si="33"/>
        <v>39.7849</v>
      </c>
      <c r="BK32">
        <f t="shared" si="86"/>
        <v>1.0197693164907162</v>
      </c>
      <c r="BL32">
        <f t="shared" si="87"/>
        <v>2.395072175608814</v>
      </c>
      <c r="BM32" s="148">
        <f t="shared" si="35"/>
        <v>39784.9</v>
      </c>
      <c r="BN32">
        <f t="shared" si="3"/>
        <v>40.571420279651498</v>
      </c>
      <c r="BO32">
        <f t="shared" si="4"/>
        <v>95.287706999379111</v>
      </c>
      <c r="BR32">
        <f t="shared" si="72"/>
        <v>1985</v>
      </c>
      <c r="BS32">
        <f t="shared" si="73"/>
        <v>315.077</v>
      </c>
      <c r="BT32">
        <f t="shared" si="36"/>
        <v>54.823</v>
      </c>
      <c r="BU32">
        <f t="shared" si="37"/>
        <v>67.525999999999996</v>
      </c>
      <c r="CE32">
        <f t="shared" si="38"/>
        <v>1985</v>
      </c>
      <c r="CF32">
        <f t="shared" si="39"/>
        <v>315.077</v>
      </c>
      <c r="CG32">
        <f t="shared" si="88"/>
        <v>0.14467680314598927</v>
      </c>
      <c r="CH32">
        <f t="shared" si="89"/>
        <v>0.2548593571423311</v>
      </c>
      <c r="CI32" s="148">
        <f t="shared" si="41"/>
        <v>315077</v>
      </c>
      <c r="CJ32">
        <f t="shared" si="5"/>
        <v>45.584333104828858</v>
      </c>
      <c r="CK32">
        <f t="shared" si="6"/>
        <v>80.300321670334256</v>
      </c>
      <c r="CN32">
        <f t="shared" si="74"/>
        <v>1985</v>
      </c>
      <c r="CO32">
        <f t="shared" si="75"/>
        <v>247.42700000000002</v>
      </c>
      <c r="CP32">
        <f t="shared" si="7"/>
        <v>39.467999999999996</v>
      </c>
      <c r="CQ32">
        <f t="shared" si="8"/>
        <v>195.5583</v>
      </c>
      <c r="DA32">
        <f t="shared" si="9"/>
        <v>1985</v>
      </c>
      <c r="DB32">
        <f t="shared" si="10"/>
        <v>247.42700000000002</v>
      </c>
      <c r="DC32">
        <f t="shared" si="90"/>
        <v>0.14424023790551899</v>
      </c>
      <c r="DD32">
        <f t="shared" si="91"/>
        <v>0.87913289818258933</v>
      </c>
      <c r="DE32" s="148">
        <f t="shared" si="11"/>
        <v>247427.00000000003</v>
      </c>
      <c r="DF32">
        <f t="shared" si="12"/>
        <v>35.688929344248848</v>
      </c>
      <c r="DG32">
        <f t="shared" si="13"/>
        <v>217.52121559862354</v>
      </c>
      <c r="DJ32">
        <f t="shared" si="76"/>
        <v>1985</v>
      </c>
      <c r="DK32" s="152">
        <f t="shared" si="44"/>
        <v>997.66906200000017</v>
      </c>
      <c r="DL32">
        <f t="shared" si="45"/>
        <v>121.84468272872921</v>
      </c>
      <c r="DM32">
        <f t="shared" si="46"/>
        <v>393.10924426833691</v>
      </c>
      <c r="DW32">
        <f t="shared" si="47"/>
        <v>1985</v>
      </c>
      <c r="DX32">
        <f t="shared" si="48"/>
        <v>0.12212935869181958</v>
      </c>
      <c r="DY32">
        <f t="shared" si="49"/>
        <v>0.3940276984035983</v>
      </c>
      <c r="EB32">
        <f t="shared" si="77"/>
        <v>1985</v>
      </c>
      <c r="EC32">
        <f t="shared" si="78"/>
        <v>135.88499999999999</v>
      </c>
      <c r="ED32">
        <f t="shared" si="14"/>
        <v>15.741</v>
      </c>
      <c r="EE32">
        <f t="shared" si="15"/>
        <v>145.072</v>
      </c>
      <c r="EO32">
        <f t="shared" si="16"/>
        <v>1985</v>
      </c>
      <c r="EP32">
        <f t="shared" si="17"/>
        <v>135.88499999999999</v>
      </c>
      <c r="EQ32">
        <f t="shared" si="92"/>
        <v>6.9288530396431944E-2</v>
      </c>
      <c r="ER32">
        <f t="shared" si="93"/>
        <v>1.0181818299850782</v>
      </c>
      <c r="ES32" s="148">
        <f t="shared" si="50"/>
        <v>135885</v>
      </c>
      <c r="ET32">
        <f t="shared" si="20"/>
        <v>9.415271952919154</v>
      </c>
      <c r="EU32">
        <f t="shared" si="21"/>
        <v>138.35563796752234</v>
      </c>
      <c r="EX32">
        <f t="shared" si="79"/>
        <v>1985</v>
      </c>
      <c r="EY32" s="152">
        <f t="shared" si="51"/>
        <v>0.55893999999999999</v>
      </c>
      <c r="EZ32">
        <f t="shared" si="22"/>
        <v>253.01621800965748</v>
      </c>
      <c r="FA32">
        <f t="shared" si="23"/>
        <v>79.836028072865957</v>
      </c>
      <c r="FE32">
        <f t="shared" si="52"/>
        <v>1985</v>
      </c>
      <c r="FF32" s="184">
        <f t="shared" si="53"/>
        <v>105.02425683108605</v>
      </c>
      <c r="FG32" s="184">
        <f t="shared" si="54"/>
        <v>121.84468272872921</v>
      </c>
      <c r="FH32" s="184">
        <f t="shared" si="55"/>
        <v>9.415271952919154</v>
      </c>
      <c r="FI32" s="184">
        <f t="shared" si="56"/>
        <v>415.44062617070875</v>
      </c>
      <c r="FJ32" s="184">
        <f t="shared" si="57"/>
        <v>393.10924426833691</v>
      </c>
      <c r="FK32" s="184">
        <f t="shared" si="58"/>
        <v>138.35563796752234</v>
      </c>
      <c r="FL32" s="148">
        <f t="shared" si="59"/>
        <v>249965.14404000007</v>
      </c>
      <c r="FM32" s="148">
        <f t="shared" si="60"/>
        <v>99766.906200000012</v>
      </c>
      <c r="FN32" s="148">
        <f t="shared" si="61"/>
        <v>135885</v>
      </c>
      <c r="FP32">
        <f t="shared" si="62"/>
        <v>236.2842115127344</v>
      </c>
      <c r="FQ32">
        <f t="shared" si="63"/>
        <v>946.90550840656806</v>
      </c>
      <c r="FR32" s="148">
        <f>[5]Indicators_NonMan_2018_BEA!U20</f>
        <v>389408.72480000003</v>
      </c>
      <c r="FS32" s="3">
        <f>[5]Indicators_NonMan_2018_BEA!I20</f>
        <v>183205.84677999999</v>
      </c>
      <c r="FU32" s="13">
        <f t="shared" si="64"/>
        <v>0.60677688111402683</v>
      </c>
      <c r="FV32" s="13">
        <f t="shared" si="65"/>
        <v>2.4316494420942876</v>
      </c>
      <c r="FW32" s="13"/>
      <c r="FX32" s="13">
        <f t="shared" si="66"/>
        <v>1.2212935869181959E-3</v>
      </c>
      <c r="FZ32">
        <f t="shared" si="81"/>
        <v>1985</v>
      </c>
      <c r="GA32">
        <f t="shared" si="82"/>
        <v>135885</v>
      </c>
      <c r="GB32">
        <f t="shared" si="83"/>
        <v>41445.966840000001</v>
      </c>
    </row>
    <row r="33" spans="3:184" x14ac:dyDescent="0.2">
      <c r="C33">
        <f>'BEA&amp;BLS_Output_data'!E29</f>
        <v>1986</v>
      </c>
      <c r="D33">
        <f>'BEA&amp;BLS_Output_data'!M29</f>
        <v>240427.39643999998</v>
      </c>
      <c r="E33">
        <f>'BEA&amp;BLS_Output_data'!G29</f>
        <v>39861.300000000003</v>
      </c>
      <c r="F33">
        <f>'BEA&amp;BLS_Output_data'!H29</f>
        <v>29646.3</v>
      </c>
      <c r="G33">
        <f>'BEA&amp;BLS_Output_data'!I29</f>
        <v>24554.5</v>
      </c>
      <c r="H33">
        <f>'BEA&amp;BLS_Output_data'!J29</f>
        <v>80458</v>
      </c>
      <c r="I33">
        <f>'BEA&amp;BLS_Output_data'!N29</f>
        <v>99476.436750000008</v>
      </c>
      <c r="J33">
        <f>'BEA&amp;BLS_Output_data'!O29</f>
        <v>25725.819909999998</v>
      </c>
      <c r="L33">
        <f>NEA_Data!B63</f>
        <v>1974</v>
      </c>
      <c r="M33">
        <f>NEA_Data!C63</f>
        <v>54.448</v>
      </c>
      <c r="N33">
        <f>NEA_Data!D63</f>
        <v>29.499000000000002</v>
      </c>
      <c r="O33">
        <f>NEA_Data!E63</f>
        <v>43.447999999999993</v>
      </c>
      <c r="P33">
        <f>NEA_Data!F63</f>
        <v>31.552999999999997</v>
      </c>
      <c r="Q33">
        <f>NEA_Data!G63</f>
        <v>1.8779999999999999</v>
      </c>
      <c r="S33">
        <f>NEA_Data!I63</f>
        <v>247.06899999999996</v>
      </c>
      <c r="T33">
        <f>NEA_Data!J63</f>
        <v>55.160000000000004</v>
      </c>
      <c r="U33">
        <f>NEA_Data!K63</f>
        <v>143.398</v>
      </c>
      <c r="V33">
        <f>NEA_Data!L63</f>
        <v>275.73599999999999</v>
      </c>
      <c r="W33">
        <f>NEA_Data!M63</f>
        <v>85.676000000000002</v>
      </c>
      <c r="Z33">
        <f t="shared" si="69"/>
        <v>1986</v>
      </c>
      <c r="AA33" s="206">
        <f t="shared" si="0"/>
        <v>24.042739644000001</v>
      </c>
      <c r="AM33">
        <f t="shared" si="26"/>
        <v>1986</v>
      </c>
      <c r="AN33">
        <f t="shared" si="27"/>
        <v>24.042739644000001</v>
      </c>
      <c r="AO33">
        <f t="shared" si="84"/>
        <v>4.2492505791153334</v>
      </c>
      <c r="AP33">
        <f t="shared" si="85"/>
        <v>16.874935045874135</v>
      </c>
      <c r="AQ33" s="3">
        <f t="shared" si="29"/>
        <v>240427.39644000001</v>
      </c>
      <c r="AR33">
        <f t="shared" si="1"/>
        <v>102.16362535578619</v>
      </c>
      <c r="AS33">
        <f t="shared" si="2"/>
        <v>405.71966981736307</v>
      </c>
      <c r="AV33">
        <f t="shared" si="70"/>
        <v>1986</v>
      </c>
      <c r="AW33">
        <f t="shared" si="71"/>
        <v>39.861300000000007</v>
      </c>
      <c r="BI33">
        <f t="shared" si="32"/>
        <v>1986</v>
      </c>
      <c r="BJ33">
        <f t="shared" si="33"/>
        <v>39.861300000000007</v>
      </c>
      <c r="BK33">
        <f t="shared" si="86"/>
        <v>1.0060535257418408</v>
      </c>
      <c r="BL33">
        <f t="shared" si="87"/>
        <v>2.3705849725543908</v>
      </c>
      <c r="BM33" s="148">
        <f t="shared" si="35"/>
        <v>39861.30000000001</v>
      </c>
      <c r="BN33">
        <f t="shared" si="3"/>
        <v>40.102601405653246</v>
      </c>
      <c r="BO33">
        <f t="shared" si="4"/>
        <v>94.494598766482355</v>
      </c>
      <c r="BR33">
        <f t="shared" si="72"/>
        <v>1986</v>
      </c>
      <c r="BS33">
        <f t="shared" si="73"/>
        <v>296.46300000000002</v>
      </c>
      <c r="CE33">
        <f t="shared" si="38"/>
        <v>1986</v>
      </c>
      <c r="CF33">
        <f t="shared" si="39"/>
        <v>296.46300000000002</v>
      </c>
      <c r="CG33">
        <f t="shared" si="88"/>
        <v>0.1479599968654573</v>
      </c>
      <c r="CH33">
        <f t="shared" si="89"/>
        <v>0.24429633638674089</v>
      </c>
      <c r="CI33" s="148">
        <f t="shared" si="41"/>
        <v>296463</v>
      </c>
      <c r="CJ33">
        <f t="shared" si="5"/>
        <v>43.864664550724072</v>
      </c>
      <c r="CK33">
        <f t="shared" si="6"/>
        <v>72.424824774222373</v>
      </c>
      <c r="CN33">
        <f t="shared" si="74"/>
        <v>1986</v>
      </c>
      <c r="CO33">
        <f t="shared" si="75"/>
        <v>245.54500000000002</v>
      </c>
      <c r="DA33">
        <f t="shared" si="9"/>
        <v>1986</v>
      </c>
      <c r="DB33">
        <f t="shared" si="10"/>
        <v>245.54500000000002</v>
      </c>
      <c r="DC33">
        <f t="shared" si="90"/>
        <v>0.14623874891094832</v>
      </c>
      <c r="DD33">
        <f t="shared" si="91"/>
        <v>0.87146997621798672</v>
      </c>
      <c r="DE33" s="148">
        <f t="shared" si="11"/>
        <v>245545.00000000003</v>
      </c>
      <c r="DF33">
        <f t="shared" si="12"/>
        <v>35.908193601338809</v>
      </c>
      <c r="DG33">
        <f t="shared" si="13"/>
        <v>213.98509531044556</v>
      </c>
      <c r="DJ33">
        <f t="shared" si="76"/>
        <v>1986</v>
      </c>
      <c r="DK33" s="152">
        <f t="shared" si="44"/>
        <v>994.76436750000005</v>
      </c>
      <c r="DL33">
        <f t="shared" si="45"/>
        <v>119.87545955771613</v>
      </c>
      <c r="DM33">
        <f t="shared" si="46"/>
        <v>380.90451885115027</v>
      </c>
      <c r="DW33">
        <f t="shared" si="47"/>
        <v>1986</v>
      </c>
      <c r="DX33">
        <f t="shared" si="48"/>
        <v>0.12050638671244537</v>
      </c>
      <c r="DY33">
        <f t="shared" si="49"/>
        <v>0.3829092911806074</v>
      </c>
      <c r="EB33">
        <f t="shared" si="77"/>
        <v>1986</v>
      </c>
      <c r="EC33">
        <f t="shared" si="78"/>
        <v>80.457999999999998</v>
      </c>
      <c r="EO33">
        <f t="shared" si="16"/>
        <v>1986</v>
      </c>
      <c r="EP33">
        <f t="shared" si="17"/>
        <v>80.457999999999998</v>
      </c>
      <c r="EQ33">
        <f t="shared" si="92"/>
        <v>6.7949596695985937E-2</v>
      </c>
      <c r="ER33">
        <f t="shared" si="93"/>
        <v>0.98557955873321301</v>
      </c>
      <c r="ES33" s="148">
        <f t="shared" si="50"/>
        <v>80458</v>
      </c>
      <c r="ET33">
        <f t="shared" si="20"/>
        <v>5.4670886509656365</v>
      </c>
      <c r="EU33">
        <f t="shared" si="21"/>
        <v>79.297760136556846</v>
      </c>
      <c r="EX33">
        <f t="shared" si="79"/>
        <v>1986</v>
      </c>
      <c r="EY33" s="152">
        <f t="shared" si="51"/>
        <v>0</v>
      </c>
      <c r="EZ33">
        <f t="shared" si="22"/>
        <v>250.91184213703676</v>
      </c>
      <c r="FA33">
        <f t="shared" si="23"/>
        <v>75.586782774867444</v>
      </c>
      <c r="FE33">
        <f t="shared" si="52"/>
        <v>1986</v>
      </c>
      <c r="FF33" s="184">
        <f t="shared" si="53"/>
        <v>102.16362535578619</v>
      </c>
      <c r="FG33" s="184">
        <f t="shared" si="54"/>
        <v>119.87545955771613</v>
      </c>
      <c r="FH33" s="184">
        <f t="shared" si="55"/>
        <v>5.4670886509656365</v>
      </c>
      <c r="FI33" s="184">
        <f t="shared" si="56"/>
        <v>405.71966981736307</v>
      </c>
      <c r="FJ33" s="184">
        <f t="shared" si="57"/>
        <v>380.90451885115027</v>
      </c>
      <c r="FK33" s="184">
        <f t="shared" si="58"/>
        <v>79.297760136556846</v>
      </c>
      <c r="FL33" s="148">
        <f t="shared" si="59"/>
        <v>240427.39644000001</v>
      </c>
      <c r="FM33" s="148">
        <f t="shared" si="60"/>
        <v>99476.436750000008</v>
      </c>
      <c r="FN33" s="148">
        <f t="shared" si="61"/>
        <v>80458</v>
      </c>
      <c r="FP33">
        <f t="shared" si="62"/>
        <v>227.50617356446799</v>
      </c>
      <c r="FQ33">
        <f t="shared" si="63"/>
        <v>865.9219488050702</v>
      </c>
      <c r="FR33" s="148">
        <f>[5]Indicators_NonMan_2018_BEA!U21</f>
        <v>354765.32581000001</v>
      </c>
      <c r="FS33" s="3">
        <f>[5]Indicators_NonMan_2018_BEA!I21</f>
        <v>205404.67903999999</v>
      </c>
      <c r="FU33" s="13">
        <f t="shared" si="64"/>
        <v>0.64128638571152918</v>
      </c>
      <c r="FV33" s="13">
        <f t="shared" si="65"/>
        <v>2.4408302779534545</v>
      </c>
      <c r="FW33" s="13"/>
      <c r="FX33" s="13">
        <f t="shared" si="66"/>
        <v>1.2050638671244535E-3</v>
      </c>
      <c r="FZ33">
        <f t="shared" si="81"/>
        <v>1986</v>
      </c>
      <c r="GA33">
        <f t="shared" si="82"/>
        <v>80458</v>
      </c>
      <c r="GB33">
        <f t="shared" si="83"/>
        <v>25725.819909999998</v>
      </c>
    </row>
    <row r="34" spans="3:184" x14ac:dyDescent="0.2">
      <c r="C34">
        <f>'BEA&amp;BLS_Output_data'!E30</f>
        <v>1987</v>
      </c>
      <c r="D34">
        <f>'BEA&amp;BLS_Output_data'!M30</f>
        <v>246422.03400000001</v>
      </c>
      <c r="E34">
        <f>'BEA&amp;BLS_Output_data'!G30</f>
        <v>39160.9</v>
      </c>
      <c r="F34">
        <f>'BEA&amp;BLS_Output_data'!H30</f>
        <v>27296.400000000001</v>
      </c>
      <c r="G34">
        <f>'BEA&amp;BLS_Output_data'!I30</f>
        <v>25125.5</v>
      </c>
      <c r="H34">
        <f>'BEA&amp;BLS_Output_data'!J30</f>
        <v>78761.2</v>
      </c>
      <c r="I34">
        <f>'BEA&amp;BLS_Output_data'!N30</f>
        <v>99321.852150000021</v>
      </c>
      <c r="J34">
        <f>'BEA&amp;BLS_Output_data'!O30</f>
        <v>24237.164870000004</v>
      </c>
      <c r="L34">
        <f>NEA_Data!B64</f>
        <v>1975</v>
      </c>
      <c r="M34">
        <f>NEA_Data!C64</f>
        <v>56.736000000000004</v>
      </c>
      <c r="N34">
        <f>NEA_Data!D64</f>
        <v>32.14</v>
      </c>
      <c r="O34">
        <f>NEA_Data!E64</f>
        <v>41.510000000000005</v>
      </c>
      <c r="P34">
        <f>NEA_Data!F64</f>
        <v>29.200000000000003</v>
      </c>
      <c r="Q34">
        <f>NEA_Data!G64</f>
        <v>2.3319999999999999</v>
      </c>
      <c r="S34">
        <f>NEA_Data!I64</f>
        <v>259.13099999999997</v>
      </c>
      <c r="T34">
        <f>NEA_Data!J64</f>
        <v>64.762999999999991</v>
      </c>
      <c r="U34">
        <f>NEA_Data!K64</f>
        <v>130.89500000000001</v>
      </c>
      <c r="V34">
        <f>NEA_Data!L64</f>
        <v>251.36599999999999</v>
      </c>
      <c r="W34">
        <f>NEA_Data!M64</f>
        <v>91.721999999999994</v>
      </c>
      <c r="Z34">
        <f t="shared" si="69"/>
        <v>1987</v>
      </c>
      <c r="AA34" s="206">
        <f t="shared" si="0"/>
        <v>24.642203400000003</v>
      </c>
      <c r="AC34">
        <f>O5</f>
        <v>422.11916578335422</v>
      </c>
      <c r="AM34">
        <f t="shared" si="26"/>
        <v>1987</v>
      </c>
      <c r="AN34">
        <f t="shared" si="27"/>
        <v>24.642203400000003</v>
      </c>
      <c r="AO34">
        <f>AO33+AO$68</f>
        <v>4.2969450879059261</v>
      </c>
      <c r="AP34" s="151">
        <f>AC34/AA34</f>
        <v>17.12992782874904</v>
      </c>
      <c r="AQ34" s="3">
        <f t="shared" si="29"/>
        <v>246422.03400000004</v>
      </c>
      <c r="AR34">
        <f t="shared" si="1"/>
        <v>105.88619485480872</v>
      </c>
      <c r="AS34">
        <f t="shared" si="2"/>
        <v>422.11916578335428</v>
      </c>
      <c r="AV34">
        <f t="shared" si="70"/>
        <v>1987</v>
      </c>
      <c r="AW34">
        <f t="shared" si="71"/>
        <v>39.160900000000005</v>
      </c>
      <c r="AY34">
        <f>P5</f>
        <v>91.875300141611234</v>
      </c>
      <c r="BI34">
        <f t="shared" si="32"/>
        <v>1987</v>
      </c>
      <c r="BJ34">
        <f t="shared" si="33"/>
        <v>39.160900000000005</v>
      </c>
      <c r="BK34">
        <f>BK33+BK$68</f>
        <v>0.99233773499296529</v>
      </c>
      <c r="BL34" s="151">
        <f>AY34/AW34</f>
        <v>2.3460977694999663</v>
      </c>
      <c r="BM34" s="148">
        <f t="shared" si="35"/>
        <v>39160.900000000009</v>
      </c>
      <c r="BN34">
        <f t="shared" si="3"/>
        <v>38.860838806286019</v>
      </c>
      <c r="BO34">
        <f t="shared" si="4"/>
        <v>91.875300141611248</v>
      </c>
      <c r="BR34">
        <f t="shared" si="72"/>
        <v>1987</v>
      </c>
      <c r="BS34">
        <f t="shared" si="73"/>
        <v>272.964</v>
      </c>
      <c r="BU34">
        <f>Q5</f>
        <v>63.800780767941376</v>
      </c>
      <c r="CE34">
        <f t="shared" si="38"/>
        <v>1987</v>
      </c>
      <c r="CF34">
        <f t="shared" si="39"/>
        <v>272.964</v>
      </c>
      <c r="CG34">
        <f>CG33+CG$68</f>
        <v>0.15124319058492533</v>
      </c>
      <c r="CH34" s="151">
        <f>BU34/BS34</f>
        <v>0.23373331563115055</v>
      </c>
      <c r="CI34" s="148">
        <f t="shared" si="41"/>
        <v>272964</v>
      </c>
      <c r="CJ34">
        <f t="shared" si="5"/>
        <v>41.283946274823556</v>
      </c>
      <c r="CK34">
        <f t="shared" si="6"/>
        <v>63.800780767941376</v>
      </c>
      <c r="CN34">
        <f t="shared" si="74"/>
        <v>1987</v>
      </c>
      <c r="CO34">
        <f t="shared" si="75"/>
        <v>251.255</v>
      </c>
      <c r="CQ34">
        <f>R5</f>
        <v>207.40910412535271</v>
      </c>
      <c r="DA34">
        <f t="shared" si="9"/>
        <v>1987</v>
      </c>
      <c r="DB34">
        <f t="shared" si="10"/>
        <v>251.255</v>
      </c>
      <c r="DC34">
        <f>DC33+DC$67</f>
        <v>0.14823725991637765</v>
      </c>
      <c r="DD34" s="151">
        <f>CQ34/CO34</f>
        <v>0.8254924444303704</v>
      </c>
      <c r="DE34" s="148">
        <f t="shared" si="11"/>
        <v>251255</v>
      </c>
      <c r="DF34">
        <f t="shared" si="12"/>
        <v>37.245352740289469</v>
      </c>
      <c r="DG34">
        <f t="shared" si="13"/>
        <v>207.40910412535271</v>
      </c>
      <c r="DJ34">
        <f t="shared" si="76"/>
        <v>1987</v>
      </c>
      <c r="DK34" s="152">
        <f t="shared" si="44"/>
        <v>993.21852150000018</v>
      </c>
      <c r="DL34">
        <f t="shared" si="45"/>
        <v>117.39013782139904</v>
      </c>
      <c r="DM34">
        <f t="shared" si="46"/>
        <v>363.08518503490535</v>
      </c>
      <c r="DW34">
        <f t="shared" si="47"/>
        <v>1987</v>
      </c>
      <c r="DX34">
        <f t="shared" si="48"/>
        <v>0.11819165196810016</v>
      </c>
      <c r="DY34">
        <f t="shared" si="49"/>
        <v>0.36556425114440971</v>
      </c>
      <c r="EB34">
        <f t="shared" si="77"/>
        <v>1987</v>
      </c>
      <c r="EC34">
        <f t="shared" si="78"/>
        <v>78.761200000000002</v>
      </c>
      <c r="EE34">
        <f>SUM(T5:X5)</f>
        <v>75.057634734775888</v>
      </c>
      <c r="EO34">
        <f t="shared" si="16"/>
        <v>1987</v>
      </c>
      <c r="EP34">
        <f t="shared" si="17"/>
        <v>78.761200000000002</v>
      </c>
      <c r="EQ34">
        <f>EQ33+EQ$67</f>
        <v>6.6610662995539929E-2</v>
      </c>
      <c r="ER34" s="151">
        <f>EE34/EC34</f>
        <v>0.95297728748134725</v>
      </c>
      <c r="ES34" s="148">
        <f t="shared" si="50"/>
        <v>78761.2</v>
      </c>
      <c r="ET34">
        <f t="shared" si="20"/>
        <v>5.2463357503243193</v>
      </c>
      <c r="EU34">
        <f t="shared" si="21"/>
        <v>75.057634734775888</v>
      </c>
      <c r="EX34">
        <f t="shared" si="79"/>
        <v>1987</v>
      </c>
      <c r="EY34" s="152">
        <f t="shared" si="51"/>
        <v>0</v>
      </c>
      <c r="EZ34">
        <f t="shared" si="22"/>
        <v>257.01057384055383</v>
      </c>
      <c r="FA34">
        <f t="shared" si="23"/>
        <v>85.727534909901493</v>
      </c>
      <c r="FE34">
        <f t="shared" si="52"/>
        <v>1987</v>
      </c>
      <c r="FF34" s="184">
        <f t="shared" si="53"/>
        <v>105.88619485480872</v>
      </c>
      <c r="FG34" s="184">
        <f t="shared" si="54"/>
        <v>117.39013782139904</v>
      </c>
      <c r="FH34" s="184">
        <f t="shared" si="55"/>
        <v>5.2463357503243193</v>
      </c>
      <c r="FI34" s="184">
        <f t="shared" si="56"/>
        <v>422.11916578335428</v>
      </c>
      <c r="FJ34" s="184">
        <f t="shared" si="57"/>
        <v>363.08518503490535</v>
      </c>
      <c r="FK34" s="184">
        <f t="shared" si="58"/>
        <v>75.057634734775888</v>
      </c>
      <c r="FL34" s="148">
        <f t="shared" si="59"/>
        <v>246422.03400000004</v>
      </c>
      <c r="FM34" s="148">
        <f t="shared" si="60"/>
        <v>99321.852150000021</v>
      </c>
      <c r="FN34" s="148">
        <f t="shared" si="61"/>
        <v>78761.2</v>
      </c>
      <c r="FP34">
        <f t="shared" si="62"/>
        <v>228.52266842653205</v>
      </c>
      <c r="FQ34">
        <f t="shared" si="63"/>
        <v>860.26198555303552</v>
      </c>
      <c r="FR34" s="148">
        <f>[5]Indicators_NonMan_2018_BEA!U22</f>
        <v>356843.56192000001</v>
      </c>
      <c r="FS34" s="3">
        <f>[5]Indicators_NonMan_2018_BEA!I22</f>
        <v>208928.0754</v>
      </c>
      <c r="FU34" s="13">
        <f t="shared" si="64"/>
        <v>0.64040014396494582</v>
      </c>
      <c r="FV34" s="13">
        <f t="shared" si="65"/>
        <v>2.4107538354465134</v>
      </c>
      <c r="FW34" s="13"/>
      <c r="FX34" s="13">
        <f t="shared" si="66"/>
        <v>1.1819165196810017E-3</v>
      </c>
      <c r="FZ34">
        <f t="shared" si="81"/>
        <v>1987</v>
      </c>
      <c r="GA34">
        <f t="shared" si="82"/>
        <v>78761.2</v>
      </c>
      <c r="GB34">
        <f t="shared" si="83"/>
        <v>24237.164870000004</v>
      </c>
    </row>
    <row r="35" spans="3:184" x14ac:dyDescent="0.2">
      <c r="C35">
        <f>'BEA&amp;BLS_Output_data'!E31</f>
        <v>1988</v>
      </c>
      <c r="D35">
        <f>'BEA&amp;BLS_Output_data'!M31</f>
        <v>249907.11971999999</v>
      </c>
      <c r="E35">
        <f>'BEA&amp;BLS_Output_data'!G31</f>
        <v>42907.9</v>
      </c>
      <c r="F35">
        <f>'BEA&amp;BLS_Output_data'!H31</f>
        <v>29600.6</v>
      </c>
      <c r="G35">
        <f>'BEA&amp;BLS_Output_data'!I31</f>
        <v>27864.5</v>
      </c>
      <c r="H35">
        <f>'BEA&amp;BLS_Output_data'!J31</f>
        <v>86367.9</v>
      </c>
      <c r="I35">
        <f>'BEA&amp;BLS_Output_data'!N31</f>
        <v>110370.91110000001</v>
      </c>
      <c r="J35">
        <f>'BEA&amp;BLS_Output_data'!O31</f>
        <v>27318.831680000003</v>
      </c>
      <c r="L35">
        <f>NEA_Data!B65</f>
        <v>1976</v>
      </c>
      <c r="M35">
        <f>NEA_Data!C65</f>
        <v>60.347000000000008</v>
      </c>
      <c r="N35">
        <f>NEA_Data!D65</f>
        <v>34.182000000000002</v>
      </c>
      <c r="O35">
        <f>NEA_Data!E65</f>
        <v>46.353999999999999</v>
      </c>
      <c r="P35">
        <f>NEA_Data!F65</f>
        <v>31.448999999999998</v>
      </c>
      <c r="Q35">
        <f>NEA_Data!G65</f>
        <v>2.6360000000000001</v>
      </c>
      <c r="S35">
        <f>NEA_Data!I65</f>
        <v>280.56900000000002</v>
      </c>
      <c r="T35">
        <f>NEA_Data!J65</f>
        <v>73.566999999999993</v>
      </c>
      <c r="U35">
        <f>NEA_Data!K65</f>
        <v>139.40700000000001</v>
      </c>
      <c r="V35">
        <f>NEA_Data!L65</f>
        <v>261.96100000000001</v>
      </c>
      <c r="W35">
        <f>NEA_Data!M65</f>
        <v>88.751999999999995</v>
      </c>
      <c r="Z35">
        <f t="shared" si="69"/>
        <v>1988</v>
      </c>
      <c r="AA35" s="206">
        <f t="shared" si="0"/>
        <v>24.990711972</v>
      </c>
      <c r="AM35">
        <f t="shared" si="26"/>
        <v>1988</v>
      </c>
      <c r="AN35">
        <f t="shared" si="27"/>
        <v>24.990711972</v>
      </c>
      <c r="AO35">
        <f>AO34+AO$68</f>
        <v>4.3446395966965188</v>
      </c>
      <c r="AP35">
        <f>0.8*AP34+0.2*AP39</f>
        <v>16.7813596456966</v>
      </c>
      <c r="AQ35" s="3">
        <f t="shared" si="29"/>
        <v>249907.11971999999</v>
      </c>
      <c r="AR35">
        <f t="shared" si="1"/>
        <v>108.57563678318894</v>
      </c>
      <c r="AS35">
        <f t="shared" si="2"/>
        <v>419.37812540414768</v>
      </c>
      <c r="AV35">
        <f t="shared" si="70"/>
        <v>1988</v>
      </c>
      <c r="AW35">
        <f t="shared" si="71"/>
        <v>42.907900000000005</v>
      </c>
      <c r="BI35">
        <f t="shared" si="32"/>
        <v>1988</v>
      </c>
      <c r="BJ35">
        <f t="shared" si="33"/>
        <v>42.907900000000005</v>
      </c>
      <c r="BK35">
        <f>BK34+BK$68</f>
        <v>0.97862194424408977</v>
      </c>
      <c r="BL35">
        <f>0.8*BL34+0.2*BL39</f>
        <v>2.279850109015511</v>
      </c>
      <c r="BM35" s="148">
        <f t="shared" si="35"/>
        <v>42907.9</v>
      </c>
      <c r="BN35">
        <f t="shared" si="3"/>
        <v>41.990612521430982</v>
      </c>
      <c r="BO35">
        <f t="shared" si="4"/>
        <v>97.823580492626661</v>
      </c>
      <c r="BR35">
        <f t="shared" si="72"/>
        <v>1988</v>
      </c>
      <c r="BS35">
        <f t="shared" si="73"/>
        <v>296.00599999999997</v>
      </c>
      <c r="CE35">
        <f t="shared" si="38"/>
        <v>1988</v>
      </c>
      <c r="CF35">
        <f t="shared" si="39"/>
        <v>296.00599999999997</v>
      </c>
      <c r="CG35">
        <f>CG34+CG$68</f>
        <v>0.15452638430439336</v>
      </c>
      <c r="CH35">
        <f>0.8*CH34+0.2*CH39</f>
        <v>0.22916809600493579</v>
      </c>
      <c r="CI35" s="148">
        <f t="shared" si="41"/>
        <v>296006</v>
      </c>
      <c r="CJ35">
        <f t="shared" si="5"/>
        <v>45.740736912406255</v>
      </c>
      <c r="CK35">
        <f t="shared" si="6"/>
        <v>67.835131426037023</v>
      </c>
      <c r="CN35">
        <f t="shared" si="74"/>
        <v>1988</v>
      </c>
      <c r="CO35">
        <f t="shared" si="75"/>
        <v>278.64499999999998</v>
      </c>
      <c r="DA35">
        <f t="shared" si="9"/>
        <v>1988</v>
      </c>
      <c r="DB35">
        <f t="shared" si="10"/>
        <v>278.64499999999998</v>
      </c>
      <c r="DC35">
        <f>DC34+DC$67</f>
        <v>0.15023577092180698</v>
      </c>
      <c r="DD35">
        <f>0.8*DD34+0.2*DD39</f>
        <v>0.8014119890938729</v>
      </c>
      <c r="DE35" s="148">
        <f t="shared" si="11"/>
        <v>278645</v>
      </c>
      <c r="DF35">
        <f t="shared" si="12"/>
        <v>41.862446388506903</v>
      </c>
      <c r="DG35">
        <f t="shared" si="13"/>
        <v>223.30944370106221</v>
      </c>
      <c r="DJ35">
        <f t="shared" si="76"/>
        <v>1988</v>
      </c>
      <c r="DK35" s="152">
        <f t="shared" si="44"/>
        <v>1103.7091110000001</v>
      </c>
      <c r="DL35">
        <f t="shared" si="45"/>
        <v>129.59379582234413</v>
      </c>
      <c r="DM35">
        <f t="shared" si="46"/>
        <v>388.96815561972591</v>
      </c>
      <c r="DW35">
        <f t="shared" si="47"/>
        <v>1988</v>
      </c>
      <c r="DX35">
        <f t="shared" si="48"/>
        <v>0.11741662230633169</v>
      </c>
      <c r="DY35">
        <f t="shared" si="49"/>
        <v>0.35241908555715989</v>
      </c>
      <c r="EB35">
        <f t="shared" si="77"/>
        <v>1988</v>
      </c>
      <c r="EC35">
        <f t="shared" si="78"/>
        <v>86.367899999999992</v>
      </c>
      <c r="EO35">
        <f t="shared" si="16"/>
        <v>1988</v>
      </c>
      <c r="EP35">
        <f t="shared" si="17"/>
        <v>86.367899999999992</v>
      </c>
      <c r="EQ35">
        <f>EQ34+EQ$67</f>
        <v>6.5271729295093922E-2</v>
      </c>
      <c r="ER35">
        <f>0.8*ER34+0.2*ER39</f>
        <v>0.98663662539949115</v>
      </c>
      <c r="ES35" s="148">
        <f t="shared" si="50"/>
        <v>86367.9</v>
      </c>
      <c r="ET35">
        <f t="shared" si="20"/>
        <v>5.6373821885857422</v>
      </c>
      <c r="EU35">
        <f t="shared" si="21"/>
        <v>85.213733398840702</v>
      </c>
      <c r="EX35">
        <f t="shared" si="79"/>
        <v>1988</v>
      </c>
      <c r="EY35" s="152">
        <f t="shared" si="51"/>
        <v>0</v>
      </c>
      <c r="EZ35">
        <f t="shared" si="22"/>
        <v>283.75022956981616</v>
      </c>
      <c r="FA35">
        <f t="shared" si="23"/>
        <v>80.10257487864925</v>
      </c>
      <c r="FE35">
        <f t="shared" si="52"/>
        <v>1988</v>
      </c>
      <c r="FF35" s="184">
        <f t="shared" si="53"/>
        <v>108.57563678318894</v>
      </c>
      <c r="FG35" s="184">
        <f t="shared" si="54"/>
        <v>129.59379582234413</v>
      </c>
      <c r="FH35" s="184">
        <f t="shared" si="55"/>
        <v>5.6373821885857422</v>
      </c>
      <c r="FI35" s="184">
        <f t="shared" si="56"/>
        <v>419.37812540414768</v>
      </c>
      <c r="FJ35" s="184">
        <f t="shared" si="57"/>
        <v>388.96815561972591</v>
      </c>
      <c r="FK35" s="184">
        <f t="shared" si="58"/>
        <v>85.213733398840702</v>
      </c>
      <c r="FL35" s="148">
        <f t="shared" si="59"/>
        <v>249907.11971999999</v>
      </c>
      <c r="FM35" s="148">
        <f t="shared" si="60"/>
        <v>110370.91110000001</v>
      </c>
      <c r="FN35" s="148">
        <f t="shared" si="61"/>
        <v>86367.9</v>
      </c>
      <c r="FP35">
        <f t="shared" si="62"/>
        <v>243.80681479411882</v>
      </c>
      <c r="FQ35">
        <f t="shared" si="63"/>
        <v>893.5600144227144</v>
      </c>
      <c r="FR35" s="148">
        <f>[5]Indicators_NonMan_2018_BEA!U23</f>
        <v>378202.18907999998</v>
      </c>
      <c r="FS35" s="3">
        <f>[5]Indicators_NonMan_2018_BEA!I23</f>
        <v>235758.98984000002</v>
      </c>
      <c r="FU35" s="13">
        <f t="shared" si="64"/>
        <v>0.64464675729982912</v>
      </c>
      <c r="FV35" s="13">
        <f t="shared" si="65"/>
        <v>2.3626516192208036</v>
      </c>
      <c r="FW35" s="13"/>
      <c r="FX35" s="13">
        <f t="shared" si="66"/>
        <v>1.1741662230633169E-3</v>
      </c>
      <c r="FZ35">
        <f t="shared" si="81"/>
        <v>1988</v>
      </c>
      <c r="GA35">
        <f t="shared" si="82"/>
        <v>86367.9</v>
      </c>
      <c r="GB35">
        <f t="shared" si="83"/>
        <v>27318.831680000003</v>
      </c>
    </row>
    <row r="36" spans="3:184" x14ac:dyDescent="0.2">
      <c r="C36">
        <f>'BEA&amp;BLS_Output_data'!E32</f>
        <v>1989</v>
      </c>
      <c r="D36">
        <f>'BEA&amp;BLS_Output_data'!M32</f>
        <v>238672.16076000003</v>
      </c>
      <c r="E36">
        <f>'BEA&amp;BLS_Output_data'!G32</f>
        <v>43378.3</v>
      </c>
      <c r="F36">
        <f>'BEA&amp;BLS_Output_data'!H32</f>
        <v>33669.1</v>
      </c>
      <c r="G36">
        <f>'BEA&amp;BLS_Output_data'!I32</f>
        <v>26706.799999999999</v>
      </c>
      <c r="H36">
        <f>'BEA&amp;BLS_Output_data'!J32</f>
        <v>78016.5</v>
      </c>
      <c r="I36">
        <f>'BEA&amp;BLS_Output_data'!N32</f>
        <v>111694.85340000001</v>
      </c>
      <c r="J36">
        <f>'BEA&amp;BLS_Output_data'!O32</f>
        <v>24648.305239999998</v>
      </c>
      <c r="L36">
        <f>NEA_Data!B66</f>
        <v>1977</v>
      </c>
      <c r="M36">
        <f>NEA_Data!C66</f>
        <v>65.620999999999995</v>
      </c>
      <c r="N36">
        <f>NEA_Data!D66</f>
        <v>35.265000000000001</v>
      </c>
      <c r="O36">
        <f>NEA_Data!E66</f>
        <v>42.611000000000004</v>
      </c>
      <c r="P36">
        <f>NEA_Data!F66</f>
        <v>33.989000000000004</v>
      </c>
      <c r="Q36">
        <f>NEA_Data!G66</f>
        <v>3.2090000000000001</v>
      </c>
      <c r="S36">
        <f>NEA_Data!I66</f>
        <v>307.55500000000001</v>
      </c>
      <c r="T36">
        <f>NEA_Data!J66</f>
        <v>80.894999999999996</v>
      </c>
      <c r="U36">
        <f>NEA_Data!K66</f>
        <v>122.12199999999999</v>
      </c>
      <c r="V36">
        <f>NEA_Data!L66</f>
        <v>276.92399999999998</v>
      </c>
      <c r="W36">
        <f>NEA_Data!M66</f>
        <v>91.686000000000007</v>
      </c>
      <c r="Z36">
        <f t="shared" si="69"/>
        <v>1989</v>
      </c>
      <c r="AA36" s="206">
        <f t="shared" si="0"/>
        <v>23.867216076000005</v>
      </c>
      <c r="AM36">
        <f t="shared" si="26"/>
        <v>1989</v>
      </c>
      <c r="AN36">
        <f t="shared" si="27"/>
        <v>23.867216076000005</v>
      </c>
      <c r="AO36">
        <f>AO35+AO$68</f>
        <v>4.3923341054871115</v>
      </c>
      <c r="AP36">
        <f>0.6*AP34+0.4*AP39</f>
        <v>16.432791462644158</v>
      </c>
      <c r="AQ36" s="3">
        <f t="shared" si="29"/>
        <v>238672.16076000006</v>
      </c>
      <c r="AR36">
        <f t="shared" si="1"/>
        <v>104.83278717364509</v>
      </c>
      <c r="AS36">
        <f t="shared" si="2"/>
        <v>392.20498457077628</v>
      </c>
      <c r="AV36">
        <f t="shared" si="70"/>
        <v>1989</v>
      </c>
      <c r="AW36">
        <f t="shared" si="71"/>
        <v>43.378300000000003</v>
      </c>
      <c r="BI36">
        <f t="shared" si="32"/>
        <v>1989</v>
      </c>
      <c r="BJ36">
        <f t="shared" si="33"/>
        <v>43.378300000000003</v>
      </c>
      <c r="BK36">
        <f>BK35+BK$68</f>
        <v>0.96490615349521425</v>
      </c>
      <c r="BL36">
        <f>0.6*BL34+0.4*BL39</f>
        <v>2.2136024485310557</v>
      </c>
      <c r="BM36" s="148">
        <f t="shared" si="35"/>
        <v>43378.3</v>
      </c>
      <c r="BN36">
        <f t="shared" si="3"/>
        <v>41.855988598161453</v>
      </c>
      <c r="BO36">
        <f t="shared" si="4"/>
        <v>96.022311093114695</v>
      </c>
      <c r="BR36">
        <f t="shared" si="72"/>
        <v>1989</v>
      </c>
      <c r="BS36">
        <f t="shared" si="73"/>
        <v>336.69099999999997</v>
      </c>
      <c r="CE36">
        <f t="shared" si="38"/>
        <v>1989</v>
      </c>
      <c r="CF36">
        <f t="shared" si="39"/>
        <v>336.69099999999997</v>
      </c>
      <c r="CG36">
        <f>CG35+CG$68</f>
        <v>0.15780957802386139</v>
      </c>
      <c r="CH36">
        <f>0.6*CH34+0.4*CH39</f>
        <v>0.22460287637872101</v>
      </c>
      <c r="CI36" s="148">
        <f t="shared" si="41"/>
        <v>336691</v>
      </c>
      <c r="CJ36">
        <f t="shared" si="5"/>
        <v>53.133064634431911</v>
      </c>
      <c r="CK36">
        <f t="shared" si="6"/>
        <v>75.621767050827955</v>
      </c>
      <c r="CN36">
        <f t="shared" si="74"/>
        <v>1989</v>
      </c>
      <c r="CO36">
        <f t="shared" si="75"/>
        <v>267.06799999999998</v>
      </c>
      <c r="DA36">
        <f t="shared" si="9"/>
        <v>1989</v>
      </c>
      <c r="DB36">
        <f t="shared" si="10"/>
        <v>267.06799999999998</v>
      </c>
      <c r="DC36">
        <f>DC35+DC$67</f>
        <v>0.15223428192723631</v>
      </c>
      <c r="DD36">
        <f>0.6*DD34+0.4*DD39</f>
        <v>0.77733153375737518</v>
      </c>
      <c r="DE36" s="148">
        <f t="shared" si="11"/>
        <v>267068</v>
      </c>
      <c r="DF36">
        <f t="shared" si="12"/>
        <v>40.656905205743143</v>
      </c>
      <c r="DG36">
        <f t="shared" si="13"/>
        <v>207.60037805751466</v>
      </c>
      <c r="DJ36">
        <f t="shared" si="76"/>
        <v>1989</v>
      </c>
      <c r="DK36" s="152">
        <f t="shared" si="44"/>
        <v>1116.9485340000001</v>
      </c>
      <c r="DL36">
        <f t="shared" si="45"/>
        <v>135.64595843833649</v>
      </c>
      <c r="DM36">
        <f t="shared" si="46"/>
        <v>379.2444562014573</v>
      </c>
      <c r="DW36">
        <f t="shared" si="47"/>
        <v>1989</v>
      </c>
      <c r="DX36">
        <f t="shared" si="48"/>
        <v>0.12144333808520534</v>
      </c>
      <c r="DY36">
        <f t="shared" si="49"/>
        <v>0.33953619585614431</v>
      </c>
      <c r="EB36">
        <f t="shared" si="77"/>
        <v>1989</v>
      </c>
      <c r="EC36">
        <f t="shared" si="78"/>
        <v>78.016500000000008</v>
      </c>
      <c r="EO36">
        <f t="shared" si="16"/>
        <v>1989</v>
      </c>
      <c r="EP36">
        <f t="shared" si="17"/>
        <v>78.016500000000008</v>
      </c>
      <c r="EQ36">
        <f>EQ35+EQ$67</f>
        <v>6.3932795594647915E-2</v>
      </c>
      <c r="ER36">
        <f>0.6*ER34+0.4*ER39</f>
        <v>1.0202959633176349</v>
      </c>
      <c r="ES36" s="148">
        <f t="shared" si="50"/>
        <v>78016.500000000015</v>
      </c>
      <c r="ET36">
        <f t="shared" si="20"/>
        <v>4.9878129475098492</v>
      </c>
      <c r="EU36">
        <f t="shared" si="21"/>
        <v>79.599920022170281</v>
      </c>
      <c r="EX36">
        <f t="shared" si="79"/>
        <v>1989</v>
      </c>
      <c r="EY36" s="152">
        <f t="shared" si="51"/>
        <v>0</v>
      </c>
      <c r="EZ36">
        <f t="shared" si="22"/>
        <v>272.74129355019807</v>
      </c>
      <c r="FA36">
        <f t="shared" si="23"/>
        <v>93.973811458312497</v>
      </c>
      <c r="FE36">
        <f t="shared" si="52"/>
        <v>1989</v>
      </c>
      <c r="FF36" s="184">
        <f t="shared" si="53"/>
        <v>104.83278717364509</v>
      </c>
      <c r="FG36" s="184">
        <f t="shared" si="54"/>
        <v>135.64595843833649</v>
      </c>
      <c r="FH36" s="184">
        <f t="shared" si="55"/>
        <v>4.9878129475098492</v>
      </c>
      <c r="FI36" s="184">
        <f t="shared" si="56"/>
        <v>392.20498457077628</v>
      </c>
      <c r="FJ36" s="184">
        <f t="shared" si="57"/>
        <v>379.2444562014573</v>
      </c>
      <c r="FK36" s="184">
        <f t="shared" si="58"/>
        <v>79.599920022170281</v>
      </c>
      <c r="FL36" s="148">
        <f t="shared" si="59"/>
        <v>238672.16076000006</v>
      </c>
      <c r="FM36" s="148">
        <f t="shared" si="60"/>
        <v>111694.85340000001</v>
      </c>
      <c r="FN36" s="148">
        <f t="shared" si="61"/>
        <v>78016.500000000015</v>
      </c>
      <c r="FP36">
        <f t="shared" si="62"/>
        <v>245.46655855949143</v>
      </c>
      <c r="FQ36">
        <f t="shared" si="63"/>
        <v>851.04936079440392</v>
      </c>
      <c r="FR36" s="148">
        <f>[5]Indicators_NonMan_2018_BEA!U24</f>
        <v>366229.34210999997</v>
      </c>
      <c r="FS36" s="3">
        <f>[5]Indicators_NonMan_2018_BEA!I24</f>
        <v>224008.35533999998</v>
      </c>
      <c r="FU36" s="13">
        <f t="shared" si="64"/>
        <v>0.67025366439853296</v>
      </c>
      <c r="FV36" s="13">
        <f t="shared" si="65"/>
        <v>2.323815333558894</v>
      </c>
      <c r="FW36" s="13"/>
      <c r="FX36" s="13">
        <f t="shared" si="66"/>
        <v>1.2144333808520535E-3</v>
      </c>
      <c r="FZ36">
        <f t="shared" si="81"/>
        <v>1989</v>
      </c>
      <c r="GA36">
        <f t="shared" si="82"/>
        <v>78016.5</v>
      </c>
      <c r="GB36">
        <f t="shared" si="83"/>
        <v>24648.305239999998</v>
      </c>
    </row>
    <row r="37" spans="3:184" x14ac:dyDescent="0.2">
      <c r="C37">
        <f>'BEA&amp;BLS_Output_data'!E33</f>
        <v>1990</v>
      </c>
      <c r="D37">
        <f>'BEA&amp;BLS_Output_data'!M33</f>
        <v>241979.54699999999</v>
      </c>
      <c r="E37">
        <f>'BEA&amp;BLS_Output_data'!G33</f>
        <v>45954.8</v>
      </c>
      <c r="F37">
        <f>'BEA&amp;BLS_Output_data'!H33</f>
        <v>35790.199999999997</v>
      </c>
      <c r="G37">
        <f>'BEA&amp;BLS_Output_data'!I33</f>
        <v>26945.4</v>
      </c>
      <c r="H37">
        <f>'BEA&amp;BLS_Output_data'!J33</f>
        <v>88696.4</v>
      </c>
      <c r="I37">
        <f>'BEA&amp;BLS_Output_data'!N33</f>
        <v>117220.00620000002</v>
      </c>
      <c r="J37">
        <f>'BEA&amp;BLS_Output_data'!O33</f>
        <v>27838.100709999999</v>
      </c>
      <c r="L37">
        <f>NEA_Data!B67</f>
        <v>1978</v>
      </c>
      <c r="M37">
        <f>NEA_Data!C67</f>
        <v>76.894000000000005</v>
      </c>
      <c r="N37">
        <f>NEA_Data!D67</f>
        <v>35.143999999999998</v>
      </c>
      <c r="O37">
        <f>NEA_Data!E67</f>
        <v>52.662000000000006</v>
      </c>
      <c r="P37">
        <f>NEA_Data!F67</f>
        <v>38.144999999999996</v>
      </c>
      <c r="Q37">
        <f>NEA_Data!G67</f>
        <v>4.4349999999999996</v>
      </c>
      <c r="S37">
        <f>NEA_Data!I67</f>
        <v>317.91499999999996</v>
      </c>
      <c r="T37">
        <f>NEA_Data!J67</f>
        <v>76.929000000000002</v>
      </c>
      <c r="U37">
        <f>NEA_Data!K67</f>
        <v>139.41200000000001</v>
      </c>
      <c r="V37">
        <f>NEA_Data!L67</f>
        <v>286.51400000000001</v>
      </c>
      <c r="W37">
        <f>NEA_Data!M67</f>
        <v>100.07299999999999</v>
      </c>
      <c r="Z37">
        <f t="shared" si="69"/>
        <v>1990</v>
      </c>
      <c r="AA37" s="206">
        <f t="shared" si="0"/>
        <v>24.1979547</v>
      </c>
      <c r="AM37">
        <f t="shared" si="26"/>
        <v>1990</v>
      </c>
      <c r="AN37">
        <f t="shared" si="27"/>
        <v>24.1979547</v>
      </c>
      <c r="AO37">
        <f>AO36+AO$68</f>
        <v>4.4400286142777041</v>
      </c>
      <c r="AP37">
        <f>0.4*AP34+0.6*AP39</f>
        <v>16.084223279591718</v>
      </c>
      <c r="AQ37" s="3">
        <f t="shared" si="29"/>
        <v>241979.54699999999</v>
      </c>
      <c r="AR37">
        <f t="shared" si="1"/>
        <v>107.43961127499566</v>
      </c>
      <c r="AS37">
        <f t="shared" si="2"/>
        <v>389.20530630424582</v>
      </c>
      <c r="AV37">
        <f t="shared" si="70"/>
        <v>1990</v>
      </c>
      <c r="AW37">
        <f t="shared" si="71"/>
        <v>45.954800000000006</v>
      </c>
      <c r="BI37">
        <f t="shared" si="32"/>
        <v>1990</v>
      </c>
      <c r="BJ37">
        <f t="shared" si="33"/>
        <v>45.954800000000006</v>
      </c>
      <c r="BK37">
        <f>BK36+BK$68</f>
        <v>0.95119036274633872</v>
      </c>
      <c r="BL37">
        <f>0.4*BL34+0.6*BL39</f>
        <v>2.1473547880466004</v>
      </c>
      <c r="BM37" s="148">
        <f t="shared" si="35"/>
        <v>45954.8</v>
      </c>
      <c r="BN37">
        <f t="shared" si="3"/>
        <v>43.711762881935449</v>
      </c>
      <c r="BO37">
        <f t="shared" si="4"/>
        <v>98.681259813723926</v>
      </c>
      <c r="BR37">
        <f t="shared" si="72"/>
        <v>1990</v>
      </c>
      <c r="BS37">
        <f t="shared" si="73"/>
        <v>357.90199999999999</v>
      </c>
      <c r="CE37">
        <f t="shared" si="38"/>
        <v>1990</v>
      </c>
      <c r="CF37">
        <f t="shared" si="39"/>
        <v>357.90199999999999</v>
      </c>
      <c r="CG37">
        <f>CG36+CG$68</f>
        <v>0.16109277174332942</v>
      </c>
      <c r="CH37">
        <f>0.4*CH34+0.6*CH39</f>
        <v>0.22003765675250625</v>
      </c>
      <c r="CI37" s="148">
        <f t="shared" si="41"/>
        <v>357902</v>
      </c>
      <c r="CJ37">
        <f t="shared" si="5"/>
        <v>57.655425192481083</v>
      </c>
      <c r="CK37">
        <f t="shared" si="6"/>
        <v>78.751917427035494</v>
      </c>
      <c r="CN37">
        <f t="shared" si="74"/>
        <v>1990</v>
      </c>
      <c r="CO37">
        <f t="shared" si="75"/>
        <v>269.45400000000001</v>
      </c>
      <c r="DA37">
        <f t="shared" si="9"/>
        <v>1990</v>
      </c>
      <c r="DB37">
        <f t="shared" si="10"/>
        <v>269.45400000000001</v>
      </c>
      <c r="DC37">
        <f>DC36+DC$67</f>
        <v>0.15423279293266565</v>
      </c>
      <c r="DD37">
        <f>0.4*DD34+0.6*DD39</f>
        <v>0.75325107842087757</v>
      </c>
      <c r="DE37" s="148">
        <f t="shared" si="11"/>
        <v>269454</v>
      </c>
      <c r="DF37">
        <f t="shared" si="12"/>
        <v>41.558642986878489</v>
      </c>
      <c r="DG37">
        <f t="shared" si="13"/>
        <v>202.96651608481915</v>
      </c>
      <c r="DJ37">
        <f t="shared" si="76"/>
        <v>1990</v>
      </c>
      <c r="DK37" s="152">
        <f t="shared" si="44"/>
        <v>1172.2000620000001</v>
      </c>
      <c r="DL37">
        <f t="shared" si="45"/>
        <v>142.92583106129501</v>
      </c>
      <c r="DM37">
        <f t="shared" si="46"/>
        <v>380.3996933255786</v>
      </c>
      <c r="DW37">
        <f t="shared" si="47"/>
        <v>1990</v>
      </c>
      <c r="DX37">
        <f t="shared" si="48"/>
        <v>0.12192955425837113</v>
      </c>
      <c r="DY37">
        <f t="shared" si="49"/>
        <v>0.32451772155389852</v>
      </c>
      <c r="EB37">
        <f t="shared" si="77"/>
        <v>1990</v>
      </c>
      <c r="EC37">
        <f t="shared" si="78"/>
        <v>88.696399999999997</v>
      </c>
      <c r="EO37">
        <f t="shared" si="16"/>
        <v>1990</v>
      </c>
      <c r="EP37">
        <f t="shared" si="17"/>
        <v>88.696399999999997</v>
      </c>
      <c r="EQ37">
        <f>EQ36+EQ$67</f>
        <v>6.2593861894201908E-2</v>
      </c>
      <c r="ER37">
        <f>0.4*ER34+0.6*ER39</f>
        <v>1.0539553012357787</v>
      </c>
      <c r="ES37" s="148">
        <f t="shared" si="50"/>
        <v>88696.4</v>
      </c>
      <c r="ET37">
        <f t="shared" si="20"/>
        <v>5.5518502121128899</v>
      </c>
      <c r="EU37">
        <f t="shared" si="21"/>
        <v>93.482040980529121</v>
      </c>
      <c r="EX37">
        <f t="shared" si="79"/>
        <v>1990</v>
      </c>
      <c r="EY37" s="152">
        <f t="shared" si="51"/>
        <v>0</v>
      </c>
      <c r="EZ37">
        <f t="shared" si="22"/>
        <v>274.87556505524731</v>
      </c>
      <c r="FA37">
        <f t="shared" si="23"/>
        <v>94.576667580413911</v>
      </c>
      <c r="FE37">
        <f t="shared" si="52"/>
        <v>1990</v>
      </c>
      <c r="FF37" s="184">
        <f t="shared" si="53"/>
        <v>107.43961127499566</v>
      </c>
      <c r="FG37" s="184">
        <f t="shared" si="54"/>
        <v>142.92583106129501</v>
      </c>
      <c r="FH37" s="184">
        <f t="shared" si="55"/>
        <v>5.5518502121128899</v>
      </c>
      <c r="FI37" s="184">
        <f t="shared" si="56"/>
        <v>389.20530630424582</v>
      </c>
      <c r="FJ37" s="184">
        <f t="shared" si="57"/>
        <v>380.3996933255786</v>
      </c>
      <c r="FK37" s="184">
        <f t="shared" si="58"/>
        <v>93.482040980529121</v>
      </c>
      <c r="FL37" s="148">
        <f t="shared" si="59"/>
        <v>241979.54699999999</v>
      </c>
      <c r="FM37" s="148">
        <f t="shared" si="60"/>
        <v>117220.00620000002</v>
      </c>
      <c r="FN37" s="148">
        <f t="shared" si="61"/>
        <v>88696.4</v>
      </c>
      <c r="FP37">
        <f t="shared" si="62"/>
        <v>255.91729254840357</v>
      </c>
      <c r="FQ37">
        <f t="shared" si="63"/>
        <v>863.0870406103536</v>
      </c>
      <c r="FR37" s="148">
        <f>[5]Indicators_NonMan_2018_BEA!U25</f>
        <v>380635.99361</v>
      </c>
      <c r="FS37" s="3">
        <f>[5]Indicators_NonMan_2018_BEA!I25</f>
        <v>223305.11126000003</v>
      </c>
      <c r="FU37" s="13">
        <f t="shared" si="64"/>
        <v>0.67234128365331813</v>
      </c>
      <c r="FV37" s="13">
        <f t="shared" si="65"/>
        <v>2.2674866673136367</v>
      </c>
      <c r="FW37" s="13"/>
      <c r="FX37" s="13">
        <f t="shared" si="66"/>
        <v>1.2192955425837113E-3</v>
      </c>
      <c r="FZ37">
        <f t="shared" si="81"/>
        <v>1990</v>
      </c>
      <c r="GA37">
        <f t="shared" si="82"/>
        <v>88696.4</v>
      </c>
      <c r="GB37">
        <f t="shared" si="83"/>
        <v>27838.100709999999</v>
      </c>
    </row>
    <row r="38" spans="3:184" x14ac:dyDescent="0.2">
      <c r="C38">
        <f>'BEA&amp;BLS_Output_data'!E34</f>
        <v>1991</v>
      </c>
      <c r="D38">
        <f>'BEA&amp;BLS_Output_data'!M34</f>
        <v>247285.14576000001</v>
      </c>
      <c r="E38">
        <f>'BEA&amp;BLS_Output_data'!G34</f>
        <v>47600.9</v>
      </c>
      <c r="F38">
        <f>'BEA&amp;BLS_Output_data'!H34</f>
        <v>37644.1</v>
      </c>
      <c r="G38">
        <f>'BEA&amp;BLS_Output_data'!I34</f>
        <v>27710</v>
      </c>
      <c r="H38">
        <f>'BEA&amp;BLS_Output_data'!J34</f>
        <v>86517.7</v>
      </c>
      <c r="I38">
        <f>'BEA&amp;BLS_Output_data'!N34</f>
        <v>121972.236</v>
      </c>
      <c r="J38">
        <f>'BEA&amp;BLS_Output_data'!O34</f>
        <v>27937.428199999998</v>
      </c>
      <c r="L38">
        <f>NEA_Data!B68</f>
        <v>1979</v>
      </c>
      <c r="M38">
        <f>NEA_Data!C68</f>
        <v>84.054000000000002</v>
      </c>
      <c r="N38">
        <f>NEA_Data!D68</f>
        <v>42.346000000000004</v>
      </c>
      <c r="O38">
        <f>NEA_Data!E68</f>
        <v>57.025999999999996</v>
      </c>
      <c r="P38">
        <f>NEA_Data!F68</f>
        <v>42.075000000000003</v>
      </c>
      <c r="Q38">
        <f>NEA_Data!G68</f>
        <v>5.5510000000000002</v>
      </c>
      <c r="S38">
        <f>NEA_Data!I68</f>
        <v>321.577</v>
      </c>
      <c r="T38">
        <f>NEA_Data!J68</f>
        <v>89.113</v>
      </c>
      <c r="U38">
        <f>NEA_Data!K68</f>
        <v>137.27600000000001</v>
      </c>
      <c r="V38">
        <f>NEA_Data!L68</f>
        <v>305.91800000000001</v>
      </c>
      <c r="W38">
        <f>NEA_Data!M68</f>
        <v>103.596</v>
      </c>
      <c r="Z38">
        <f t="shared" si="69"/>
        <v>1991</v>
      </c>
      <c r="AA38" s="206">
        <f t="shared" si="0"/>
        <v>24.728514576000002</v>
      </c>
      <c r="AM38">
        <f t="shared" si="26"/>
        <v>1991</v>
      </c>
      <c r="AN38">
        <f t="shared" si="27"/>
        <v>24.728514576000002</v>
      </c>
      <c r="AO38">
        <f>AO37+AO$68</f>
        <v>4.4877231230682968</v>
      </c>
      <c r="AP38">
        <f>0.2*AP34+0.8*AP39</f>
        <v>15.735655096539277</v>
      </c>
      <c r="AQ38" s="3">
        <f t="shared" si="29"/>
        <v>247285.14576000001</v>
      </c>
      <c r="AR38">
        <f t="shared" si="1"/>
        <v>110.97472666184663</v>
      </c>
      <c r="AS38">
        <f t="shared" si="2"/>
        <v>389.11937641768026</v>
      </c>
      <c r="AV38">
        <f t="shared" si="70"/>
        <v>1991</v>
      </c>
      <c r="AW38">
        <f t="shared" si="71"/>
        <v>47.600900000000003</v>
      </c>
      <c r="BI38">
        <f t="shared" si="32"/>
        <v>1991</v>
      </c>
      <c r="BJ38">
        <f t="shared" si="33"/>
        <v>47.600900000000003</v>
      </c>
      <c r="BK38">
        <f>BK37+BK$68</f>
        <v>0.9374745719974632</v>
      </c>
      <c r="BL38">
        <f>0.2*BL34+0.8*BL39</f>
        <v>2.0811071275621451</v>
      </c>
      <c r="BM38" s="148">
        <f t="shared" si="35"/>
        <v>47600.9</v>
      </c>
      <c r="BN38">
        <f t="shared" si="3"/>
        <v>44.624633354194046</v>
      </c>
      <c r="BO38">
        <f t="shared" si="4"/>
        <v>99.062572268372918</v>
      </c>
      <c r="BR38">
        <f t="shared" si="72"/>
        <v>1991</v>
      </c>
      <c r="BS38">
        <f t="shared" si="73"/>
        <v>376.44099999999997</v>
      </c>
      <c r="CE38">
        <f t="shared" si="38"/>
        <v>1991</v>
      </c>
      <c r="CF38">
        <f t="shared" si="39"/>
        <v>376.44099999999997</v>
      </c>
      <c r="CG38">
        <f>CG37+CG$68</f>
        <v>0.16437596546279745</v>
      </c>
      <c r="CH38">
        <f>0.2*CH34+0.8*CH39</f>
        <v>0.21547243712629149</v>
      </c>
      <c r="CI38" s="148">
        <f t="shared" si="41"/>
        <v>376441</v>
      </c>
      <c r="CJ38">
        <f t="shared" si="5"/>
        <v>61.87785281478093</v>
      </c>
      <c r="CK38">
        <f t="shared" si="6"/>
        <v>81.112659704258292</v>
      </c>
      <c r="CN38">
        <f t="shared" si="74"/>
        <v>1991</v>
      </c>
      <c r="CO38">
        <f t="shared" si="75"/>
        <v>277.10000000000002</v>
      </c>
      <c r="DA38">
        <f t="shared" si="9"/>
        <v>1991</v>
      </c>
      <c r="DB38">
        <f t="shared" si="10"/>
        <v>277.10000000000002</v>
      </c>
      <c r="DC38">
        <f>DC37+DC$67</f>
        <v>0.15623130393809498</v>
      </c>
      <c r="DD38">
        <f>0.2*DD34+0.8*DD39</f>
        <v>0.72917062308437997</v>
      </c>
      <c r="DE38" s="148">
        <f t="shared" si="11"/>
        <v>277100</v>
      </c>
      <c r="DF38">
        <f t="shared" si="12"/>
        <v>43.291694321246119</v>
      </c>
      <c r="DG38">
        <f t="shared" si="13"/>
        <v>202.05317965668169</v>
      </c>
      <c r="DJ38">
        <f t="shared" si="76"/>
        <v>1991</v>
      </c>
      <c r="DK38" s="152">
        <f t="shared" si="44"/>
        <v>1219.72236</v>
      </c>
      <c r="DL38">
        <f t="shared" si="45"/>
        <v>149.79418049022109</v>
      </c>
      <c r="DM38">
        <f t="shared" si="46"/>
        <v>382.22841162931286</v>
      </c>
      <c r="DW38">
        <f t="shared" si="47"/>
        <v>1991</v>
      </c>
      <c r="DX38">
        <f t="shared" si="48"/>
        <v>0.12281006350512513</v>
      </c>
      <c r="DY38">
        <f t="shared" si="49"/>
        <v>0.31337329228703559</v>
      </c>
      <c r="EB38">
        <f t="shared" si="77"/>
        <v>1991</v>
      </c>
      <c r="EC38">
        <f t="shared" si="78"/>
        <v>86.517700000000005</v>
      </c>
      <c r="EO38">
        <f t="shared" si="16"/>
        <v>1991</v>
      </c>
      <c r="EP38">
        <f t="shared" si="17"/>
        <v>86.517700000000005</v>
      </c>
      <c r="EQ38">
        <f>EQ37+EQ$67</f>
        <v>6.12549281937559E-2</v>
      </c>
      <c r="ER38">
        <f>0.2*ER34+0.8*ER39</f>
        <v>1.0876146391539228</v>
      </c>
      <c r="ES38" s="148">
        <f t="shared" si="50"/>
        <v>86517.700000000012</v>
      </c>
      <c r="ET38">
        <f t="shared" si="20"/>
        <v>5.2996355009889156</v>
      </c>
      <c r="EU38">
        <f t="shared" si="21"/>
        <v>94.097917065927348</v>
      </c>
      <c r="EX38">
        <f t="shared" si="79"/>
        <v>1991</v>
      </c>
      <c r="EY38" s="152">
        <f t="shared" si="51"/>
        <v>0</v>
      </c>
      <c r="EZ38">
        <f t="shared" si="22"/>
        <v>281.64032646350518</v>
      </c>
      <c r="FA38">
        <f t="shared" si="23"/>
        <v>83.139453014782987</v>
      </c>
      <c r="FE38">
        <f t="shared" si="52"/>
        <v>1991</v>
      </c>
      <c r="FF38" s="184">
        <f t="shared" si="53"/>
        <v>110.97472666184663</v>
      </c>
      <c r="FG38" s="184">
        <f t="shared" si="54"/>
        <v>149.79418049022109</v>
      </c>
      <c r="FH38" s="184">
        <f t="shared" si="55"/>
        <v>5.2996355009889156</v>
      </c>
      <c r="FI38" s="184">
        <f t="shared" si="56"/>
        <v>389.11937641768026</v>
      </c>
      <c r="FJ38" s="184">
        <f t="shared" si="57"/>
        <v>382.22841162931286</v>
      </c>
      <c r="FK38" s="184">
        <f t="shared" si="58"/>
        <v>94.097917065927348</v>
      </c>
      <c r="FL38" s="148">
        <f t="shared" si="59"/>
        <v>247285.14576000001</v>
      </c>
      <c r="FM38" s="148">
        <f t="shared" si="60"/>
        <v>121972.236</v>
      </c>
      <c r="FN38" s="148">
        <f t="shared" si="61"/>
        <v>86517.700000000012</v>
      </c>
      <c r="FP38">
        <f t="shared" si="62"/>
        <v>266.06854265305668</v>
      </c>
      <c r="FQ38">
        <f t="shared" si="63"/>
        <v>865.44570511292056</v>
      </c>
      <c r="FR38" s="148">
        <f>[5]Indicators_NonMan_2018_BEA!U26</f>
        <v>390481.56054999999</v>
      </c>
      <c r="FS38" s="3">
        <f>[5]Indicators_NonMan_2018_BEA!I26</f>
        <v>231962.90700000004</v>
      </c>
      <c r="FU38" s="13">
        <f t="shared" si="64"/>
        <v>0.68138567741404887</v>
      </c>
      <c r="FV38" s="13">
        <f t="shared" si="65"/>
        <v>2.2163548616583211</v>
      </c>
      <c r="FW38" s="13"/>
      <c r="FX38" s="13">
        <f t="shared" si="66"/>
        <v>1.2281006350512512E-3</v>
      </c>
      <c r="FZ38">
        <f t="shared" si="81"/>
        <v>1991</v>
      </c>
      <c r="GA38">
        <f t="shared" si="82"/>
        <v>86517.7</v>
      </c>
      <c r="GB38">
        <f t="shared" si="83"/>
        <v>27937.428199999998</v>
      </c>
    </row>
    <row r="39" spans="3:184" x14ac:dyDescent="0.2">
      <c r="C39">
        <f>'BEA&amp;BLS_Output_data'!E35</f>
        <v>1992</v>
      </c>
      <c r="D39">
        <f>'BEA&amp;BLS_Output_data'!M35</f>
        <v>241645.90715999997</v>
      </c>
      <c r="E39">
        <f>'BEA&amp;BLS_Output_data'!G35</f>
        <v>46454.1</v>
      </c>
      <c r="F39">
        <f>'BEA&amp;BLS_Output_data'!H35</f>
        <v>37689.5</v>
      </c>
      <c r="G39">
        <f>'BEA&amp;BLS_Output_data'!I35</f>
        <v>26905.3</v>
      </c>
      <c r="H39">
        <f>'BEA&amp;BLS_Output_data'!J35</f>
        <v>73728.5</v>
      </c>
      <c r="I39">
        <f>'BEA&amp;BLS_Output_data'!N35</f>
        <v>119655.96029999999</v>
      </c>
      <c r="J39">
        <f>'BEA&amp;BLS_Output_data'!O35</f>
        <v>23497.866590000001</v>
      </c>
      <c r="L39">
        <f>NEA_Data!B69</f>
        <v>1980</v>
      </c>
      <c r="M39">
        <f>NEA_Data!C69</f>
        <v>92.366</v>
      </c>
      <c r="N39">
        <f>NEA_Data!D69</f>
        <v>46.473999999999997</v>
      </c>
      <c r="O39">
        <f>NEA_Data!E69</f>
        <v>52.751000000000005</v>
      </c>
      <c r="P39">
        <f>NEA_Data!F69</f>
        <v>40.334000000000003</v>
      </c>
      <c r="Q39">
        <f>NEA_Data!G69</f>
        <v>8.1649999999999991</v>
      </c>
      <c r="S39">
        <f>NEA_Data!I69</f>
        <v>324.65199999999999</v>
      </c>
      <c r="T39">
        <f>NEA_Data!J69</f>
        <v>93.939000000000007</v>
      </c>
      <c r="U39">
        <f>NEA_Data!K69</f>
        <v>114.69799999999999</v>
      </c>
      <c r="V39">
        <f>NEA_Data!L69</f>
        <v>286.82</v>
      </c>
      <c r="W39">
        <f>NEA_Data!M69</f>
        <v>130.08000000000001</v>
      </c>
      <c r="Z39">
        <f t="shared" si="69"/>
        <v>1992</v>
      </c>
      <c r="AA39" s="206">
        <f t="shared" si="0"/>
        <v>24.164590715999999</v>
      </c>
      <c r="AB39">
        <f>D6</f>
        <v>109.5965108</v>
      </c>
      <c r="AC39">
        <f>O6</f>
        <v>371.82265757592904</v>
      </c>
      <c r="AM39">
        <f t="shared" si="26"/>
        <v>1992</v>
      </c>
      <c r="AN39">
        <f t="shared" si="27"/>
        <v>24.164590715999999</v>
      </c>
      <c r="AO39" s="151">
        <f>AB39/AA39</f>
        <v>4.5354176318588886</v>
      </c>
      <c r="AP39" s="151">
        <f>AC39/AA39</f>
        <v>15.387086913486835</v>
      </c>
      <c r="AQ39" s="3">
        <f t="shared" si="29"/>
        <v>241645.90716</v>
      </c>
      <c r="AR39">
        <f t="shared" si="1"/>
        <v>109.5965108</v>
      </c>
      <c r="AS39">
        <f t="shared" si="2"/>
        <v>371.82265757592904</v>
      </c>
      <c r="AV39">
        <f t="shared" si="70"/>
        <v>1992</v>
      </c>
      <c r="AW39">
        <f t="shared" si="71"/>
        <v>46.454099999999997</v>
      </c>
      <c r="AX39">
        <f>E6</f>
        <v>42.912382799999996</v>
      </c>
      <c r="AY39">
        <f>P6</f>
        <v>93.598483169573683</v>
      </c>
      <c r="BI39">
        <f t="shared" si="32"/>
        <v>1992</v>
      </c>
      <c r="BJ39">
        <f t="shared" si="33"/>
        <v>46.454099999999997</v>
      </c>
      <c r="BK39" s="151">
        <f>AX39/AW39</f>
        <v>0.92375878124858735</v>
      </c>
      <c r="BL39" s="151">
        <f>AY39/AW39</f>
        <v>2.0148594670776894</v>
      </c>
      <c r="BM39" s="148">
        <f t="shared" si="35"/>
        <v>46454.1</v>
      </c>
      <c r="BN39">
        <f t="shared" si="3"/>
        <v>42.912382799999996</v>
      </c>
      <c r="BO39">
        <f t="shared" si="4"/>
        <v>93.598483169573683</v>
      </c>
      <c r="BR39">
        <f t="shared" si="72"/>
        <v>1992</v>
      </c>
      <c r="BS39">
        <f t="shared" si="73"/>
        <v>376.89499999999998</v>
      </c>
      <c r="BT39">
        <f>F6</f>
        <v>63.189898799999987</v>
      </c>
      <c r="BU39">
        <f>Q6</f>
        <v>79.489875739691414</v>
      </c>
      <c r="CE39">
        <f t="shared" si="38"/>
        <v>1992</v>
      </c>
      <c r="CF39">
        <f t="shared" si="39"/>
        <v>376.89499999999998</v>
      </c>
      <c r="CG39" s="151">
        <f>BT39/BS39</f>
        <v>0.16765915918226559</v>
      </c>
      <c r="CH39" s="151">
        <f>BU39/BS39</f>
        <v>0.21090721750007674</v>
      </c>
      <c r="CI39" s="148">
        <f t="shared" si="41"/>
        <v>376895</v>
      </c>
      <c r="CJ39">
        <f t="shared" si="5"/>
        <v>63.189898799999987</v>
      </c>
      <c r="CK39">
        <f t="shared" si="6"/>
        <v>79.489875739691414</v>
      </c>
      <c r="CN39">
        <f t="shared" si="74"/>
        <v>1992</v>
      </c>
      <c r="CO39">
        <f t="shared" si="75"/>
        <v>269.053</v>
      </c>
      <c r="CP39">
        <f>G6</f>
        <v>42.572206400000006</v>
      </c>
      <c r="CQ39">
        <f>R6</f>
        <v>189.706624903071</v>
      </c>
      <c r="DA39">
        <f t="shared" si="9"/>
        <v>1992</v>
      </c>
      <c r="DB39">
        <f t="shared" si="10"/>
        <v>269.053</v>
      </c>
      <c r="DC39" s="151">
        <f>CP39/CO39</f>
        <v>0.15822981494352417</v>
      </c>
      <c r="DD39" s="151">
        <f>CQ39/CO39</f>
        <v>0.70509016774788236</v>
      </c>
      <c r="DE39" s="148">
        <f t="shared" si="11"/>
        <v>269053</v>
      </c>
      <c r="DF39">
        <f t="shared" si="12"/>
        <v>42.572206400000006</v>
      </c>
      <c r="DG39">
        <f t="shared" si="13"/>
        <v>189.706624903071</v>
      </c>
      <c r="DJ39">
        <f t="shared" si="76"/>
        <v>1992</v>
      </c>
      <c r="DK39" s="152">
        <f t="shared" si="44"/>
        <v>1196.5596029999999</v>
      </c>
      <c r="DL39">
        <f t="shared" si="45"/>
        <v>148.674488</v>
      </c>
      <c r="DM39">
        <f t="shared" si="46"/>
        <v>362.79498381233611</v>
      </c>
      <c r="DW39">
        <f t="shared" si="47"/>
        <v>1992</v>
      </c>
      <c r="DX39">
        <f t="shared" si="48"/>
        <v>0.12425163579586433</v>
      </c>
      <c r="DY39">
        <f t="shared" si="49"/>
        <v>0.3031984222956724</v>
      </c>
      <c r="EB39">
        <f t="shared" si="77"/>
        <v>1992</v>
      </c>
      <c r="EC39">
        <f t="shared" si="78"/>
        <v>73.728499999999997</v>
      </c>
      <c r="ED39">
        <f>SUM(I6:M6)</f>
        <v>4.4175163999999993</v>
      </c>
      <c r="EE39">
        <f>SUM(T6:X6)</f>
        <v>82.669848418557862</v>
      </c>
      <c r="EO39">
        <f t="shared" si="16"/>
        <v>1992</v>
      </c>
      <c r="EP39">
        <f t="shared" si="17"/>
        <v>73.728499999999997</v>
      </c>
      <c r="EQ39" s="151">
        <f>ED39/EC39</f>
        <v>5.9915994493309907E-2</v>
      </c>
      <c r="ER39" s="151">
        <f>EE39/EC39</f>
        <v>1.1212739770720666</v>
      </c>
      <c r="ES39" s="148">
        <f t="shared" si="50"/>
        <v>73728.5</v>
      </c>
      <c r="ET39">
        <f t="shared" si="20"/>
        <v>4.4175163999999993</v>
      </c>
      <c r="EU39">
        <f t="shared" si="21"/>
        <v>82.669848418557862</v>
      </c>
      <c r="EX39">
        <f t="shared" si="79"/>
        <v>1992</v>
      </c>
      <c r="EY39" s="152">
        <f t="shared" si="51"/>
        <v>0.42912382799999998</v>
      </c>
      <c r="EZ39">
        <f t="shared" si="22"/>
        <v>275.04516927747528</v>
      </c>
      <c r="FA39">
        <f t="shared" si="23"/>
        <v>106.54846146144052</v>
      </c>
      <c r="FE39">
        <f t="shared" si="52"/>
        <v>1992</v>
      </c>
      <c r="FF39" s="184">
        <f t="shared" si="53"/>
        <v>109.5965108</v>
      </c>
      <c r="FG39" s="184">
        <f t="shared" si="54"/>
        <v>148.674488</v>
      </c>
      <c r="FH39" s="184">
        <f t="shared" si="55"/>
        <v>4.4175163999999993</v>
      </c>
      <c r="FI39" s="184">
        <f t="shared" si="56"/>
        <v>371.82265757592904</v>
      </c>
      <c r="FJ39" s="184">
        <f t="shared" si="57"/>
        <v>362.79498381233611</v>
      </c>
      <c r="FK39" s="184">
        <f t="shared" si="58"/>
        <v>82.669848418557862</v>
      </c>
      <c r="FL39" s="148">
        <f t="shared" si="59"/>
        <v>241645.90716</v>
      </c>
      <c r="FM39" s="148">
        <f t="shared" si="60"/>
        <v>119655.96029999999</v>
      </c>
      <c r="FN39" s="148">
        <f t="shared" si="61"/>
        <v>73728.5</v>
      </c>
      <c r="FP39">
        <f t="shared" si="62"/>
        <v>262.68851520000004</v>
      </c>
      <c r="FQ39">
        <f t="shared" si="63"/>
        <v>817.28748980682303</v>
      </c>
      <c r="FR39" s="148">
        <f>[5]Indicators_NonMan_2018_BEA!U27</f>
        <v>375247.2929</v>
      </c>
      <c r="FS39" s="3">
        <f>[5]Indicators_NonMan_2018_BEA!I27</f>
        <v>222024.20240000004</v>
      </c>
      <c r="FU39" s="13">
        <f t="shared" si="64"/>
        <v>0.70004106670532107</v>
      </c>
      <c r="FV39" s="13">
        <f t="shared" si="65"/>
        <v>2.1779970309462637</v>
      </c>
      <c r="FW39" s="13"/>
      <c r="FX39" s="13">
        <f t="shared" si="66"/>
        <v>1.2425163579586433E-3</v>
      </c>
      <c r="FZ39">
        <f t="shared" si="81"/>
        <v>1992</v>
      </c>
      <c r="GA39">
        <f t="shared" si="82"/>
        <v>73728.5</v>
      </c>
      <c r="GB39">
        <f t="shared" si="83"/>
        <v>23497.866590000001</v>
      </c>
    </row>
    <row r="40" spans="3:184" x14ac:dyDescent="0.2">
      <c r="C40">
        <f>'BEA&amp;BLS_Output_data'!E36</f>
        <v>1993</v>
      </c>
      <c r="D40">
        <f>'BEA&amp;BLS_Output_data'!M36</f>
        <v>243803.68656</v>
      </c>
      <c r="E40">
        <f>'BEA&amp;BLS_Output_data'!G36</f>
        <v>43899.4</v>
      </c>
      <c r="F40">
        <f>'BEA&amp;BLS_Output_data'!H36</f>
        <v>35930</v>
      </c>
      <c r="G40">
        <f>'BEA&amp;BLS_Output_data'!I36</f>
        <v>27218.9</v>
      </c>
      <c r="H40">
        <f>'BEA&amp;BLS_Output_data'!J36</f>
        <v>95014.399999999994</v>
      </c>
      <c r="I40">
        <f>'BEA&amp;BLS_Output_data'!N36</f>
        <v>116366.05095</v>
      </c>
      <c r="J40">
        <f>'BEA&amp;BLS_Output_data'!O36</f>
        <v>28561.053960000001</v>
      </c>
      <c r="L40">
        <f>NEA_Data!B70</f>
        <v>1981</v>
      </c>
      <c r="M40">
        <f>NEA_Data!C70</f>
        <v>99.72399999999999</v>
      </c>
      <c r="N40">
        <f>NEA_Data!D70</f>
        <v>47.301000000000002</v>
      </c>
      <c r="O40">
        <f>NEA_Data!E70</f>
        <v>58.383000000000003</v>
      </c>
      <c r="P40">
        <f>NEA_Data!F70</f>
        <v>38.545000000000002</v>
      </c>
      <c r="Q40">
        <f>NEA_Data!G70</f>
        <v>12.17</v>
      </c>
      <c r="S40">
        <f>NEA_Data!I70</f>
        <v>325.22500000000002</v>
      </c>
      <c r="T40">
        <f>NEA_Data!J70</f>
        <v>91.945999999999998</v>
      </c>
      <c r="U40">
        <f>NEA_Data!K70</f>
        <v>111.285</v>
      </c>
      <c r="V40">
        <f>NEA_Data!L70</f>
        <v>263.96199999999999</v>
      </c>
      <c r="W40">
        <f>NEA_Data!M70</f>
        <v>169.196</v>
      </c>
      <c r="Z40">
        <f t="shared" si="69"/>
        <v>1993</v>
      </c>
      <c r="AA40" s="206">
        <f t="shared" si="0"/>
        <v>24.380368656000002</v>
      </c>
      <c r="AM40">
        <f t="shared" si="26"/>
        <v>1993</v>
      </c>
      <c r="AN40">
        <f t="shared" si="27"/>
        <v>24.380368656000002</v>
      </c>
      <c r="AO40">
        <f>0.8*AO39+0.2*AO44</f>
        <v>4.4800689378167871</v>
      </c>
      <c r="AP40">
        <f>0.8*AP39+0.2*AP44</f>
        <v>14.931730441395942</v>
      </c>
      <c r="AQ40" s="3">
        <f t="shared" si="29"/>
        <v>243803.68656000003</v>
      </c>
      <c r="AR40">
        <f t="shared" si="1"/>
        <v>109.22573230826761</v>
      </c>
      <c r="AS40">
        <f t="shared" si="2"/>
        <v>364.04109283325067</v>
      </c>
      <c r="AV40">
        <f t="shared" si="70"/>
        <v>1993</v>
      </c>
      <c r="AW40">
        <f t="shared" si="71"/>
        <v>43.8994</v>
      </c>
      <c r="BI40">
        <f t="shared" si="32"/>
        <v>1993</v>
      </c>
      <c r="BJ40">
        <f t="shared" si="33"/>
        <v>43.8994</v>
      </c>
      <c r="BK40">
        <f>0.8*BK39+0.2*BK44</f>
        <v>0.89138504482109915</v>
      </c>
      <c r="BL40">
        <f>0.8*BL39+0.2*BL44</f>
        <v>1.9342496657689676</v>
      </c>
      <c r="BM40" s="148">
        <f t="shared" si="35"/>
        <v>43899.4</v>
      </c>
      <c r="BN40">
        <f t="shared" si="3"/>
        <v>39.13126863661936</v>
      </c>
      <c r="BO40">
        <f t="shared" si="4"/>
        <v>84.912399777458219</v>
      </c>
      <c r="BR40">
        <f t="shared" si="72"/>
        <v>1993</v>
      </c>
      <c r="BS40">
        <f t="shared" si="73"/>
        <v>359.3</v>
      </c>
      <c r="CE40">
        <f t="shared" si="38"/>
        <v>1993</v>
      </c>
      <c r="CF40">
        <f t="shared" si="39"/>
        <v>359.3</v>
      </c>
      <c r="CG40">
        <f>0.8*CG39+0.2*CG44</f>
        <v>0.16801051179976578</v>
      </c>
      <c r="CH40">
        <f>0.8*CH39+0.2*CH44</f>
        <v>0.21870082575251965</v>
      </c>
      <c r="CI40" s="148">
        <f t="shared" si="41"/>
        <v>359300</v>
      </c>
      <c r="CJ40">
        <f t="shared" si="5"/>
        <v>60.366176889655847</v>
      </c>
      <c r="CK40">
        <f t="shared" si="6"/>
        <v>78.579206692880305</v>
      </c>
      <c r="CN40">
        <f t="shared" si="74"/>
        <v>1993</v>
      </c>
      <c r="CO40">
        <f t="shared" si="75"/>
        <v>272.18900000000002</v>
      </c>
      <c r="DA40">
        <f t="shared" si="9"/>
        <v>1993</v>
      </c>
      <c r="DB40">
        <f t="shared" si="10"/>
        <v>272.18900000000002</v>
      </c>
      <c r="DC40">
        <f>0.8*DC39+0.2*DC44</f>
        <v>0.15537406516498711</v>
      </c>
      <c r="DD40">
        <f>0.8*DD39+0.2*DD44</f>
        <v>0.68701846335005179</v>
      </c>
      <c r="DE40" s="148">
        <f t="shared" si="11"/>
        <v>272189</v>
      </c>
      <c r="DF40">
        <f t="shared" si="12"/>
        <v>42.291111423192682</v>
      </c>
      <c r="DG40">
        <f t="shared" si="13"/>
        <v>186.99886852078725</v>
      </c>
      <c r="DJ40">
        <f t="shared" si="76"/>
        <v>1993</v>
      </c>
      <c r="DK40" s="152">
        <f t="shared" si="44"/>
        <v>1163.6605095</v>
      </c>
      <c r="DL40">
        <f t="shared" si="45"/>
        <v>141.7885569494679</v>
      </c>
      <c r="DM40">
        <f t="shared" si="46"/>
        <v>350.49047499112578</v>
      </c>
      <c r="DW40">
        <f t="shared" si="47"/>
        <v>1993</v>
      </c>
      <c r="DX40">
        <f t="shared" si="48"/>
        <v>0.12184701276009736</v>
      </c>
      <c r="DY40">
        <f t="shared" si="49"/>
        <v>0.30119650201219256</v>
      </c>
      <c r="EB40">
        <f t="shared" si="77"/>
        <v>1993</v>
      </c>
      <c r="EC40">
        <f t="shared" si="78"/>
        <v>95.014399999999995</v>
      </c>
      <c r="EO40">
        <f t="shared" si="16"/>
        <v>1993</v>
      </c>
      <c r="EP40">
        <f t="shared" si="17"/>
        <v>95.014399999999995</v>
      </c>
      <c r="EQ40">
        <f>0.8*EQ39+0.2*EQ44</f>
        <v>6.1758192881072926E-2</v>
      </c>
      <c r="ER40">
        <f>0.8*ER39+0.2*ER44</f>
        <v>1.1165363694787458</v>
      </c>
      <c r="ES40" s="148">
        <f t="shared" si="50"/>
        <v>95014.399999999994</v>
      </c>
      <c r="ET40">
        <f t="shared" si="20"/>
        <v>5.8679176416794148</v>
      </c>
      <c r="EU40">
        <f t="shared" si="21"/>
        <v>106.08703322420133</v>
      </c>
      <c r="EX40">
        <f t="shared" si="79"/>
        <v>1993</v>
      </c>
      <c r="EY40" s="152">
        <f t="shared" si="51"/>
        <v>0</v>
      </c>
      <c r="EZ40">
        <f t="shared" si="22"/>
        <v>277.91894507371137</v>
      </c>
      <c r="FA40">
        <f t="shared" si="23"/>
        <v>98.491761173824528</v>
      </c>
      <c r="FE40">
        <f t="shared" si="52"/>
        <v>1993</v>
      </c>
      <c r="FF40" s="184">
        <f t="shared" si="53"/>
        <v>109.22573230826761</v>
      </c>
      <c r="FG40" s="184">
        <f t="shared" si="54"/>
        <v>141.7885569494679</v>
      </c>
      <c r="FH40" s="184">
        <f t="shared" si="55"/>
        <v>5.8679176416794148</v>
      </c>
      <c r="FI40" s="184">
        <f t="shared" si="56"/>
        <v>364.04109283325067</v>
      </c>
      <c r="FJ40" s="184">
        <f t="shared" si="57"/>
        <v>350.49047499112578</v>
      </c>
      <c r="FK40" s="184">
        <f t="shared" si="58"/>
        <v>106.08703322420133</v>
      </c>
      <c r="FL40" s="148">
        <f t="shared" si="59"/>
        <v>243803.68656000003</v>
      </c>
      <c r="FM40" s="148">
        <f t="shared" si="60"/>
        <v>116366.05095</v>
      </c>
      <c r="FN40" s="148">
        <f t="shared" si="61"/>
        <v>95014.399999999994</v>
      </c>
      <c r="FP40">
        <f t="shared" si="62"/>
        <v>256.88220689941494</v>
      </c>
      <c r="FQ40">
        <f t="shared" si="63"/>
        <v>820.61860104857783</v>
      </c>
      <c r="FR40" s="148">
        <f>[5]Indicators_NonMan_2018_BEA!U28</f>
        <v>381935.65749000001</v>
      </c>
      <c r="FS40" s="3">
        <f>[5]Indicators_NonMan_2018_BEA!I28</f>
        <v>235360.72406000001</v>
      </c>
      <c r="FU40" s="13">
        <f t="shared" si="64"/>
        <v>0.67257979678459512</v>
      </c>
      <c r="FV40" s="13">
        <f t="shared" si="65"/>
        <v>2.1485781307812655</v>
      </c>
      <c r="FW40" s="13"/>
      <c r="FX40" s="13">
        <f t="shared" si="66"/>
        <v>1.2184701276009736E-3</v>
      </c>
      <c r="FZ40">
        <f t="shared" si="81"/>
        <v>1993</v>
      </c>
      <c r="GA40">
        <f t="shared" si="82"/>
        <v>95014.399999999994</v>
      </c>
      <c r="GB40">
        <f t="shared" si="83"/>
        <v>28561.053960000001</v>
      </c>
    </row>
    <row r="41" spans="3:184" x14ac:dyDescent="0.2">
      <c r="C41">
        <f>'BEA&amp;BLS_Output_data'!E37</f>
        <v>1994</v>
      </c>
      <c r="D41">
        <f>'BEA&amp;BLS_Output_data'!M37</f>
        <v>244402.06236000001</v>
      </c>
      <c r="E41">
        <f>'BEA&amp;BLS_Output_data'!G37</f>
        <v>48470.7</v>
      </c>
      <c r="F41">
        <f>'BEA&amp;BLS_Output_data'!H37</f>
        <v>37455.800000000003</v>
      </c>
      <c r="G41">
        <f>'BEA&amp;BLS_Output_data'!I37</f>
        <v>29686.3</v>
      </c>
      <c r="H41">
        <f>'BEA&amp;BLS_Output_data'!J37</f>
        <v>88177.1</v>
      </c>
      <c r="I41">
        <f>'BEA&amp;BLS_Output_data'!N37</f>
        <v>126417.7899</v>
      </c>
      <c r="J41">
        <f>'BEA&amp;BLS_Output_data'!O37</f>
        <v>25821.375469999999</v>
      </c>
      <c r="L41">
        <f>NEA_Data!B71</f>
        <v>1982</v>
      </c>
      <c r="M41">
        <f>NEA_Data!C71</f>
        <v>106.35900000000001</v>
      </c>
      <c r="N41">
        <f>NEA_Data!D71</f>
        <v>50.208999999999996</v>
      </c>
      <c r="O41">
        <f>NEA_Data!E71</f>
        <v>40.429000000000002</v>
      </c>
      <c r="P41">
        <f>NEA_Data!F71</f>
        <v>33.68</v>
      </c>
      <c r="Q41">
        <f>NEA_Data!G71</f>
        <v>12.565</v>
      </c>
      <c r="S41">
        <f>NEA_Data!I71</f>
        <v>316.88599999999997</v>
      </c>
      <c r="T41">
        <f>NEA_Data!J71</f>
        <v>93.802999999999997</v>
      </c>
      <c r="U41">
        <f>NEA_Data!K71</f>
        <v>64.48</v>
      </c>
      <c r="V41">
        <f>NEA_Data!L71</f>
        <v>214.74099999999999</v>
      </c>
      <c r="W41">
        <f>NEA_Data!M71</f>
        <v>154.94300000000001</v>
      </c>
      <c r="Z41">
        <f t="shared" si="69"/>
        <v>1994</v>
      </c>
      <c r="AA41" s="206">
        <f t="shared" si="0"/>
        <v>24.440206236000002</v>
      </c>
      <c r="AM41">
        <f t="shared" si="26"/>
        <v>1994</v>
      </c>
      <c r="AN41">
        <f t="shared" si="27"/>
        <v>24.440206236000002</v>
      </c>
      <c r="AO41">
        <f>0.6*AO39+0.4*AO44</f>
        <v>4.4247202437746846</v>
      </c>
      <c r="AP41">
        <f>0.6*AP39+0.4*AP44</f>
        <v>14.476373969305047</v>
      </c>
      <c r="AQ41" s="3">
        <f t="shared" si="29"/>
        <v>244402.06236000001</v>
      </c>
      <c r="AR41">
        <f t="shared" si="1"/>
        <v>108.14107529445749</v>
      </c>
      <c r="AS41">
        <f t="shared" si="2"/>
        <v>353.8055653592773</v>
      </c>
      <c r="AV41">
        <f t="shared" si="70"/>
        <v>1994</v>
      </c>
      <c r="AW41">
        <f t="shared" si="71"/>
        <v>48.470700000000001</v>
      </c>
      <c r="BI41">
        <f t="shared" si="32"/>
        <v>1994</v>
      </c>
      <c r="BJ41">
        <f t="shared" si="33"/>
        <v>48.470700000000001</v>
      </c>
      <c r="BK41">
        <f>0.6*BK39+0.4*BK44</f>
        <v>0.85901130839361084</v>
      </c>
      <c r="BL41">
        <f>0.6*BL39+0.4*BL44</f>
        <v>1.8536398644602454</v>
      </c>
      <c r="BM41" s="148">
        <f t="shared" si="35"/>
        <v>48470.700000000004</v>
      </c>
      <c r="BN41">
        <f t="shared" si="3"/>
        <v>41.636879425754195</v>
      </c>
      <c r="BO41">
        <f t="shared" si="4"/>
        <v>89.847221778293218</v>
      </c>
      <c r="BR41">
        <f t="shared" si="72"/>
        <v>1994</v>
      </c>
      <c r="BS41">
        <f t="shared" si="73"/>
        <v>374.55800000000005</v>
      </c>
      <c r="CE41">
        <f t="shared" si="38"/>
        <v>1994</v>
      </c>
      <c r="CF41">
        <f t="shared" si="39"/>
        <v>374.55800000000005</v>
      </c>
      <c r="CG41">
        <f>0.6*CG39+0.4*CG44</f>
        <v>0.16836186441726592</v>
      </c>
      <c r="CH41">
        <f>0.6*CH39+0.4*CH44</f>
        <v>0.22649443400496255</v>
      </c>
      <c r="CI41" s="148">
        <f t="shared" si="41"/>
        <v>374558.00000000006</v>
      </c>
      <c r="CJ41">
        <f t="shared" si="5"/>
        <v>63.061283212402294</v>
      </c>
      <c r="CK41">
        <f t="shared" si="6"/>
        <v>84.835302212030768</v>
      </c>
      <c r="CN41">
        <f t="shared" si="74"/>
        <v>1994</v>
      </c>
      <c r="CO41">
        <f t="shared" si="75"/>
        <v>296.863</v>
      </c>
      <c r="DA41">
        <f t="shared" si="9"/>
        <v>1994</v>
      </c>
      <c r="DB41">
        <f t="shared" si="10"/>
        <v>296.863</v>
      </c>
      <c r="DC41">
        <f>0.6*DC39+0.4*DC44</f>
        <v>0.15251831538645008</v>
      </c>
      <c r="DD41">
        <f>0.6*DD39+0.4*DD44</f>
        <v>0.66894675895222111</v>
      </c>
      <c r="DE41" s="148">
        <f t="shared" si="11"/>
        <v>296863</v>
      </c>
      <c r="DF41">
        <f t="shared" si="12"/>
        <v>45.277044660567732</v>
      </c>
      <c r="DG41">
        <f t="shared" si="13"/>
        <v>198.58554170283321</v>
      </c>
      <c r="DJ41">
        <f t="shared" si="76"/>
        <v>1994</v>
      </c>
      <c r="DK41" s="152">
        <f t="shared" si="44"/>
        <v>1264.177899</v>
      </c>
      <c r="DL41">
        <f t="shared" si="45"/>
        <v>149.97520729872423</v>
      </c>
      <c r="DM41">
        <f t="shared" si="46"/>
        <v>373.26806569315721</v>
      </c>
      <c r="DW41">
        <f t="shared" si="47"/>
        <v>1994</v>
      </c>
      <c r="DX41">
        <f t="shared" si="48"/>
        <v>0.11863457462542162</v>
      </c>
      <c r="DY41">
        <f t="shared" si="49"/>
        <v>0.29526545748697447</v>
      </c>
      <c r="EB41">
        <f t="shared" si="77"/>
        <v>1994</v>
      </c>
      <c r="EC41">
        <f t="shared" si="78"/>
        <v>88.17710000000001</v>
      </c>
      <c r="EO41">
        <f t="shared" si="16"/>
        <v>1994</v>
      </c>
      <c r="EP41">
        <f t="shared" si="17"/>
        <v>88.17710000000001</v>
      </c>
      <c r="EQ41">
        <f>0.6*EQ39+0.4*EQ44</f>
        <v>6.3600391268835932E-2</v>
      </c>
      <c r="ER41">
        <f>0.6*ER39+0.4*ER44</f>
        <v>1.1117987618854253</v>
      </c>
      <c r="ES41" s="148">
        <f t="shared" si="50"/>
        <v>88177.1</v>
      </c>
      <c r="ET41">
        <f t="shared" si="20"/>
        <v>5.6080980609512734</v>
      </c>
      <c r="EU41">
        <f t="shared" si="21"/>
        <v>98.035190606647348</v>
      </c>
      <c r="EX41">
        <f t="shared" si="79"/>
        <v>1994</v>
      </c>
      <c r="EY41" s="152">
        <f t="shared" si="51"/>
        <v>0</v>
      </c>
      <c r="EZ41">
        <f t="shared" si="22"/>
        <v>302.02284086234738</v>
      </c>
      <c r="FA41">
        <f t="shared" si="23"/>
        <v>85.727472140879954</v>
      </c>
      <c r="FE41">
        <f t="shared" si="52"/>
        <v>1994</v>
      </c>
      <c r="FF41" s="184">
        <f t="shared" si="53"/>
        <v>108.14107529445749</v>
      </c>
      <c r="FG41" s="184">
        <f t="shared" si="54"/>
        <v>149.97520729872423</v>
      </c>
      <c r="FH41" s="184">
        <f t="shared" si="55"/>
        <v>5.6080980609512734</v>
      </c>
      <c r="FI41" s="184">
        <f t="shared" si="56"/>
        <v>353.8055653592773</v>
      </c>
      <c r="FJ41" s="184">
        <f t="shared" si="57"/>
        <v>373.26806569315721</v>
      </c>
      <c r="FK41" s="184">
        <f t="shared" si="58"/>
        <v>98.035190606647348</v>
      </c>
      <c r="FL41" s="148">
        <f t="shared" si="59"/>
        <v>244402.06236000001</v>
      </c>
      <c r="FM41" s="148">
        <f t="shared" si="60"/>
        <v>126417.7899</v>
      </c>
      <c r="FN41" s="148">
        <f t="shared" si="61"/>
        <v>88177.1</v>
      </c>
      <c r="FP41">
        <f t="shared" si="62"/>
        <v>263.72438065413297</v>
      </c>
      <c r="FQ41">
        <f t="shared" si="63"/>
        <v>825.10882165908185</v>
      </c>
      <c r="FR41" s="148">
        <f>[5]Indicators_NonMan_2018_BEA!U29</f>
        <v>389237.07107999997</v>
      </c>
      <c r="FS41" s="3">
        <f>[5]Indicators_NonMan_2018_BEA!I29</f>
        <v>258406.31959999999</v>
      </c>
      <c r="FU41" s="13">
        <f t="shared" si="64"/>
        <v>0.67754178686626088</v>
      </c>
      <c r="FV41" s="13">
        <f t="shared" si="65"/>
        <v>2.1198104778912414</v>
      </c>
      <c r="FW41" s="13"/>
      <c r="FX41" s="13">
        <f t="shared" si="66"/>
        <v>1.1863457462542163E-3</v>
      </c>
      <c r="FZ41">
        <f t="shared" si="81"/>
        <v>1994</v>
      </c>
      <c r="GA41">
        <f t="shared" si="82"/>
        <v>88177.1</v>
      </c>
      <c r="GB41">
        <f t="shared" si="83"/>
        <v>25821.375469999999</v>
      </c>
    </row>
    <row r="42" spans="3:184" x14ac:dyDescent="0.2">
      <c r="C42">
        <f>'BEA&amp;BLS_Output_data'!E38</f>
        <v>1995</v>
      </c>
      <c r="D42">
        <f>'BEA&amp;BLS_Output_data'!M38</f>
        <v>250483.73639999997</v>
      </c>
      <c r="E42">
        <f>'BEA&amp;BLS_Output_data'!G38</f>
        <v>46743.7</v>
      </c>
      <c r="F42">
        <f>'BEA&amp;BLS_Output_data'!H38</f>
        <v>39135.599999999999</v>
      </c>
      <c r="G42">
        <f>'BEA&amp;BLS_Output_data'!I38</f>
        <v>29523.3</v>
      </c>
      <c r="H42">
        <f>'BEA&amp;BLS_Output_data'!J38</f>
        <v>77032.5</v>
      </c>
      <c r="I42">
        <f>'BEA&amp;BLS_Output_data'!N38</f>
        <v>124411.93005</v>
      </c>
      <c r="J42">
        <f>'BEA&amp;BLS_Output_data'!O38</f>
        <v>22263.188170000005</v>
      </c>
      <c r="L42">
        <f>NEA_Data!B72</f>
        <v>1983</v>
      </c>
      <c r="M42">
        <f>NEA_Data!C72</f>
        <v>113.39100000000001</v>
      </c>
      <c r="N42">
        <f>NEA_Data!D72</f>
        <v>47.943999999999996</v>
      </c>
      <c r="O42">
        <f>NEA_Data!E72</f>
        <v>42.634</v>
      </c>
      <c r="P42">
        <f>NEA_Data!F72</f>
        <v>37.994999999999997</v>
      </c>
      <c r="Q42">
        <f>NEA_Data!G72</f>
        <v>12.388</v>
      </c>
      <c r="S42">
        <f>NEA_Data!I72</f>
        <v>311.12</v>
      </c>
      <c r="T42">
        <f>NEA_Data!J72</f>
        <v>86.841000000000008</v>
      </c>
      <c r="U42">
        <f>NEA_Data!K72</f>
        <v>62.679000000000002</v>
      </c>
      <c r="V42">
        <f>NEA_Data!L72</f>
        <v>231.82900000000001</v>
      </c>
      <c r="W42">
        <f>NEA_Data!M72</f>
        <v>137.453</v>
      </c>
      <c r="Z42">
        <f t="shared" si="69"/>
        <v>1995</v>
      </c>
      <c r="AA42" s="206">
        <f t="shared" si="0"/>
        <v>25.048373639999998</v>
      </c>
      <c r="AM42">
        <f t="shared" si="26"/>
        <v>1995</v>
      </c>
      <c r="AN42">
        <f t="shared" si="27"/>
        <v>25.048373639999998</v>
      </c>
      <c r="AO42">
        <f>0.4*AO39+0.6*AO44</f>
        <v>4.3693715497325822</v>
      </c>
      <c r="AP42">
        <f>0.4*AP39+0.6*AP44</f>
        <v>14.021017497214153</v>
      </c>
      <c r="AQ42" s="3">
        <f t="shared" si="29"/>
        <v>250483.73639999997</v>
      </c>
      <c r="AR42">
        <f t="shared" si="1"/>
        <v>109.44565114968755</v>
      </c>
      <c r="AS42">
        <f t="shared" si="2"/>
        <v>351.20368508319774</v>
      </c>
      <c r="AV42">
        <f t="shared" si="70"/>
        <v>1995</v>
      </c>
      <c r="AW42">
        <f t="shared" si="71"/>
        <v>46.743699999999997</v>
      </c>
      <c r="BI42">
        <f t="shared" si="32"/>
        <v>1995</v>
      </c>
      <c r="BJ42">
        <f t="shared" si="33"/>
        <v>46.743699999999997</v>
      </c>
      <c r="BK42">
        <f>0.4*BK39+0.6*BK44</f>
        <v>0.82663757196612253</v>
      </c>
      <c r="BL42">
        <f>0.4*BL39+0.6*BL44</f>
        <v>1.7730300631515234</v>
      </c>
      <c r="BM42" s="148">
        <f t="shared" si="35"/>
        <v>46743.7</v>
      </c>
      <c r="BN42">
        <f t="shared" si="3"/>
        <v>38.640098672712838</v>
      </c>
      <c r="BO42">
        <f t="shared" si="4"/>
        <v>82.87798536293586</v>
      </c>
      <c r="BR42">
        <f t="shared" si="72"/>
        <v>1995</v>
      </c>
      <c r="BS42">
        <f t="shared" si="73"/>
        <v>391.35599999999999</v>
      </c>
      <c r="CE42">
        <f t="shared" si="38"/>
        <v>1995</v>
      </c>
      <c r="CF42">
        <f t="shared" si="39"/>
        <v>391.35599999999999</v>
      </c>
      <c r="CG42">
        <f>0.4*CG39+0.6*CG44</f>
        <v>0.16871321703476611</v>
      </c>
      <c r="CH42">
        <f>0.4*CH39+0.6*CH44</f>
        <v>0.23428804225740543</v>
      </c>
      <c r="CI42" s="148">
        <f t="shared" si="41"/>
        <v>391356</v>
      </c>
      <c r="CJ42">
        <f t="shared" si="5"/>
        <v>66.026929765857929</v>
      </c>
      <c r="CK42">
        <f t="shared" si="6"/>
        <v>91.690031065689155</v>
      </c>
      <c r="CN42">
        <f t="shared" si="74"/>
        <v>1995</v>
      </c>
      <c r="CO42">
        <f t="shared" si="75"/>
        <v>295.233</v>
      </c>
      <c r="DA42">
        <f t="shared" si="9"/>
        <v>1995</v>
      </c>
      <c r="DB42">
        <f t="shared" si="10"/>
        <v>295.233</v>
      </c>
      <c r="DC42">
        <f>0.4*DC39+0.6*DC44</f>
        <v>0.14966256560791302</v>
      </c>
      <c r="DD42">
        <f>0.4*DD39+0.6*DD44</f>
        <v>0.65087505455439054</v>
      </c>
      <c r="DE42" s="148">
        <f t="shared" si="11"/>
        <v>295233</v>
      </c>
      <c r="DF42">
        <f t="shared" si="12"/>
        <v>44.185328232120987</v>
      </c>
      <c r="DG42">
        <f t="shared" si="13"/>
        <v>192.1597949812564</v>
      </c>
      <c r="DJ42">
        <f t="shared" si="76"/>
        <v>1995</v>
      </c>
      <c r="DK42" s="152">
        <f t="shared" si="44"/>
        <v>1244.1193005</v>
      </c>
      <c r="DL42">
        <f t="shared" si="45"/>
        <v>148.85235667069176</v>
      </c>
      <c r="DM42">
        <f t="shared" si="46"/>
        <v>366.72781140988138</v>
      </c>
      <c r="DW42">
        <f t="shared" si="47"/>
        <v>1995</v>
      </c>
      <c r="DX42">
        <f t="shared" si="48"/>
        <v>0.11964476124666612</v>
      </c>
      <c r="DY42">
        <f t="shared" si="49"/>
        <v>0.29476900749188351</v>
      </c>
      <c r="EB42">
        <f t="shared" si="77"/>
        <v>1995</v>
      </c>
      <c r="EC42">
        <f t="shared" si="78"/>
        <v>77.032499999999999</v>
      </c>
      <c r="EO42">
        <f t="shared" si="16"/>
        <v>1995</v>
      </c>
      <c r="EP42">
        <f t="shared" si="17"/>
        <v>77.032499999999999</v>
      </c>
      <c r="EQ42">
        <f>0.4*EQ39+0.6*EQ44</f>
        <v>6.5442589656598951E-2</v>
      </c>
      <c r="ER42">
        <f>0.4*ER39+0.6*ER44</f>
        <v>1.1070611542921045</v>
      </c>
      <c r="ES42" s="148">
        <f t="shared" si="50"/>
        <v>77032.5</v>
      </c>
      <c r="ET42">
        <f t="shared" si="20"/>
        <v>5.041206287721959</v>
      </c>
      <c r="EU42">
        <f t="shared" si="21"/>
        <v>85.279688368006532</v>
      </c>
      <c r="EX42">
        <f t="shared" si="79"/>
        <v>1995</v>
      </c>
      <c r="EY42" s="152">
        <f t="shared" si="51"/>
        <v>0</v>
      </c>
      <c r="EZ42">
        <f t="shared" si="22"/>
        <v>300.97150994060689</v>
      </c>
      <c r="FA42">
        <f t="shared" si="23"/>
        <v>92.498037937304531</v>
      </c>
      <c r="FE42">
        <f t="shared" si="52"/>
        <v>1995</v>
      </c>
      <c r="FF42" s="184">
        <f t="shared" si="53"/>
        <v>109.44565114968755</v>
      </c>
      <c r="FG42" s="184">
        <f t="shared" si="54"/>
        <v>148.85235667069176</v>
      </c>
      <c r="FH42" s="184">
        <f t="shared" si="55"/>
        <v>5.041206287721959</v>
      </c>
      <c r="FI42" s="184">
        <f t="shared" si="56"/>
        <v>351.20368508319774</v>
      </c>
      <c r="FJ42" s="184">
        <f t="shared" si="57"/>
        <v>366.72781140988138</v>
      </c>
      <c r="FK42" s="184">
        <f t="shared" si="58"/>
        <v>85.279688368006532</v>
      </c>
      <c r="FL42" s="148">
        <f t="shared" si="59"/>
        <v>250483.73639999997</v>
      </c>
      <c r="FM42" s="148">
        <f t="shared" si="60"/>
        <v>124411.93005</v>
      </c>
      <c r="FN42" s="148">
        <f t="shared" si="61"/>
        <v>77032.5</v>
      </c>
      <c r="FP42">
        <f t="shared" si="62"/>
        <v>263.33921410810126</v>
      </c>
      <c r="FQ42">
        <f t="shared" si="63"/>
        <v>803.2111848610856</v>
      </c>
      <c r="FR42" s="148">
        <f>[5]Indicators_NonMan_2018_BEA!U30</f>
        <v>385393.25384999998</v>
      </c>
      <c r="FS42" s="3">
        <f>[5]Indicators_NonMan_2018_BEA!I30</f>
        <v>266475.68661999999</v>
      </c>
      <c r="FU42" s="13">
        <f t="shared" si="64"/>
        <v>0.68330000973653859</v>
      </c>
      <c r="FV42" s="13">
        <f t="shared" si="65"/>
        <v>2.0841340029623501</v>
      </c>
      <c r="FW42" s="13"/>
      <c r="FX42" s="13">
        <f t="shared" si="66"/>
        <v>1.1964476124666612E-3</v>
      </c>
      <c r="FZ42">
        <f t="shared" si="81"/>
        <v>1995</v>
      </c>
      <c r="GA42">
        <f t="shared" si="82"/>
        <v>77032.5</v>
      </c>
      <c r="GB42">
        <f t="shared" si="83"/>
        <v>22263.188170000005</v>
      </c>
    </row>
    <row r="43" spans="3:184" x14ac:dyDescent="0.2">
      <c r="C43">
        <f>'BEA&amp;BLS_Output_data'!E39</f>
        <v>1996</v>
      </c>
      <c r="D43">
        <f>'BEA&amp;BLS_Output_data'!M39</f>
        <v>258063.16320000001</v>
      </c>
      <c r="E43">
        <f>'BEA&amp;BLS_Output_data'!G39</f>
        <v>48546.7</v>
      </c>
      <c r="F43">
        <f>'BEA&amp;BLS_Output_data'!H39</f>
        <v>39496.699999999997</v>
      </c>
      <c r="G43">
        <f>'BEA&amp;BLS_Output_data'!I39</f>
        <v>30188.3</v>
      </c>
      <c r="H43">
        <f>'BEA&amp;BLS_Output_data'!J39</f>
        <v>83508.7</v>
      </c>
      <c r="I43">
        <f>'BEA&amp;BLS_Output_data'!N39</f>
        <v>128388.74354999998</v>
      </c>
      <c r="J43">
        <f>'BEA&amp;BLS_Output_data'!O39</f>
        <v>22899.387030000002</v>
      </c>
      <c r="L43">
        <f>NEA_Data!B73</f>
        <v>1984</v>
      </c>
      <c r="M43">
        <f>NEA_Data!C73</f>
        <v>117.994</v>
      </c>
      <c r="N43">
        <f>NEA_Data!D73</f>
        <v>55.217999999999996</v>
      </c>
      <c r="O43">
        <f>NEA_Data!E73</f>
        <v>53.949999999999996</v>
      </c>
      <c r="P43">
        <f>NEA_Data!F73</f>
        <v>38.137</v>
      </c>
      <c r="Q43">
        <f>NEA_Data!G73</f>
        <v>16.158000000000001</v>
      </c>
      <c r="S43">
        <f>NEA_Data!I73</f>
        <v>310.05600000000004</v>
      </c>
      <c r="T43">
        <f>NEA_Data!J73</f>
        <v>96.915999999999997</v>
      </c>
      <c r="U43">
        <f>NEA_Data!K73</f>
        <v>74.292000000000002</v>
      </c>
      <c r="V43">
        <f>NEA_Data!L73</f>
        <v>228.24599999999998</v>
      </c>
      <c r="W43">
        <f>NEA_Data!M73</f>
        <v>162.92400000000001</v>
      </c>
      <c r="Z43">
        <f t="shared" si="69"/>
        <v>1996</v>
      </c>
      <c r="AA43" s="206">
        <f t="shared" si="0"/>
        <v>25.806316320000001</v>
      </c>
      <c r="AM43">
        <f t="shared" si="26"/>
        <v>1996</v>
      </c>
      <c r="AN43">
        <f t="shared" si="27"/>
        <v>25.806316320000001</v>
      </c>
      <c r="AO43">
        <f>0.2*AO39+0.8*AO44</f>
        <v>4.3140228556904807</v>
      </c>
      <c r="AP43">
        <f>0.2*AP39+0.8*AP44</f>
        <v>13.56566102512326</v>
      </c>
      <c r="AQ43" s="3">
        <f t="shared" si="29"/>
        <v>258063.16320000001</v>
      </c>
      <c r="AR43">
        <f t="shared" si="1"/>
        <v>111.32903842565825</v>
      </c>
      <c r="AS43">
        <f t="shared" si="2"/>
        <v>350.07973950422632</v>
      </c>
      <c r="AV43">
        <f t="shared" si="70"/>
        <v>1996</v>
      </c>
      <c r="AW43">
        <f t="shared" si="71"/>
        <v>48.546700000000001</v>
      </c>
      <c r="BI43">
        <f t="shared" si="32"/>
        <v>1996</v>
      </c>
      <c r="BJ43">
        <f t="shared" si="33"/>
        <v>48.546700000000001</v>
      </c>
      <c r="BK43">
        <f>0.2*BK39+0.8*BK44</f>
        <v>0.79426383553863433</v>
      </c>
      <c r="BL43">
        <f>0.2*BL39+0.8*BL44</f>
        <v>1.6924202618428017</v>
      </c>
      <c r="BM43" s="148">
        <f t="shared" si="35"/>
        <v>48546.700000000004</v>
      </c>
      <c r="BN43">
        <f t="shared" si="3"/>
        <v>38.55888814474342</v>
      </c>
      <c r="BO43">
        <f t="shared" si="4"/>
        <v>82.161418725603937</v>
      </c>
      <c r="BR43">
        <f t="shared" si="72"/>
        <v>1996</v>
      </c>
      <c r="BS43">
        <f t="shared" si="73"/>
        <v>394.96699999999998</v>
      </c>
      <c r="CE43">
        <f t="shared" si="38"/>
        <v>1996</v>
      </c>
      <c r="CF43">
        <f t="shared" si="39"/>
        <v>394.96699999999998</v>
      </c>
      <c r="CG43">
        <f>0.2*CG39+0.8*CG44</f>
        <v>0.16906456965226627</v>
      </c>
      <c r="CH43">
        <f>0.2*CH39+0.8*CH44</f>
        <v>0.24208165050984837</v>
      </c>
      <c r="CI43" s="148">
        <f t="shared" si="41"/>
        <v>394967</v>
      </c>
      <c r="CJ43">
        <f t="shared" si="5"/>
        <v>66.774925881846642</v>
      </c>
      <c r="CK43">
        <f t="shared" si="6"/>
        <v>95.61426325692328</v>
      </c>
      <c r="CN43">
        <f t="shared" si="74"/>
        <v>1996</v>
      </c>
      <c r="CO43">
        <f t="shared" si="75"/>
        <v>301.88299999999998</v>
      </c>
      <c r="DA43">
        <f t="shared" si="9"/>
        <v>1996</v>
      </c>
      <c r="DB43">
        <f t="shared" si="10"/>
        <v>301.88299999999998</v>
      </c>
      <c r="DC43">
        <f>0.2*DC39+0.8*DC44</f>
        <v>0.14680681582937599</v>
      </c>
      <c r="DD43">
        <f>0.2*DD39+0.8*DD44</f>
        <v>0.63280335015655997</v>
      </c>
      <c r="DE43" s="148">
        <f t="shared" si="11"/>
        <v>301883</v>
      </c>
      <c r="DF43">
        <f t="shared" si="12"/>
        <v>44.31848198301951</v>
      </c>
      <c r="DG43">
        <f t="shared" si="13"/>
        <v>191.0325737553128</v>
      </c>
      <c r="DJ43">
        <f t="shared" si="76"/>
        <v>1996</v>
      </c>
      <c r="DK43" s="152">
        <f t="shared" si="44"/>
        <v>1283.8874354999998</v>
      </c>
      <c r="DL43">
        <f t="shared" si="45"/>
        <v>149.65229600960959</v>
      </c>
      <c r="DM43">
        <f t="shared" si="46"/>
        <v>368.80825573784</v>
      </c>
      <c r="DW43">
        <f t="shared" si="47"/>
        <v>1996</v>
      </c>
      <c r="DX43">
        <f t="shared" si="48"/>
        <v>0.11656185104056936</v>
      </c>
      <c r="DY43">
        <f t="shared" si="49"/>
        <v>0.28725902718583002</v>
      </c>
      <c r="EB43">
        <f t="shared" si="77"/>
        <v>1996</v>
      </c>
      <c r="EC43">
        <f t="shared" si="78"/>
        <v>83.508700000000005</v>
      </c>
      <c r="EO43">
        <f t="shared" si="16"/>
        <v>1996</v>
      </c>
      <c r="EP43">
        <f t="shared" si="17"/>
        <v>83.508700000000005</v>
      </c>
      <c r="EQ43">
        <f>0.2*EQ39+0.8*EQ44</f>
        <v>6.7284788044361971E-2</v>
      </c>
      <c r="ER43">
        <f>0.2*ER39+0.8*ER44</f>
        <v>1.102323546698784</v>
      </c>
      <c r="ES43" s="148">
        <f t="shared" si="50"/>
        <v>83508.700000000012</v>
      </c>
      <c r="ET43">
        <f t="shared" si="20"/>
        <v>5.6188651793602107</v>
      </c>
      <c r="EU43">
        <f t="shared" si="21"/>
        <v>92.05360636420474</v>
      </c>
      <c r="EX43">
        <f t="shared" si="79"/>
        <v>1996</v>
      </c>
      <c r="EY43" s="152">
        <f t="shared" si="51"/>
        <v>0</v>
      </c>
      <c r="EZ43">
        <f t="shared" si="22"/>
        <v>308.01052660704056</v>
      </c>
      <c r="FA43">
        <f t="shared" si="23"/>
        <v>95.875090212306404</v>
      </c>
      <c r="FE43">
        <f t="shared" si="52"/>
        <v>1996</v>
      </c>
      <c r="FF43" s="184">
        <f t="shared" si="53"/>
        <v>111.32903842565825</v>
      </c>
      <c r="FG43" s="184">
        <f t="shared" si="54"/>
        <v>149.65229600960959</v>
      </c>
      <c r="FH43" s="184">
        <f t="shared" si="55"/>
        <v>5.6188651793602107</v>
      </c>
      <c r="FI43" s="184">
        <f t="shared" si="56"/>
        <v>350.07973950422632</v>
      </c>
      <c r="FJ43" s="184">
        <f t="shared" si="57"/>
        <v>368.80825573784</v>
      </c>
      <c r="FK43" s="184">
        <f t="shared" si="58"/>
        <v>92.05360636420474</v>
      </c>
      <c r="FL43" s="148">
        <f t="shared" si="59"/>
        <v>258063.16320000001</v>
      </c>
      <c r="FM43" s="148">
        <f t="shared" si="60"/>
        <v>128388.74354999998</v>
      </c>
      <c r="FN43" s="148">
        <f t="shared" si="61"/>
        <v>83508.700000000012</v>
      </c>
      <c r="FP43">
        <f t="shared" si="62"/>
        <v>266.60019961462808</v>
      </c>
      <c r="FQ43">
        <f t="shared" si="63"/>
        <v>810.94160160627109</v>
      </c>
      <c r="FR43" s="148">
        <f>[5]Indicators_NonMan_2018_BEA!U31</f>
        <v>397188.31660999998</v>
      </c>
      <c r="FS43" s="3">
        <f>[5]Indicators_NonMan_2018_BEA!I31</f>
        <v>251542.51386000001</v>
      </c>
      <c r="FU43" s="13">
        <f t="shared" si="64"/>
        <v>0.67121863475255072</v>
      </c>
      <c r="FV43" s="13">
        <f t="shared" si="65"/>
        <v>2.0417055781691995</v>
      </c>
      <c r="FW43" s="13"/>
      <c r="FX43" s="13">
        <f t="shared" si="66"/>
        <v>1.1656185104056936E-3</v>
      </c>
      <c r="FZ43">
        <f t="shared" si="81"/>
        <v>1996</v>
      </c>
      <c r="GA43">
        <f t="shared" si="82"/>
        <v>83508.7</v>
      </c>
      <c r="GB43">
        <f t="shared" si="83"/>
        <v>22899.387030000002</v>
      </c>
    </row>
    <row r="44" spans="3:184" x14ac:dyDescent="0.2">
      <c r="C44">
        <f>'BEA&amp;BLS_Output_data'!E40</f>
        <v>1997</v>
      </c>
      <c r="D44">
        <f>'BEA&amp;BLS_Output_data'!M40</f>
        <v>262777.63919999998</v>
      </c>
      <c r="E44">
        <f>'BEA&amp;BLS_Output_data'!G40</f>
        <v>50852</v>
      </c>
      <c r="F44">
        <f>'BEA&amp;BLS_Output_data'!H40</f>
        <v>40360.1</v>
      </c>
      <c r="G44">
        <f>'BEA&amp;BLS_Output_data'!I40</f>
        <v>33191.1</v>
      </c>
      <c r="H44">
        <f>'BEA&amp;BLS_Output_data'!J40</f>
        <v>86955.4</v>
      </c>
      <c r="I44">
        <f>'BEA&amp;BLS_Output_data'!N40</f>
        <v>132899.12325</v>
      </c>
      <c r="J44">
        <f>'BEA&amp;BLS_Output_data'!O40</f>
        <v>28727.01888</v>
      </c>
      <c r="L44">
        <f>NEA_Data!B74</f>
        <v>1985</v>
      </c>
      <c r="M44">
        <f>NEA_Data!C74</f>
        <v>122.383</v>
      </c>
      <c r="N44">
        <f>NEA_Data!D74</f>
        <v>55.893999999999998</v>
      </c>
      <c r="O44">
        <f>NEA_Data!E74</f>
        <v>54.823</v>
      </c>
      <c r="P44">
        <f>NEA_Data!F74</f>
        <v>39.467999999999996</v>
      </c>
      <c r="Q44">
        <f>NEA_Data!G74</f>
        <v>15.741</v>
      </c>
      <c r="S44">
        <f>NEA_Data!I74</f>
        <v>303.07799999999997</v>
      </c>
      <c r="T44">
        <f>NEA_Data!J74</f>
        <v>95.111000000000004</v>
      </c>
      <c r="U44">
        <f>NEA_Data!K74</f>
        <v>67.525999999999996</v>
      </c>
      <c r="V44">
        <f>NEA_Data!L74</f>
        <v>217.28700000000001</v>
      </c>
      <c r="W44">
        <f>NEA_Data!M74</f>
        <v>145.072</v>
      </c>
      <c r="Z44">
        <f t="shared" si="69"/>
        <v>1997</v>
      </c>
      <c r="AA44" s="206">
        <f t="shared" si="0"/>
        <v>26.277763919999998</v>
      </c>
      <c r="AB44">
        <f>D7</f>
        <v>111.908434232</v>
      </c>
      <c r="AC44">
        <f>O7</f>
        <v>344.50948796388559</v>
      </c>
      <c r="AM44">
        <f t="shared" si="26"/>
        <v>1997</v>
      </c>
      <c r="AN44">
        <f t="shared" si="27"/>
        <v>26.277763919999998</v>
      </c>
      <c r="AO44" s="151">
        <f>AB44/AA44</f>
        <v>4.2586741616483783</v>
      </c>
      <c r="AP44" s="151">
        <f>AC44/AA44</f>
        <v>13.110304553032366</v>
      </c>
      <c r="AQ44" s="3">
        <f t="shared" si="29"/>
        <v>262777.63919999998</v>
      </c>
      <c r="AR44">
        <f t="shared" si="1"/>
        <v>111.90843423199999</v>
      </c>
      <c r="AS44">
        <f t="shared" si="2"/>
        <v>344.50948796388559</v>
      </c>
      <c r="AV44">
        <f t="shared" si="70"/>
        <v>1997</v>
      </c>
      <c r="AW44">
        <f t="shared" si="71"/>
        <v>50.852000000000004</v>
      </c>
      <c r="AX44">
        <f>E7</f>
        <v>38.743635320000003</v>
      </c>
      <c r="AY44">
        <f>P7</f>
        <v>81.963785539079012</v>
      </c>
      <c r="BI44">
        <f t="shared" si="32"/>
        <v>1997</v>
      </c>
      <c r="BJ44">
        <f t="shared" si="33"/>
        <v>50.852000000000004</v>
      </c>
      <c r="BK44" s="151">
        <f>AX44/AW44</f>
        <v>0.76189009911114602</v>
      </c>
      <c r="BL44" s="151">
        <f>AY44/AW44</f>
        <v>1.6118104605340795</v>
      </c>
      <c r="BM44" s="148">
        <f t="shared" si="35"/>
        <v>50852.000000000007</v>
      </c>
      <c r="BN44">
        <f t="shared" si="3"/>
        <v>38.743635320000003</v>
      </c>
      <c r="BO44">
        <f t="shared" si="4"/>
        <v>81.963785539079012</v>
      </c>
      <c r="BR44">
        <f t="shared" si="72"/>
        <v>1997</v>
      </c>
      <c r="BS44">
        <f t="shared" si="73"/>
        <v>403.601</v>
      </c>
      <c r="BT44">
        <f>F7</f>
        <v>68.376435643999997</v>
      </c>
      <c r="BU44">
        <f>Q7</f>
        <v>100.84990431171951</v>
      </c>
      <c r="CE44">
        <f t="shared" si="38"/>
        <v>1997</v>
      </c>
      <c r="CF44">
        <f t="shared" si="39"/>
        <v>403.601</v>
      </c>
      <c r="CG44" s="151">
        <f>BT44/BS44</f>
        <v>0.16941592226976643</v>
      </c>
      <c r="CH44" s="151">
        <f>BU44/BS44</f>
        <v>0.24987525876229125</v>
      </c>
      <c r="CI44" s="148">
        <f t="shared" si="41"/>
        <v>403601</v>
      </c>
      <c r="CJ44">
        <f t="shared" si="5"/>
        <v>68.376435643999997</v>
      </c>
      <c r="CK44">
        <f t="shared" si="6"/>
        <v>100.84990431171951</v>
      </c>
      <c r="CN44">
        <f t="shared" si="74"/>
        <v>1997</v>
      </c>
      <c r="CO44">
        <f t="shared" si="75"/>
        <v>331.911</v>
      </c>
      <c r="CP44">
        <f>G7</f>
        <v>47.778942284000003</v>
      </c>
      <c r="CQ44">
        <f>R7</f>
        <v>204.0361952754256</v>
      </c>
      <c r="DA44">
        <f t="shared" si="9"/>
        <v>1997</v>
      </c>
      <c r="DB44">
        <f t="shared" si="10"/>
        <v>331.911</v>
      </c>
      <c r="DC44" s="151">
        <f>CP44/CO44</f>
        <v>0.14395106605083893</v>
      </c>
      <c r="DD44" s="151">
        <f>CQ44/CO44</f>
        <v>0.61473164575872929</v>
      </c>
      <c r="DE44" s="148">
        <f t="shared" si="11"/>
        <v>331911</v>
      </c>
      <c r="DF44">
        <f t="shared" si="12"/>
        <v>47.778942284000003</v>
      </c>
      <c r="DG44">
        <f t="shared" si="13"/>
        <v>204.0361952754256</v>
      </c>
      <c r="DJ44">
        <f t="shared" si="76"/>
        <v>1997</v>
      </c>
      <c r="DK44" s="152">
        <f t="shared" si="44"/>
        <v>1328.9912325</v>
      </c>
      <c r="DL44">
        <f t="shared" si="45"/>
        <v>154.89901324800002</v>
      </c>
      <c r="DM44">
        <f t="shared" si="46"/>
        <v>386.84988512622414</v>
      </c>
      <c r="DW44">
        <f t="shared" si="47"/>
        <v>1997</v>
      </c>
      <c r="DX44">
        <f t="shared" si="48"/>
        <v>0.11655382628568245</v>
      </c>
      <c r="DY44">
        <f t="shared" si="49"/>
        <v>0.29108535531758983</v>
      </c>
      <c r="EB44">
        <f t="shared" si="77"/>
        <v>1997</v>
      </c>
      <c r="EC44">
        <f t="shared" si="78"/>
        <v>86.955399999999997</v>
      </c>
      <c r="ED44">
        <f>SUM(I7:M7)</f>
        <v>6.0109647559999999</v>
      </c>
      <c r="EE44">
        <f>SUM(T7:X7)</f>
        <v>95.441024369291199</v>
      </c>
      <c r="EO44">
        <f t="shared" si="16"/>
        <v>1997</v>
      </c>
      <c r="EP44">
        <f t="shared" si="17"/>
        <v>86.955399999999997</v>
      </c>
      <c r="EQ44" s="151">
        <f>ED44/EC44</f>
        <v>6.9126986432124976E-2</v>
      </c>
      <c r="ER44" s="151">
        <f>EE44/EC44</f>
        <v>1.0975859391054632</v>
      </c>
      <c r="ES44" s="148">
        <f t="shared" si="50"/>
        <v>86955.4</v>
      </c>
      <c r="ET44">
        <f t="shared" si="20"/>
        <v>6.0109647559999999</v>
      </c>
      <c r="EU44">
        <f t="shared" si="21"/>
        <v>95.441024369291199</v>
      </c>
      <c r="EX44">
        <f t="shared" si="79"/>
        <v>1997</v>
      </c>
      <c r="EY44" s="152">
        <f t="shared" si="51"/>
        <v>0.38743635320000003</v>
      </c>
      <c r="EZ44">
        <f t="shared" si="22"/>
        <v>337.94206623231611</v>
      </c>
      <c r="FA44">
        <f t="shared" si="23"/>
        <v>92.588554498221342</v>
      </c>
      <c r="FE44">
        <f t="shared" si="52"/>
        <v>1997</v>
      </c>
      <c r="FF44" s="184">
        <f t="shared" si="53"/>
        <v>111.90843423199999</v>
      </c>
      <c r="FG44" s="184">
        <f t="shared" si="54"/>
        <v>154.89901324800002</v>
      </c>
      <c r="FH44" s="184">
        <f t="shared" si="55"/>
        <v>6.0109647559999999</v>
      </c>
      <c r="FI44" s="184">
        <f t="shared" si="56"/>
        <v>344.50948796388559</v>
      </c>
      <c r="FJ44" s="184">
        <f t="shared" si="57"/>
        <v>386.84988512622414</v>
      </c>
      <c r="FK44" s="184">
        <f t="shared" si="58"/>
        <v>95.441024369291199</v>
      </c>
      <c r="FL44" s="148">
        <f t="shared" si="59"/>
        <v>262777.63919999998</v>
      </c>
      <c r="FM44" s="148">
        <f t="shared" si="60"/>
        <v>132899.12325</v>
      </c>
      <c r="FN44" s="148">
        <f t="shared" si="61"/>
        <v>86955.4</v>
      </c>
      <c r="FP44">
        <f t="shared" si="62"/>
        <v>272.81841223600003</v>
      </c>
      <c r="FQ44">
        <f t="shared" si="63"/>
        <v>826.80039745940098</v>
      </c>
      <c r="FR44" s="148">
        <f>[5]Indicators_NonMan_2018_BEA!U32</f>
        <v>416143.79168999998</v>
      </c>
      <c r="FS44" s="3">
        <f>[5]Indicators_NonMan_2018_BEA!I32</f>
        <v>263964.10062000004</v>
      </c>
      <c r="FU44" s="13">
        <f t="shared" si="64"/>
        <v>0.65558688531206533</v>
      </c>
      <c r="FV44" s="13">
        <f t="shared" si="65"/>
        <v>1.9868142069395895</v>
      </c>
      <c r="FW44" s="13"/>
      <c r="FX44" s="13">
        <f t="shared" si="66"/>
        <v>1.1655382628568244E-3</v>
      </c>
      <c r="FZ44">
        <f t="shared" si="81"/>
        <v>1997</v>
      </c>
      <c r="GA44">
        <f t="shared" si="82"/>
        <v>86955.4</v>
      </c>
      <c r="GB44">
        <f t="shared" si="83"/>
        <v>28727.01888</v>
      </c>
    </row>
    <row r="45" spans="3:184" x14ac:dyDescent="0.2">
      <c r="C45">
        <f>'BEA&amp;BLS_Output_data'!E41</f>
        <v>1998</v>
      </c>
      <c r="D45">
        <f>'BEA&amp;BLS_Output_data'!M41</f>
        <v>255916.26336000001</v>
      </c>
      <c r="E45">
        <f>'BEA&amp;BLS_Output_data'!G41</f>
        <v>51075.3</v>
      </c>
      <c r="F45">
        <f>'BEA&amp;BLS_Output_data'!H41</f>
        <v>45213.1</v>
      </c>
      <c r="G45">
        <f>'BEA&amp;BLS_Output_data'!I41</f>
        <v>34525.4</v>
      </c>
      <c r="H45">
        <f>'BEA&amp;BLS_Output_data'!J41</f>
        <v>85243.1</v>
      </c>
      <c r="I45">
        <f>'BEA&amp;BLS_Output_data'!N41</f>
        <v>135391.17660000001</v>
      </c>
      <c r="J45">
        <f>'BEA&amp;BLS_Output_data'!O41</f>
        <v>28963.393160000003</v>
      </c>
      <c r="Z45">
        <f t="shared" si="69"/>
        <v>1998</v>
      </c>
      <c r="AA45" s="206">
        <f t="shared" si="0"/>
        <v>25.591626336000001</v>
      </c>
      <c r="AM45">
        <f t="shared" si="26"/>
        <v>1998</v>
      </c>
      <c r="AN45">
        <f t="shared" si="27"/>
        <v>25.591626336000001</v>
      </c>
      <c r="AO45">
        <f>0.8*AO44+0.2*AO49</f>
        <v>4.2057947100180808</v>
      </c>
      <c r="AP45">
        <f>0.8*AP44+0.2*AP49</f>
        <v>13.229760354280465</v>
      </c>
      <c r="AQ45" s="3">
        <f t="shared" si="29"/>
        <v>255916.26336000001</v>
      </c>
      <c r="AR45">
        <f t="shared" si="1"/>
        <v>107.6331266647082</v>
      </c>
      <c r="AS45">
        <f t="shared" si="2"/>
        <v>338.57108350157267</v>
      </c>
      <c r="AV45">
        <f t="shared" si="70"/>
        <v>1998</v>
      </c>
      <c r="AW45">
        <f t="shared" si="71"/>
        <v>51.075300000000006</v>
      </c>
      <c r="BI45">
        <f t="shared" si="32"/>
        <v>1998</v>
      </c>
      <c r="BJ45">
        <f t="shared" si="33"/>
        <v>51.075300000000006</v>
      </c>
      <c r="BK45">
        <f>0.8*BK44+0.2*BK49</f>
        <v>0.75818818425587031</v>
      </c>
      <c r="BL45">
        <f>0.8*BL44+0.2*BL49</f>
        <v>1.5585962704719247</v>
      </c>
      <c r="BM45" s="148">
        <f t="shared" si="35"/>
        <v>51075.3</v>
      </c>
      <c r="BN45">
        <f t="shared" si="3"/>
        <v>38.724688967323857</v>
      </c>
      <c r="BO45">
        <f t="shared" si="4"/>
        <v>79.605772093234705</v>
      </c>
      <c r="BR45">
        <f t="shared" si="72"/>
        <v>1998</v>
      </c>
      <c r="BS45">
        <f t="shared" si="73"/>
        <v>452.13099999999997</v>
      </c>
      <c r="CE45">
        <f t="shared" si="38"/>
        <v>1998</v>
      </c>
      <c r="CF45">
        <f t="shared" si="39"/>
        <v>452.13099999999997</v>
      </c>
      <c r="CG45">
        <f>0.8*CG44+0.2*CG49</f>
        <v>0.1652239295986182</v>
      </c>
      <c r="CH45">
        <f>0.8*CH44+0.2*CH49</f>
        <v>0.23556848163886196</v>
      </c>
      <c r="CI45" s="148">
        <f t="shared" si="41"/>
        <v>452131</v>
      </c>
      <c r="CJ45">
        <f t="shared" si="5"/>
        <v>74.702860513352846</v>
      </c>
      <c r="CK45">
        <f t="shared" si="6"/>
        <v>106.50781317186029</v>
      </c>
      <c r="CN45">
        <f t="shared" si="74"/>
        <v>1998</v>
      </c>
      <c r="CO45">
        <f t="shared" si="75"/>
        <v>345.25400000000002</v>
      </c>
      <c r="DA45">
        <f t="shared" si="9"/>
        <v>1998</v>
      </c>
      <c r="DB45">
        <f t="shared" si="10"/>
        <v>345.25400000000002</v>
      </c>
      <c r="DC45">
        <f>0.8*DC44+0.2*DC49</f>
        <v>0.14064103969136812</v>
      </c>
      <c r="DD45">
        <f>0.8*DD44+0.2*DD49</f>
        <v>0.58574869604838364</v>
      </c>
      <c r="DE45" s="148">
        <f t="shared" si="11"/>
        <v>345254</v>
      </c>
      <c r="DF45">
        <f t="shared" si="12"/>
        <v>48.556881517603614</v>
      </c>
      <c r="DG45">
        <f t="shared" si="13"/>
        <v>202.23208030548867</v>
      </c>
      <c r="DJ45">
        <f t="shared" si="76"/>
        <v>1998</v>
      </c>
      <c r="DK45" s="152">
        <f t="shared" si="44"/>
        <v>1353.9117660000002</v>
      </c>
      <c r="DL45">
        <f t="shared" si="45"/>
        <v>161.98443099828032</v>
      </c>
      <c r="DM45">
        <f t="shared" si="46"/>
        <v>388.34566557058366</v>
      </c>
      <c r="DW45">
        <f t="shared" si="47"/>
        <v>1998</v>
      </c>
      <c r="DX45">
        <f t="shared" si="48"/>
        <v>0.11964179281552997</v>
      </c>
      <c r="DY45">
        <f t="shared" si="49"/>
        <v>0.28683232934588709</v>
      </c>
      <c r="EB45">
        <f t="shared" si="77"/>
        <v>1998</v>
      </c>
      <c r="EC45">
        <f t="shared" si="78"/>
        <v>85.243100000000013</v>
      </c>
      <c r="EO45">
        <f t="shared" si="16"/>
        <v>1998</v>
      </c>
      <c r="EP45">
        <f t="shared" si="17"/>
        <v>85.243100000000013</v>
      </c>
      <c r="EQ45">
        <f>0.8*EQ44+0.2*EQ49</f>
        <v>6.9384060481498935E-2</v>
      </c>
      <c r="ER45">
        <f>0.8*ER44+0.2*ER49</f>
        <v>1.0810671840518811</v>
      </c>
      <c r="ES45" s="148">
        <f t="shared" si="50"/>
        <v>85243.1</v>
      </c>
      <c r="ET45">
        <f t="shared" si="20"/>
        <v>5.9145124060304628</v>
      </c>
      <c r="EU45">
        <f t="shared" si="21"/>
        <v>92.153518076852919</v>
      </c>
      <c r="EX45">
        <f t="shared" si="79"/>
        <v>1998</v>
      </c>
      <c r="EY45" s="152">
        <f t="shared" si="51"/>
        <v>0</v>
      </c>
      <c r="EZ45">
        <f t="shared" si="22"/>
        <v>350.23358318661974</v>
      </c>
      <c r="FA45">
        <f t="shared" si="23"/>
        <v>74.717517760898048</v>
      </c>
      <c r="FE45">
        <f t="shared" si="52"/>
        <v>1998</v>
      </c>
      <c r="FF45" s="184">
        <f t="shared" si="53"/>
        <v>107.6331266647082</v>
      </c>
      <c r="FG45" s="184">
        <f t="shared" si="54"/>
        <v>161.98443099828032</v>
      </c>
      <c r="FH45" s="184">
        <f t="shared" si="55"/>
        <v>5.9145124060304628</v>
      </c>
      <c r="FI45" s="184">
        <f t="shared" si="56"/>
        <v>338.57108350157267</v>
      </c>
      <c r="FJ45" s="184">
        <f t="shared" si="57"/>
        <v>388.34566557058366</v>
      </c>
      <c r="FK45" s="184">
        <f t="shared" si="58"/>
        <v>92.153518076852919</v>
      </c>
      <c r="FL45" s="148">
        <f t="shared" si="59"/>
        <v>255916.26336000001</v>
      </c>
      <c r="FM45" s="148">
        <f t="shared" si="60"/>
        <v>135391.17660000001</v>
      </c>
      <c r="FN45" s="148">
        <f t="shared" si="61"/>
        <v>85243.1</v>
      </c>
      <c r="FP45">
        <f t="shared" si="62"/>
        <v>275.53207006901897</v>
      </c>
      <c r="FQ45">
        <f t="shared" si="63"/>
        <v>819.07026714900928</v>
      </c>
      <c r="FR45" s="148">
        <f>[5]Indicators_NonMan_2018_BEA!U33</f>
        <v>413550.59442000004</v>
      </c>
      <c r="FS45" s="3">
        <f>[5]Indicators_NonMan_2018_BEA!I33</f>
        <v>274623.98920000001</v>
      </c>
      <c r="FU45" s="13">
        <f t="shared" si="64"/>
        <v>0.66625963977986669</v>
      </c>
      <c r="FV45" s="13">
        <f t="shared" si="65"/>
        <v>1.9805805582210467</v>
      </c>
      <c r="FW45" s="13"/>
      <c r="FX45" s="13">
        <f t="shared" si="66"/>
        <v>1.1964179281552998E-3</v>
      </c>
      <c r="FZ45">
        <f t="shared" si="81"/>
        <v>1998</v>
      </c>
      <c r="GA45">
        <f t="shared" si="82"/>
        <v>85243.1</v>
      </c>
      <c r="GB45">
        <f t="shared" si="83"/>
        <v>28963.393160000003</v>
      </c>
    </row>
    <row r="46" spans="3:184" x14ac:dyDescent="0.2">
      <c r="C46">
        <f>'BEA&amp;BLS_Output_data'!E42</f>
        <v>1999</v>
      </c>
      <c r="D46">
        <f>'BEA&amp;BLS_Output_data'!M42</f>
        <v>250552.64028000002</v>
      </c>
      <c r="E46">
        <f>'BEA&amp;BLS_Output_data'!G42</f>
        <v>50191.5</v>
      </c>
      <c r="F46">
        <f>'BEA&amp;BLS_Output_data'!H42</f>
        <v>42828.3</v>
      </c>
      <c r="G46">
        <f>'BEA&amp;BLS_Output_data'!I42</f>
        <v>35047.300000000003</v>
      </c>
      <c r="H46">
        <f>'BEA&amp;BLS_Output_data'!J42</f>
        <v>69785.5</v>
      </c>
      <c r="I46">
        <f>'BEA&amp;BLS_Output_data'!N42</f>
        <v>132152.3799</v>
      </c>
      <c r="J46">
        <f>'BEA&amp;BLS_Output_data'!O42</f>
        <v>23399.796410000003</v>
      </c>
      <c r="Z46">
        <f t="shared" si="69"/>
        <v>1999</v>
      </c>
      <c r="AA46" s="206">
        <f t="shared" si="0"/>
        <v>25.055264028000003</v>
      </c>
      <c r="AM46">
        <f t="shared" si="26"/>
        <v>1999</v>
      </c>
      <c r="AN46">
        <f t="shared" si="27"/>
        <v>25.055264028000003</v>
      </c>
      <c r="AO46">
        <f>0.6*AO44+0.4*AO49</f>
        <v>4.1529152583877842</v>
      </c>
      <c r="AP46">
        <f>0.6*AP44+0.4*AP49</f>
        <v>13.349216155528563</v>
      </c>
      <c r="AQ46" s="3">
        <f t="shared" si="29"/>
        <v>250552.64028000002</v>
      </c>
      <c r="AR46">
        <f t="shared" si="1"/>
        <v>104.05238828481579</v>
      </c>
      <c r="AS46">
        <f t="shared" si="2"/>
        <v>334.46813534361132</v>
      </c>
      <c r="AV46">
        <f t="shared" si="70"/>
        <v>1999</v>
      </c>
      <c r="AW46">
        <f t="shared" si="71"/>
        <v>50.191499999999998</v>
      </c>
      <c r="BI46">
        <f t="shared" si="32"/>
        <v>1999</v>
      </c>
      <c r="BJ46">
        <f t="shared" si="33"/>
        <v>50.191499999999998</v>
      </c>
      <c r="BK46">
        <f>0.6*BK44+0.4*BK49</f>
        <v>0.75448626940059471</v>
      </c>
      <c r="BL46">
        <f>0.6*BL44+0.4*BL49</f>
        <v>1.5053820804097695</v>
      </c>
      <c r="BM46" s="148">
        <f t="shared" si="35"/>
        <v>50191.5</v>
      </c>
      <c r="BN46">
        <f t="shared" si="3"/>
        <v>37.868797590619948</v>
      </c>
      <c r="BO46">
        <f t="shared" si="4"/>
        <v>75.557384688886941</v>
      </c>
      <c r="BR46">
        <f t="shared" si="72"/>
        <v>1999</v>
      </c>
      <c r="BS46">
        <f t="shared" si="73"/>
        <v>428.28300000000002</v>
      </c>
      <c r="CE46">
        <f t="shared" si="38"/>
        <v>1999</v>
      </c>
      <c r="CF46">
        <f t="shared" si="39"/>
        <v>428.28300000000002</v>
      </c>
      <c r="CG46">
        <f>0.6*CG44+0.4*CG49</f>
        <v>0.16103193692746995</v>
      </c>
      <c r="CH46">
        <f>0.6*CH44+0.4*CH49</f>
        <v>0.22126170451543259</v>
      </c>
      <c r="CI46" s="148">
        <f t="shared" si="41"/>
        <v>428283</v>
      </c>
      <c r="CJ46">
        <f t="shared" si="5"/>
        <v>68.96724104310762</v>
      </c>
      <c r="CK46">
        <f t="shared" si="6"/>
        <v>94.762626594983018</v>
      </c>
      <c r="CN46">
        <f t="shared" si="74"/>
        <v>1999</v>
      </c>
      <c r="CO46">
        <f t="shared" si="75"/>
        <v>350.47300000000001</v>
      </c>
      <c r="DA46">
        <f t="shared" si="9"/>
        <v>1999</v>
      </c>
      <c r="DB46">
        <f t="shared" si="10"/>
        <v>350.47300000000001</v>
      </c>
      <c r="DC46">
        <f>0.6*DC44+0.4*DC49</f>
        <v>0.13733101333189729</v>
      </c>
      <c r="DD46">
        <f>0.6*DD44+0.4*DD49</f>
        <v>0.55676574633803799</v>
      </c>
      <c r="DE46" s="148">
        <f t="shared" si="11"/>
        <v>350473</v>
      </c>
      <c r="DF46">
        <f t="shared" si="12"/>
        <v>48.130812235470039</v>
      </c>
      <c r="DG46">
        <f t="shared" si="13"/>
        <v>195.1313614163312</v>
      </c>
      <c r="DJ46">
        <f t="shared" si="76"/>
        <v>1999</v>
      </c>
      <c r="DK46" s="152">
        <f t="shared" si="44"/>
        <v>1321.5237990000001</v>
      </c>
      <c r="DL46">
        <f t="shared" si="45"/>
        <v>154.9668508691976</v>
      </c>
      <c r="DM46">
        <f t="shared" si="46"/>
        <v>365.4513727002012</v>
      </c>
      <c r="DW46">
        <f t="shared" si="47"/>
        <v>1999</v>
      </c>
      <c r="DX46">
        <f t="shared" si="48"/>
        <v>0.11726376096023496</v>
      </c>
      <c r="DY46">
        <f t="shared" si="49"/>
        <v>0.27653786710215816</v>
      </c>
      <c r="EB46">
        <f t="shared" si="77"/>
        <v>1999</v>
      </c>
      <c r="EC46">
        <f t="shared" si="78"/>
        <v>69.785499999999999</v>
      </c>
      <c r="EO46">
        <f t="shared" si="16"/>
        <v>1999</v>
      </c>
      <c r="EP46">
        <f t="shared" si="17"/>
        <v>69.785499999999999</v>
      </c>
      <c r="EQ46">
        <f>0.6*EQ44+0.4*EQ49</f>
        <v>6.9641134530872881E-2</v>
      </c>
      <c r="ER46">
        <f>0.6*ER44+0.4*ER49</f>
        <v>1.0645484289982989</v>
      </c>
      <c r="ES46" s="148">
        <f t="shared" si="50"/>
        <v>69785.5</v>
      </c>
      <c r="ET46">
        <f t="shared" si="20"/>
        <v>4.8599413938042293</v>
      </c>
      <c r="EU46">
        <f t="shared" si="21"/>
        <v>74.290044391860789</v>
      </c>
      <c r="EX46">
        <f t="shared" si="79"/>
        <v>1999</v>
      </c>
      <c r="EY46" s="152">
        <f t="shared" si="51"/>
        <v>0</v>
      </c>
      <c r="EZ46">
        <f t="shared" si="22"/>
        <v>356.26861948049805</v>
      </c>
      <c r="FA46">
        <f t="shared" si="23"/>
        <v>85.553179517517975</v>
      </c>
      <c r="FE46">
        <f t="shared" si="52"/>
        <v>1999</v>
      </c>
      <c r="FF46" s="184">
        <f t="shared" si="53"/>
        <v>104.05238828481579</v>
      </c>
      <c r="FG46" s="184">
        <f t="shared" si="54"/>
        <v>154.9668508691976</v>
      </c>
      <c r="FH46" s="184">
        <f t="shared" si="55"/>
        <v>4.8599413938042293</v>
      </c>
      <c r="FI46" s="184">
        <f t="shared" si="56"/>
        <v>334.46813534361132</v>
      </c>
      <c r="FJ46" s="184">
        <f t="shared" si="57"/>
        <v>365.4513727002012</v>
      </c>
      <c r="FK46" s="184">
        <f t="shared" si="58"/>
        <v>74.290044391860789</v>
      </c>
      <c r="FL46" s="148">
        <f t="shared" si="59"/>
        <v>250552.64028000002</v>
      </c>
      <c r="FM46" s="148">
        <f t="shared" si="60"/>
        <v>132152.3799</v>
      </c>
      <c r="FN46" s="148">
        <f t="shared" si="61"/>
        <v>69785.5</v>
      </c>
      <c r="FP46">
        <f t="shared" si="62"/>
        <v>263.87918054781761</v>
      </c>
      <c r="FQ46">
        <f t="shared" si="63"/>
        <v>774.20955243567334</v>
      </c>
      <c r="FR46" s="148">
        <f>[5]Indicators_NonMan_2018_BEA!U34</f>
        <v>394306.98631000007</v>
      </c>
      <c r="FS46" s="3">
        <f>[5]Indicators_NonMan_2018_BEA!I34</f>
        <v>266346.51934</v>
      </c>
      <c r="FU46" s="13">
        <f t="shared" si="64"/>
        <v>0.66922268615438263</v>
      </c>
      <c r="FV46" s="13">
        <f t="shared" si="65"/>
        <v>1.9634690211321739</v>
      </c>
      <c r="FW46" s="13"/>
      <c r="FX46" s="13">
        <f t="shared" si="66"/>
        <v>1.1726376096023497E-3</v>
      </c>
      <c r="FZ46">
        <f t="shared" si="81"/>
        <v>1999</v>
      </c>
      <c r="GA46">
        <f t="shared" si="82"/>
        <v>69785.5</v>
      </c>
      <c r="GB46">
        <f t="shared" si="83"/>
        <v>23399.796410000003</v>
      </c>
    </row>
    <row r="47" spans="3:184" x14ac:dyDescent="0.2">
      <c r="C47">
        <f>'BEA&amp;BLS_Output_data'!E43</f>
        <v>2000</v>
      </c>
      <c r="D47">
        <f>'BEA&amp;BLS_Output_data'!M43</f>
        <v>260598.10067999997</v>
      </c>
      <c r="E47">
        <f>'BEA&amp;BLS_Output_data'!G43</f>
        <v>51202.2</v>
      </c>
      <c r="F47">
        <f>'BEA&amp;BLS_Output_data'!H43</f>
        <v>40076.699999999997</v>
      </c>
      <c r="G47">
        <f>'BEA&amp;BLS_Output_data'!I43</f>
        <v>37362.9</v>
      </c>
      <c r="H47">
        <f>'BEA&amp;BLS_Output_data'!J43</f>
        <v>81237.5</v>
      </c>
      <c r="I47">
        <f>'BEA&amp;BLS_Output_data'!N43</f>
        <v>134013.62834999998</v>
      </c>
      <c r="J47">
        <f>'BEA&amp;BLS_Output_data'!O43</f>
        <v>29019.972110000002</v>
      </c>
      <c r="Z47">
        <f t="shared" si="69"/>
        <v>2000</v>
      </c>
      <c r="AA47" s="206">
        <f t="shared" si="0"/>
        <v>26.059810067999997</v>
      </c>
      <c r="AM47">
        <f t="shared" si="26"/>
        <v>2000</v>
      </c>
      <c r="AN47">
        <f t="shared" si="27"/>
        <v>26.059810067999997</v>
      </c>
      <c r="AO47">
        <f>0.4*AO44+0.6*AO49</f>
        <v>4.1000358067574867</v>
      </c>
      <c r="AP47">
        <f>0.4*AP44+0.6*AP49</f>
        <v>13.46867195677666</v>
      </c>
      <c r="AQ47" s="3">
        <f t="shared" si="29"/>
        <v>260598.10067999997</v>
      </c>
      <c r="AR47">
        <f t="shared" si="1"/>
        <v>106.84615439609924</v>
      </c>
      <c r="AS47">
        <f t="shared" si="2"/>
        <v>350.99103306179762</v>
      </c>
      <c r="AV47">
        <f t="shared" si="70"/>
        <v>2000</v>
      </c>
      <c r="AW47">
        <f t="shared" si="71"/>
        <v>51.202199999999998</v>
      </c>
      <c r="BI47">
        <f t="shared" si="32"/>
        <v>2000</v>
      </c>
      <c r="BJ47">
        <f t="shared" si="33"/>
        <v>51.202199999999998</v>
      </c>
      <c r="BK47">
        <f>0.4*BK44+0.6*BK49</f>
        <v>0.750784354545319</v>
      </c>
      <c r="BL47">
        <f>0.4*BL44+0.6*BL49</f>
        <v>1.452167890347615</v>
      </c>
      <c r="BM47" s="148">
        <f t="shared" si="35"/>
        <v>51202.2</v>
      </c>
      <c r="BN47">
        <f t="shared" si="3"/>
        <v>38.441810678300328</v>
      </c>
      <c r="BO47">
        <f t="shared" si="4"/>
        <v>74.354190755156651</v>
      </c>
      <c r="BR47">
        <f t="shared" si="72"/>
        <v>2000</v>
      </c>
      <c r="BS47">
        <f t="shared" si="73"/>
        <v>400.767</v>
      </c>
      <c r="CE47">
        <f t="shared" si="38"/>
        <v>2000</v>
      </c>
      <c r="CF47">
        <f t="shared" si="39"/>
        <v>400.767</v>
      </c>
      <c r="CG47">
        <f>0.4*CG44+0.6*CG49</f>
        <v>0.1568399442563217</v>
      </c>
      <c r="CH47">
        <f>0.4*CH44+0.6*CH49</f>
        <v>0.20695492739200327</v>
      </c>
      <c r="CI47" s="148">
        <f t="shared" si="41"/>
        <v>400767</v>
      </c>
      <c r="CJ47">
        <f t="shared" si="5"/>
        <v>62.856273939773274</v>
      </c>
      <c r="CK47">
        <f t="shared" si="6"/>
        <v>82.940705386110977</v>
      </c>
      <c r="CN47">
        <f t="shared" si="74"/>
        <v>2000</v>
      </c>
      <c r="CO47">
        <f t="shared" si="75"/>
        <v>373.62900000000002</v>
      </c>
      <c r="DA47">
        <f t="shared" si="9"/>
        <v>2000</v>
      </c>
      <c r="DB47">
        <f t="shared" si="10"/>
        <v>373.62900000000002</v>
      </c>
      <c r="DC47">
        <f>0.4*DC44+0.6*DC49</f>
        <v>0.13402098697242645</v>
      </c>
      <c r="DD47">
        <f>0.4*DD44+0.6*DD49</f>
        <v>0.52778279662769234</v>
      </c>
      <c r="DE47" s="148">
        <f t="shared" si="11"/>
        <v>373629</v>
      </c>
      <c r="DF47">
        <f t="shared" si="12"/>
        <v>50.074127341520729</v>
      </c>
      <c r="DG47">
        <f t="shared" si="13"/>
        <v>197.19495852120806</v>
      </c>
      <c r="DJ47">
        <f t="shared" si="76"/>
        <v>2000</v>
      </c>
      <c r="DK47" s="152">
        <f t="shared" si="44"/>
        <v>1340.1362834999998</v>
      </c>
      <c r="DL47">
        <f t="shared" si="45"/>
        <v>151.37221195959432</v>
      </c>
      <c r="DM47">
        <f t="shared" si="46"/>
        <v>354.48985466247569</v>
      </c>
      <c r="DW47">
        <f t="shared" si="47"/>
        <v>2000</v>
      </c>
      <c r="DX47">
        <f t="shared" si="48"/>
        <v>0.11295284951487126</v>
      </c>
      <c r="DY47">
        <f t="shared" si="49"/>
        <v>0.26451776511614444</v>
      </c>
      <c r="EB47">
        <f t="shared" si="77"/>
        <v>2000</v>
      </c>
      <c r="EC47">
        <f t="shared" si="78"/>
        <v>81.237499999999997</v>
      </c>
      <c r="EO47">
        <f t="shared" si="16"/>
        <v>2000</v>
      </c>
      <c r="EP47">
        <f t="shared" si="17"/>
        <v>81.237499999999997</v>
      </c>
      <c r="EQ47">
        <f>0.4*EQ44+0.6*EQ49</f>
        <v>6.9898208580246826E-2</v>
      </c>
      <c r="ER47">
        <f>0.4*ER44+0.6*ER49</f>
        <v>1.0480296739447168</v>
      </c>
      <c r="ES47" s="148">
        <f t="shared" si="50"/>
        <v>81237.5</v>
      </c>
      <c r="ET47">
        <f t="shared" si="20"/>
        <v>5.6783557195378016</v>
      </c>
      <c r="EU47">
        <f t="shared" si="21"/>
        <v>85.139310637083923</v>
      </c>
      <c r="EX47">
        <f t="shared" si="79"/>
        <v>2000</v>
      </c>
      <c r="EY47" s="152">
        <f t="shared" si="51"/>
        <v>0</v>
      </c>
      <c r="EZ47">
        <f t="shared" si="22"/>
        <v>380.22995548027183</v>
      </c>
      <c r="FA47">
        <f t="shared" si="23"/>
        <v>95.793287437692044</v>
      </c>
      <c r="FE47">
        <f t="shared" si="52"/>
        <v>2000</v>
      </c>
      <c r="FF47" s="184">
        <f t="shared" si="53"/>
        <v>106.84615439609924</v>
      </c>
      <c r="FG47" s="184">
        <f t="shared" si="54"/>
        <v>151.37221195959432</v>
      </c>
      <c r="FH47" s="184">
        <f t="shared" si="55"/>
        <v>5.6783557195378016</v>
      </c>
      <c r="FI47" s="184">
        <f t="shared" si="56"/>
        <v>350.99103306179762</v>
      </c>
      <c r="FJ47" s="184">
        <f t="shared" si="57"/>
        <v>354.48985466247569</v>
      </c>
      <c r="FK47" s="184">
        <f t="shared" si="58"/>
        <v>85.139310637083923</v>
      </c>
      <c r="FL47" s="148">
        <f t="shared" si="59"/>
        <v>260598.10067999997</v>
      </c>
      <c r="FM47" s="148">
        <f t="shared" si="60"/>
        <v>134013.62834999998</v>
      </c>
      <c r="FN47" s="148">
        <f t="shared" si="61"/>
        <v>81237.5</v>
      </c>
      <c r="FP47">
        <f t="shared" si="62"/>
        <v>263.89672207523137</v>
      </c>
      <c r="FQ47">
        <f t="shared" si="63"/>
        <v>790.62019836135721</v>
      </c>
      <c r="FR47" s="148">
        <f>[5]Indicators_NonMan_2018_BEA!U35</f>
        <v>414292.38371000002</v>
      </c>
      <c r="FS47" s="3">
        <f>[5]Indicators_NonMan_2018_BEA!I35</f>
        <v>236200.31138</v>
      </c>
      <c r="FU47" s="13">
        <f t="shared" si="64"/>
        <v>0.63698183324546975</v>
      </c>
      <c r="FV47" s="13">
        <f t="shared" si="65"/>
        <v>1.9083628602614677</v>
      </c>
      <c r="FW47" s="13"/>
      <c r="FX47" s="13">
        <f t="shared" si="66"/>
        <v>1.1295284951487125E-3</v>
      </c>
      <c r="FZ47">
        <f t="shared" si="81"/>
        <v>2000</v>
      </c>
      <c r="GA47">
        <f t="shared" si="82"/>
        <v>81237.5</v>
      </c>
      <c r="GB47">
        <f t="shared" si="83"/>
        <v>29019.972110000002</v>
      </c>
    </row>
    <row r="48" spans="3:184" x14ac:dyDescent="0.2">
      <c r="C48">
        <f>'BEA&amp;BLS_Output_data'!E44</f>
        <v>2001</v>
      </c>
      <c r="D48">
        <f>'BEA&amp;BLS_Output_data'!M44</f>
        <v>270494.87375999999</v>
      </c>
      <c r="E48">
        <f>'BEA&amp;BLS_Output_data'!G44</f>
        <v>49237.4</v>
      </c>
      <c r="F48">
        <f>'BEA&amp;BLS_Output_data'!H44</f>
        <v>41148.1</v>
      </c>
      <c r="G48">
        <f>'BEA&amp;BLS_Output_data'!I44</f>
        <v>37496.199999999997</v>
      </c>
      <c r="H48">
        <f>'BEA&amp;BLS_Output_data'!J44</f>
        <v>92480.6</v>
      </c>
      <c r="I48">
        <f>'BEA&amp;BLS_Output_data'!N44</f>
        <v>132722.09894999999</v>
      </c>
      <c r="J48">
        <f>'BEA&amp;BLS_Output_data'!O44</f>
        <v>41956.434699999998</v>
      </c>
      <c r="Z48">
        <f t="shared" si="69"/>
        <v>2001</v>
      </c>
      <c r="AA48" s="206">
        <f t="shared" si="0"/>
        <v>27.049487375999998</v>
      </c>
      <c r="AM48">
        <f t="shared" si="26"/>
        <v>2001</v>
      </c>
      <c r="AN48">
        <f t="shared" si="27"/>
        <v>27.049487375999998</v>
      </c>
      <c r="AO48">
        <f>0.2*AO44+0.8*AO49</f>
        <v>4.0471563551271892</v>
      </c>
      <c r="AP48">
        <f>0.2*AP44+0.8*AP49</f>
        <v>13.588127758024759</v>
      </c>
      <c r="AQ48" s="3">
        <f t="shared" si="29"/>
        <v>270494.87375999999</v>
      </c>
      <c r="AR48">
        <f t="shared" si="1"/>
        <v>109.47350473671106</v>
      </c>
      <c r="AS48">
        <f t="shared" si="2"/>
        <v>367.55189025416587</v>
      </c>
      <c r="AV48">
        <f t="shared" si="70"/>
        <v>2001</v>
      </c>
      <c r="AW48">
        <f t="shared" si="71"/>
        <v>49.237400000000001</v>
      </c>
      <c r="BI48">
        <f t="shared" si="32"/>
        <v>2001</v>
      </c>
      <c r="BJ48">
        <f t="shared" si="33"/>
        <v>49.237400000000001</v>
      </c>
      <c r="BK48">
        <f>0.2*BK44+0.8*BK49</f>
        <v>0.74708243969004329</v>
      </c>
      <c r="BL48">
        <f>0.2*BL44+0.8*BL49</f>
        <v>1.39895370028546</v>
      </c>
      <c r="BM48" s="148">
        <f t="shared" si="35"/>
        <v>49237.4</v>
      </c>
      <c r="BN48">
        <f t="shared" si="3"/>
        <v>36.784396915994535</v>
      </c>
      <c r="BO48">
        <f t="shared" si="4"/>
        <v>68.880842922435306</v>
      </c>
      <c r="BR48">
        <f t="shared" si="72"/>
        <v>2001</v>
      </c>
      <c r="BS48">
        <f t="shared" si="73"/>
        <v>411.48099999999999</v>
      </c>
      <c r="CE48">
        <f t="shared" si="38"/>
        <v>2001</v>
      </c>
      <c r="CF48">
        <f t="shared" si="39"/>
        <v>411.48099999999999</v>
      </c>
      <c r="CG48">
        <f>0.2*CG44+0.8*CG49</f>
        <v>0.15264795158517347</v>
      </c>
      <c r="CH48">
        <f>0.2*CH44+0.8*CH49</f>
        <v>0.19264815026857399</v>
      </c>
      <c r="CI48" s="148">
        <f t="shared" si="41"/>
        <v>411481</v>
      </c>
      <c r="CJ48">
        <f t="shared" si="5"/>
        <v>62.811731766218763</v>
      </c>
      <c r="CK48">
        <f t="shared" si="6"/>
        <v>79.271053520663088</v>
      </c>
      <c r="CN48">
        <f t="shared" si="74"/>
        <v>2001</v>
      </c>
      <c r="CO48">
        <f t="shared" si="75"/>
        <v>374.96199999999999</v>
      </c>
      <c r="DA48">
        <f t="shared" si="9"/>
        <v>2001</v>
      </c>
      <c r="DB48">
        <f t="shared" si="10"/>
        <v>374.96199999999999</v>
      </c>
      <c r="DC48">
        <f>0.2*DC44+0.8*DC49</f>
        <v>0.13071096061295565</v>
      </c>
      <c r="DD48">
        <f>0.2*DD44+0.8*DD49</f>
        <v>0.49879984691734669</v>
      </c>
      <c r="DE48" s="148">
        <f t="shared" si="11"/>
        <v>374962</v>
      </c>
      <c r="DF48">
        <f t="shared" si="12"/>
        <v>49.011643213355072</v>
      </c>
      <c r="DG48">
        <f t="shared" si="13"/>
        <v>187.03098819982213</v>
      </c>
      <c r="DJ48">
        <f t="shared" si="76"/>
        <v>2001</v>
      </c>
      <c r="DK48" s="152">
        <f t="shared" si="44"/>
        <v>1327.2209894999999</v>
      </c>
      <c r="DL48">
        <f t="shared" si="45"/>
        <v>148.60777189556836</v>
      </c>
      <c r="DM48">
        <f t="shared" si="46"/>
        <v>335.1828846429205</v>
      </c>
      <c r="DW48">
        <f t="shared" si="47"/>
        <v>2001</v>
      </c>
      <c r="DX48">
        <f t="shared" si="48"/>
        <v>0.11196912426132813</v>
      </c>
      <c r="DY48">
        <f t="shared" si="49"/>
        <v>0.25254489440314909</v>
      </c>
      <c r="EB48">
        <f t="shared" si="77"/>
        <v>2001</v>
      </c>
      <c r="EC48">
        <f t="shared" si="78"/>
        <v>92.48060000000001</v>
      </c>
      <c r="EO48">
        <f t="shared" si="16"/>
        <v>2001</v>
      </c>
      <c r="EP48">
        <f t="shared" si="17"/>
        <v>92.48060000000001</v>
      </c>
      <c r="EQ48">
        <f>0.2*EQ44+0.8*EQ49</f>
        <v>7.0155282629620785E-2</v>
      </c>
      <c r="ER48">
        <f>0.2*ER44+0.8*ER49</f>
        <v>1.0315109188911347</v>
      </c>
      <c r="ES48" s="148">
        <f t="shared" si="50"/>
        <v>92480.6</v>
      </c>
      <c r="ET48">
        <f t="shared" si="20"/>
        <v>6.4880026307569088</v>
      </c>
      <c r="EU48">
        <f t="shared" si="21"/>
        <v>95.394748685603474</v>
      </c>
      <c r="EX48">
        <f t="shared" si="79"/>
        <v>2001</v>
      </c>
      <c r="EY48" s="152">
        <f t="shared" si="51"/>
        <v>0</v>
      </c>
      <c r="EZ48">
        <f t="shared" si="22"/>
        <v>379.90974895626135</v>
      </c>
      <c r="FA48">
        <f t="shared" si="23"/>
        <v>70.090887683051534</v>
      </c>
      <c r="FE48">
        <f t="shared" si="52"/>
        <v>2001</v>
      </c>
      <c r="FF48" s="184">
        <f t="shared" si="53"/>
        <v>109.47350473671106</v>
      </c>
      <c r="FG48" s="184">
        <f t="shared" si="54"/>
        <v>148.60777189556836</v>
      </c>
      <c r="FH48" s="184">
        <f t="shared" si="55"/>
        <v>6.4880026307569088</v>
      </c>
      <c r="FI48" s="184">
        <f t="shared" si="56"/>
        <v>367.55189025416587</v>
      </c>
      <c r="FJ48" s="184">
        <f t="shared" si="57"/>
        <v>335.1828846429205</v>
      </c>
      <c r="FK48" s="184">
        <f t="shared" si="58"/>
        <v>95.394748685603474</v>
      </c>
      <c r="FL48" s="148">
        <f t="shared" si="59"/>
        <v>270494.87375999999</v>
      </c>
      <c r="FM48" s="148">
        <f t="shared" si="60"/>
        <v>132722.09894999999</v>
      </c>
      <c r="FN48" s="148">
        <f t="shared" si="61"/>
        <v>92480.6</v>
      </c>
      <c r="FP48">
        <f t="shared" si="62"/>
        <v>264.56927926303632</v>
      </c>
      <c r="FQ48">
        <f t="shared" si="63"/>
        <v>798.1295235826899</v>
      </c>
      <c r="FR48" s="148">
        <f>[5]Indicators_NonMan_2018_BEA!U36</f>
        <v>440812.88345000002</v>
      </c>
      <c r="FS48" s="3">
        <f>[5]Indicators_NonMan_2018_BEA!I36</f>
        <v>273325.14043999999</v>
      </c>
      <c r="FU48" s="13">
        <f t="shared" si="64"/>
        <v>0.60018499729953012</v>
      </c>
      <c r="FV48" s="13">
        <f t="shared" si="65"/>
        <v>1.8105857463515338</v>
      </c>
      <c r="FW48" s="13"/>
      <c r="FX48" s="13">
        <f t="shared" si="66"/>
        <v>1.1196912426132814E-3</v>
      </c>
      <c r="FZ48">
        <f t="shared" si="81"/>
        <v>2001</v>
      </c>
      <c r="GA48">
        <f t="shared" si="82"/>
        <v>92480.6</v>
      </c>
      <c r="GB48">
        <f t="shared" si="83"/>
        <v>41956.434699999998</v>
      </c>
    </row>
    <row r="49" spans="3:184" x14ac:dyDescent="0.2">
      <c r="C49">
        <f>'BEA&amp;BLS_Output_data'!E45</f>
        <v>2002</v>
      </c>
      <c r="D49">
        <f>'BEA&amp;BLS_Output_data'!M45</f>
        <v>253624.30272000004</v>
      </c>
      <c r="E49">
        <f>'BEA&amp;BLS_Output_data'!G45</f>
        <v>46056.4</v>
      </c>
      <c r="F49">
        <f>'BEA&amp;BLS_Output_data'!H45</f>
        <v>37024.800000000003</v>
      </c>
      <c r="G49">
        <f>'BEA&amp;BLS_Output_data'!I45</f>
        <v>37843.9</v>
      </c>
      <c r="H49">
        <f>'BEA&amp;BLS_Output_data'!J45</f>
        <v>68678</v>
      </c>
      <c r="I49">
        <f>'BEA&amp;BLS_Output_data'!N45</f>
        <v>126496.32885000001</v>
      </c>
      <c r="J49">
        <f>'BEA&amp;BLS_Output_data'!O45</f>
        <v>35351.78527</v>
      </c>
      <c r="Z49">
        <f t="shared" si="69"/>
        <v>2002</v>
      </c>
      <c r="AA49" s="206">
        <f t="shared" si="0"/>
        <v>25.362430272000005</v>
      </c>
      <c r="AB49">
        <f>D8</f>
        <v>101.30456945200001</v>
      </c>
      <c r="AC49">
        <f>O8</f>
        <v>347.65763221967148</v>
      </c>
      <c r="AM49">
        <f t="shared" si="26"/>
        <v>2002</v>
      </c>
      <c r="AN49">
        <f t="shared" si="27"/>
        <v>25.362430272000005</v>
      </c>
      <c r="AO49" s="151">
        <f>AB49/AA49</f>
        <v>3.9942769034968917</v>
      </c>
      <c r="AP49" s="151">
        <f>AC49/AA49</f>
        <v>13.707583559272857</v>
      </c>
      <c r="AQ49" s="3">
        <f t="shared" si="29"/>
        <v>253624.30272000004</v>
      </c>
      <c r="AR49">
        <f t="shared" si="1"/>
        <v>101.30456945200001</v>
      </c>
      <c r="AS49">
        <f t="shared" si="2"/>
        <v>347.65763221967148</v>
      </c>
      <c r="AV49">
        <f t="shared" si="70"/>
        <v>2002</v>
      </c>
      <c r="AW49">
        <f t="shared" si="71"/>
        <v>46.056400000000004</v>
      </c>
      <c r="AX49">
        <f>E8</f>
        <v>34.237430803999992</v>
      </c>
      <c r="AY49">
        <f>P8</f>
        <v>61.979917178648627</v>
      </c>
      <c r="BI49">
        <f t="shared" si="32"/>
        <v>2002</v>
      </c>
      <c r="BJ49">
        <f t="shared" si="33"/>
        <v>46.056400000000004</v>
      </c>
      <c r="BK49" s="151">
        <f>AX49/AW49</f>
        <v>0.74338052483476758</v>
      </c>
      <c r="BL49" s="151">
        <f>AY49/AW49</f>
        <v>1.345739510223305</v>
      </c>
      <c r="BM49" s="148">
        <f t="shared" si="35"/>
        <v>46056.4</v>
      </c>
      <c r="BN49">
        <f t="shared" si="3"/>
        <v>34.237430803999992</v>
      </c>
      <c r="BO49">
        <f t="shared" si="4"/>
        <v>61.979917178648627</v>
      </c>
      <c r="BR49">
        <f t="shared" si="72"/>
        <v>2002</v>
      </c>
      <c r="BS49">
        <f t="shared" si="73"/>
        <v>370.24800000000005</v>
      </c>
      <c r="BT49">
        <f>F8</f>
        <v>54.965521876000011</v>
      </c>
      <c r="BU49">
        <f>Q8</f>
        <v>66.030536724243518</v>
      </c>
      <c r="CE49">
        <f t="shared" si="38"/>
        <v>2002</v>
      </c>
      <c r="CF49">
        <f t="shared" si="39"/>
        <v>370.24800000000005</v>
      </c>
      <c r="CG49" s="151">
        <f>BT49/BS49</f>
        <v>0.14845595891402522</v>
      </c>
      <c r="CH49" s="151">
        <f>BU49/BS49</f>
        <v>0.17834137314514464</v>
      </c>
      <c r="CI49" s="148">
        <f t="shared" si="41"/>
        <v>370248.00000000006</v>
      </c>
      <c r="CJ49">
        <f t="shared" si="5"/>
        <v>54.965521876000018</v>
      </c>
      <c r="CK49">
        <f t="shared" si="6"/>
        <v>66.030536724243518</v>
      </c>
      <c r="CN49">
        <f t="shared" si="74"/>
        <v>2002</v>
      </c>
      <c r="CO49">
        <f t="shared" si="75"/>
        <v>378.43900000000002</v>
      </c>
      <c r="CP49">
        <f>G8</f>
        <v>48.213482157954537</v>
      </c>
      <c r="CQ49">
        <f>R8</f>
        <v>177.79703676212029</v>
      </c>
      <c r="DA49">
        <f t="shared" si="9"/>
        <v>2002</v>
      </c>
      <c r="DB49">
        <f t="shared" si="10"/>
        <v>378.43900000000002</v>
      </c>
      <c r="DC49" s="151">
        <f>CP49/CO49</f>
        <v>0.12740093425348481</v>
      </c>
      <c r="DD49" s="151">
        <f>CQ49/CO49</f>
        <v>0.46981689720700104</v>
      </c>
      <c r="DE49" s="148">
        <f t="shared" si="11"/>
        <v>378439</v>
      </c>
      <c r="DF49">
        <f t="shared" si="12"/>
        <v>48.213482157954537</v>
      </c>
      <c r="DG49">
        <f t="shared" si="13"/>
        <v>177.79703676212029</v>
      </c>
      <c r="DJ49">
        <f t="shared" si="76"/>
        <v>2002</v>
      </c>
      <c r="DK49" s="152">
        <f t="shared" si="44"/>
        <v>1264.9632885000001</v>
      </c>
      <c r="DL49">
        <f t="shared" si="45"/>
        <v>137.41643483795454</v>
      </c>
      <c r="DM49">
        <f t="shared" si="46"/>
        <v>305.80749066501244</v>
      </c>
      <c r="DW49">
        <f t="shared" si="47"/>
        <v>2002</v>
      </c>
      <c r="DX49">
        <f t="shared" si="48"/>
        <v>0.10863274538259814</v>
      </c>
      <c r="DY49">
        <f t="shared" si="49"/>
        <v>0.24175206778343783</v>
      </c>
      <c r="EB49">
        <f t="shared" si="77"/>
        <v>2002</v>
      </c>
      <c r="EC49">
        <f t="shared" si="78"/>
        <v>68.677999999999997</v>
      </c>
      <c r="ED49">
        <f>SUM(I8:M8)</f>
        <v>4.8357798320000001</v>
      </c>
      <c r="EE49">
        <f>SUM(T8:X8)</f>
        <v>69.707631828035431</v>
      </c>
      <c r="EO49">
        <f t="shared" si="16"/>
        <v>2002</v>
      </c>
      <c r="EP49">
        <f t="shared" si="17"/>
        <v>68.677999999999997</v>
      </c>
      <c r="EQ49" s="151">
        <f>ED49/EC49</f>
        <v>7.0412356678994731E-2</v>
      </c>
      <c r="ER49" s="151">
        <f>EE49/EC49</f>
        <v>1.0149921638375525</v>
      </c>
      <c r="ES49" s="148">
        <f t="shared" si="50"/>
        <v>68678</v>
      </c>
      <c r="ET49">
        <f t="shared" si="20"/>
        <v>4.8357798320000001</v>
      </c>
      <c r="EU49">
        <f t="shared" si="21"/>
        <v>69.707631828035431</v>
      </c>
      <c r="EX49">
        <f t="shared" si="79"/>
        <v>2002</v>
      </c>
      <c r="EY49" s="152">
        <f t="shared" si="51"/>
        <v>0.34237430803999991</v>
      </c>
      <c r="EZ49">
        <f t="shared" si="22"/>
        <v>383.99706171736312</v>
      </c>
      <c r="FA49">
        <f t="shared" si="23"/>
        <v>73.05015940703646</v>
      </c>
      <c r="FE49">
        <f t="shared" si="52"/>
        <v>2002</v>
      </c>
      <c r="FF49" s="184">
        <f t="shared" si="53"/>
        <v>101.30456945200001</v>
      </c>
      <c r="FG49" s="184">
        <f t="shared" si="54"/>
        <v>137.41643483795454</v>
      </c>
      <c r="FH49" s="184">
        <f t="shared" si="55"/>
        <v>4.8357798320000001</v>
      </c>
      <c r="FI49" s="184">
        <f t="shared" si="56"/>
        <v>347.65763221967148</v>
      </c>
      <c r="FJ49" s="184">
        <f t="shared" si="57"/>
        <v>305.80749066501244</v>
      </c>
      <c r="FK49" s="184">
        <f t="shared" si="58"/>
        <v>69.707631828035431</v>
      </c>
      <c r="FL49" s="148">
        <f t="shared" si="59"/>
        <v>253624.30272000004</v>
      </c>
      <c r="FM49" s="148">
        <f t="shared" si="60"/>
        <v>126496.32885000001</v>
      </c>
      <c r="FN49" s="148">
        <f t="shared" si="61"/>
        <v>68678</v>
      </c>
      <c r="FP49">
        <f t="shared" si="62"/>
        <v>243.55678412195454</v>
      </c>
      <c r="FQ49">
        <f t="shared" si="63"/>
        <v>723.17275471271944</v>
      </c>
      <c r="FR49" s="148">
        <f>[5]Indicators_NonMan_2018_BEA!U37</f>
        <v>409578.03690000006</v>
      </c>
      <c r="FS49" s="3">
        <f>[5]Indicators_NonMan_2018_BEA!I37</f>
        <v>280554.92014</v>
      </c>
      <c r="FU49" s="13">
        <f t="shared" si="64"/>
        <v>0.59465294078114783</v>
      </c>
      <c r="FV49" s="13">
        <f t="shared" si="65"/>
        <v>1.7656531590078515</v>
      </c>
      <c r="FW49" s="13"/>
      <c r="FX49" s="13">
        <f t="shared" si="66"/>
        <v>1.0863274538259813E-3</v>
      </c>
      <c r="FZ49">
        <f t="shared" si="81"/>
        <v>2002</v>
      </c>
      <c r="GA49">
        <f t="shared" si="82"/>
        <v>68678</v>
      </c>
      <c r="GB49">
        <f t="shared" si="83"/>
        <v>35351.78527</v>
      </c>
    </row>
    <row r="50" spans="3:184" x14ac:dyDescent="0.2">
      <c r="C50">
        <f>'BEA&amp;BLS_Output_data'!E46</f>
        <v>2003</v>
      </c>
      <c r="D50">
        <f>'BEA&amp;BLS_Output_data'!M46</f>
        <v>254019.59340000001</v>
      </c>
      <c r="E50">
        <f>'BEA&amp;BLS_Output_data'!G46</f>
        <v>45653.9</v>
      </c>
      <c r="F50">
        <f>'BEA&amp;BLS_Output_data'!H46</f>
        <v>37166.5</v>
      </c>
      <c r="G50">
        <f>'BEA&amp;BLS_Output_data'!I46</f>
        <v>37366.9</v>
      </c>
      <c r="H50">
        <f>'BEA&amp;BLS_Output_data'!J46</f>
        <v>73652.899999999994</v>
      </c>
      <c r="I50">
        <f>'BEA&amp;BLS_Output_data'!N46</f>
        <v>127178.2464</v>
      </c>
      <c r="J50">
        <f>'BEA&amp;BLS_Output_data'!O46</f>
        <v>41154.270919999995</v>
      </c>
      <c r="Z50">
        <f t="shared" si="69"/>
        <v>2003</v>
      </c>
      <c r="AA50" s="206">
        <f t="shared" si="0"/>
        <v>25.401959340000001</v>
      </c>
      <c r="AM50">
        <f t="shared" si="26"/>
        <v>2003</v>
      </c>
      <c r="AN50">
        <f t="shared" si="27"/>
        <v>25.401959340000001</v>
      </c>
      <c r="AO50">
        <f>0.8*AO49+0.2*AO54</f>
        <v>3.8497512495284165</v>
      </c>
      <c r="AP50">
        <f>0.8*AP49+0.2*AP54</f>
        <v>13.073350136701031</v>
      </c>
      <c r="AQ50" s="3">
        <f t="shared" si="29"/>
        <v>254019.59340000001</v>
      </c>
      <c r="AR50">
        <f t="shared" si="1"/>
        <v>97.791224709635031</v>
      </c>
      <c r="AS50">
        <f t="shared" si="2"/>
        <v>332.08870861006301</v>
      </c>
      <c r="AV50">
        <f t="shared" si="70"/>
        <v>2003</v>
      </c>
      <c r="AW50">
        <f t="shared" si="71"/>
        <v>45.6539</v>
      </c>
      <c r="BI50">
        <f t="shared" si="32"/>
        <v>2003</v>
      </c>
      <c r="BJ50">
        <f t="shared" si="33"/>
        <v>45.6539</v>
      </c>
      <c r="BK50">
        <f>0.8*BK49+0.2*BK54</f>
        <v>0.7232338892316621</v>
      </c>
      <c r="BL50">
        <f>0.8*BL49+0.2*BL54</f>
        <v>1.3519113440956161</v>
      </c>
      <c r="BM50" s="148">
        <f t="shared" si="35"/>
        <v>45653.9</v>
      </c>
      <c r="BN50">
        <f t="shared" si="3"/>
        <v>33.018447655593377</v>
      </c>
      <c r="BO50">
        <f t="shared" si="4"/>
        <v>61.72002531220685</v>
      </c>
      <c r="BR50">
        <f t="shared" si="72"/>
        <v>2003</v>
      </c>
      <c r="BS50">
        <f t="shared" si="73"/>
        <v>371.66500000000002</v>
      </c>
      <c r="CE50">
        <f t="shared" si="38"/>
        <v>2003</v>
      </c>
      <c r="CF50">
        <f t="shared" si="39"/>
        <v>371.66500000000002</v>
      </c>
      <c r="CG50">
        <f>0.8*CG49+0.2*CG54</f>
        <v>0.15854638007609057</v>
      </c>
      <c r="CH50">
        <f>0.8*CH49+0.2*CH54</f>
        <v>0.19353703337875461</v>
      </c>
      <c r="CI50" s="148">
        <f t="shared" si="41"/>
        <v>371665</v>
      </c>
      <c r="CJ50">
        <f t="shared" si="5"/>
        <v>58.926140350980205</v>
      </c>
      <c r="CK50">
        <f t="shared" si="6"/>
        <v>71.930941510714831</v>
      </c>
      <c r="CN50">
        <f t="shared" si="74"/>
        <v>2003</v>
      </c>
      <c r="CO50">
        <f t="shared" si="75"/>
        <v>373.66900000000004</v>
      </c>
      <c r="DA50">
        <f t="shared" si="9"/>
        <v>2003</v>
      </c>
      <c r="DB50">
        <f t="shared" si="10"/>
        <v>373.66900000000004</v>
      </c>
      <c r="DC50">
        <f>0.8*DC49+0.2*DC54</f>
        <v>0.1279379551009007</v>
      </c>
      <c r="DD50">
        <f>0.8*DD49+0.2*DD54</f>
        <v>0.45249794149626715</v>
      </c>
      <c r="DE50" s="148">
        <f t="shared" si="11"/>
        <v>373669.00000000006</v>
      </c>
      <c r="DF50">
        <f t="shared" si="12"/>
        <v>47.806447744598465</v>
      </c>
      <c r="DG50">
        <f t="shared" si="13"/>
        <v>169.08445330096868</v>
      </c>
      <c r="DJ50">
        <f t="shared" si="76"/>
        <v>2003</v>
      </c>
      <c r="DK50" s="152">
        <f t="shared" si="44"/>
        <v>1271.7824640000001</v>
      </c>
      <c r="DL50">
        <f t="shared" si="45"/>
        <v>139.75103575117205</v>
      </c>
      <c r="DM50">
        <f t="shared" si="46"/>
        <v>302.73542012389032</v>
      </c>
      <c r="DW50">
        <f t="shared" si="47"/>
        <v>2003</v>
      </c>
      <c r="DX50">
        <f t="shared" si="48"/>
        <v>0.1098859590433636</v>
      </c>
      <c r="DY50">
        <f t="shared" si="49"/>
        <v>0.23804025349722882</v>
      </c>
      <c r="EB50">
        <f t="shared" si="77"/>
        <v>2003</v>
      </c>
      <c r="EC50">
        <f t="shared" si="78"/>
        <v>73.652900000000002</v>
      </c>
      <c r="EO50">
        <f t="shared" si="16"/>
        <v>2003</v>
      </c>
      <c r="EP50">
        <f t="shared" si="17"/>
        <v>73.652900000000002</v>
      </c>
      <c r="EQ50">
        <f>0.8*EQ49+0.2*EQ54</f>
        <v>7.398797565310393E-2</v>
      </c>
      <c r="ER50">
        <f>0.8*ER49+0.2*ER54</f>
        <v>0.98680440831249738</v>
      </c>
      <c r="ES50" s="148">
        <f t="shared" si="50"/>
        <v>73652.900000000009</v>
      </c>
      <c r="ET50">
        <f t="shared" si="20"/>
        <v>5.4494289719804989</v>
      </c>
      <c r="EU50">
        <f t="shared" si="21"/>
        <v>72.681006404999536</v>
      </c>
      <c r="EX50">
        <f t="shared" si="79"/>
        <v>2003</v>
      </c>
      <c r="EY50" s="152">
        <f t="shared" si="51"/>
        <v>0</v>
      </c>
      <c r="EZ50">
        <f t="shared" si="22"/>
        <v>380.77027446975382</v>
      </c>
      <c r="FA50">
        <f t="shared" si="23"/>
        <v>86.773286749226216</v>
      </c>
      <c r="FE50">
        <f t="shared" si="52"/>
        <v>2003</v>
      </c>
      <c r="FF50" s="184">
        <f t="shared" si="53"/>
        <v>97.791224709635031</v>
      </c>
      <c r="FG50" s="184">
        <f t="shared" si="54"/>
        <v>139.75103575117205</v>
      </c>
      <c r="FH50" s="184">
        <f t="shared" si="55"/>
        <v>5.4494289719804989</v>
      </c>
      <c r="FI50" s="184">
        <f t="shared" si="56"/>
        <v>332.08870861006301</v>
      </c>
      <c r="FJ50" s="184">
        <f t="shared" si="57"/>
        <v>302.73542012389032</v>
      </c>
      <c r="FK50" s="184">
        <f t="shared" si="58"/>
        <v>72.681006404999536</v>
      </c>
      <c r="FL50" s="148">
        <f t="shared" si="59"/>
        <v>254019.59340000001</v>
      </c>
      <c r="FM50" s="148">
        <f t="shared" si="60"/>
        <v>127178.24640000002</v>
      </c>
      <c r="FN50" s="148">
        <f t="shared" si="61"/>
        <v>73652.900000000009</v>
      </c>
      <c r="FP50">
        <f t="shared" si="62"/>
        <v>242.99168943278758</v>
      </c>
      <c r="FQ50">
        <f t="shared" si="63"/>
        <v>707.50513513895282</v>
      </c>
      <c r="FR50" s="148">
        <f>[5]Indicators_NonMan_2018_BEA!U38</f>
        <v>418001.33015999995</v>
      </c>
      <c r="FS50" s="3">
        <f>[5]Indicators_NonMan_2018_BEA!I38</f>
        <v>248435.32318000001</v>
      </c>
      <c r="FU50" s="13">
        <f t="shared" si="64"/>
        <v>0.58131798130828127</v>
      </c>
      <c r="FV50" s="13">
        <f t="shared" si="65"/>
        <v>1.6925906309153091</v>
      </c>
      <c r="FW50" s="13"/>
      <c r="FX50" s="13">
        <f t="shared" si="66"/>
        <v>1.098859590433636E-3</v>
      </c>
      <c r="FZ50">
        <f t="shared" si="81"/>
        <v>2003</v>
      </c>
      <c r="GA50">
        <f t="shared" si="82"/>
        <v>73652.899999999994</v>
      </c>
      <c r="GB50">
        <f t="shared" si="83"/>
        <v>41154.270919999995</v>
      </c>
    </row>
    <row r="51" spans="3:184" x14ac:dyDescent="0.2">
      <c r="C51">
        <f>'BEA&amp;BLS_Output_data'!E47</f>
        <v>2004</v>
      </c>
      <c r="D51">
        <f>'BEA&amp;BLS_Output_data'!M47</f>
        <v>244956.91992000001</v>
      </c>
      <c r="E51">
        <f>'BEA&amp;BLS_Output_data'!G47</f>
        <v>48325.5</v>
      </c>
      <c r="F51">
        <f>'BEA&amp;BLS_Output_data'!H47</f>
        <v>34750.400000000001</v>
      </c>
      <c r="G51">
        <f>'BEA&amp;BLS_Output_data'!I47</f>
        <v>40584.6</v>
      </c>
      <c r="H51">
        <f>'BEA&amp;BLS_Output_data'!J47</f>
        <v>90137.5</v>
      </c>
      <c r="I51">
        <f>'BEA&amp;BLS_Output_data'!N47</f>
        <v>131509.1085</v>
      </c>
      <c r="J51">
        <f>'BEA&amp;BLS_Output_data'!O47</f>
        <v>56081.055240000002</v>
      </c>
      <c r="Z51">
        <f t="shared" si="69"/>
        <v>2004</v>
      </c>
      <c r="AA51" s="206">
        <f t="shared" si="0"/>
        <v>24.495691992000001</v>
      </c>
      <c r="AM51">
        <f t="shared" si="26"/>
        <v>2004</v>
      </c>
      <c r="AN51">
        <f t="shared" si="27"/>
        <v>24.495691992000001</v>
      </c>
      <c r="AO51">
        <f>0.6*AO49+0.4*AO54</f>
        <v>3.7052255955599414</v>
      </c>
      <c r="AP51">
        <f>0.6*AP49+0.4*AP54</f>
        <v>12.439116714129202</v>
      </c>
      <c r="AQ51" s="3">
        <f t="shared" si="29"/>
        <v>244956.91992000001</v>
      </c>
      <c r="AR51">
        <f t="shared" si="1"/>
        <v>90.762064949711089</v>
      </c>
      <c r="AS51">
        <f t="shared" si="2"/>
        <v>304.70477168184806</v>
      </c>
      <c r="AV51">
        <f t="shared" si="70"/>
        <v>2004</v>
      </c>
      <c r="AW51">
        <f t="shared" si="71"/>
        <v>48.325499999999998</v>
      </c>
      <c r="BI51">
        <f t="shared" si="32"/>
        <v>2004</v>
      </c>
      <c r="BJ51">
        <f t="shared" si="33"/>
        <v>48.325499999999998</v>
      </c>
      <c r="BK51">
        <f>0.6*BK49+0.4*BK54</f>
        <v>0.70308725362855662</v>
      </c>
      <c r="BL51">
        <f>0.6*BL49+0.4*BL54</f>
        <v>1.3580831779679272</v>
      </c>
      <c r="BM51" s="148">
        <f t="shared" si="35"/>
        <v>48325.5</v>
      </c>
      <c r="BN51">
        <f t="shared" si="3"/>
        <v>33.97704307522681</v>
      </c>
      <c r="BO51">
        <f t="shared" si="4"/>
        <v>65.63004861688907</v>
      </c>
      <c r="BR51">
        <f t="shared" si="72"/>
        <v>2004</v>
      </c>
      <c r="BS51">
        <f t="shared" si="73"/>
        <v>347.50400000000002</v>
      </c>
      <c r="CE51">
        <f t="shared" si="38"/>
        <v>2004</v>
      </c>
      <c r="CF51">
        <f t="shared" si="39"/>
        <v>347.50400000000002</v>
      </c>
      <c r="CG51">
        <f>0.6*CG49+0.4*CG54</f>
        <v>0.16863680123815591</v>
      </c>
      <c r="CH51">
        <f>0.6*CH49+0.4*CH54</f>
        <v>0.20873269361236454</v>
      </c>
      <c r="CI51" s="148">
        <f t="shared" si="41"/>
        <v>347504</v>
      </c>
      <c r="CJ51">
        <f t="shared" si="5"/>
        <v>58.601962977464133</v>
      </c>
      <c r="CK51">
        <f t="shared" si="6"/>
        <v>72.535445961071133</v>
      </c>
      <c r="CN51">
        <f t="shared" si="74"/>
        <v>2004</v>
      </c>
      <c r="CO51">
        <f t="shared" si="75"/>
        <v>405.846</v>
      </c>
      <c r="DA51">
        <f t="shared" si="9"/>
        <v>2004</v>
      </c>
      <c r="DB51">
        <f t="shared" si="10"/>
        <v>405.846</v>
      </c>
      <c r="DC51">
        <f>0.6*DC49+0.4*DC54</f>
        <v>0.12847497594831658</v>
      </c>
      <c r="DD51">
        <f>0.6*DD49+0.4*DD54</f>
        <v>0.43517898578553327</v>
      </c>
      <c r="DE51" s="148">
        <f t="shared" si="11"/>
        <v>405846</v>
      </c>
      <c r="DF51">
        <f t="shared" si="12"/>
        <v>52.141055088720492</v>
      </c>
      <c r="DG51">
        <f t="shared" si="13"/>
        <v>176.61565066511554</v>
      </c>
      <c r="DJ51">
        <f t="shared" si="76"/>
        <v>2004</v>
      </c>
      <c r="DK51" s="152">
        <f t="shared" si="44"/>
        <v>1315.091085</v>
      </c>
      <c r="DL51">
        <f t="shared" si="45"/>
        <v>144.72006114141143</v>
      </c>
      <c r="DM51">
        <f t="shared" si="46"/>
        <v>314.78114524307574</v>
      </c>
      <c r="DW51">
        <f t="shared" si="47"/>
        <v>2004</v>
      </c>
      <c r="DX51">
        <f t="shared" si="48"/>
        <v>0.11004565599455146</v>
      </c>
      <c r="DY51">
        <f t="shared" si="49"/>
        <v>0.23936071716513518</v>
      </c>
      <c r="EB51">
        <f t="shared" si="77"/>
        <v>2004</v>
      </c>
      <c r="EC51">
        <f t="shared" si="78"/>
        <v>90.137500000000003</v>
      </c>
      <c r="EO51">
        <f t="shared" si="16"/>
        <v>2004</v>
      </c>
      <c r="EP51">
        <f t="shared" si="17"/>
        <v>90.137500000000003</v>
      </c>
      <c r="EQ51">
        <f>0.6*EQ49+0.4*EQ54</f>
        <v>7.7563594627213114E-2</v>
      </c>
      <c r="ER51">
        <f>0.6*ER49+0.4*ER54</f>
        <v>0.95861665278744224</v>
      </c>
      <c r="ES51" s="148">
        <f t="shared" si="50"/>
        <v>90137.5</v>
      </c>
      <c r="ET51">
        <f t="shared" si="20"/>
        <v>6.9913885107104221</v>
      </c>
      <c r="EU51">
        <f t="shared" si="21"/>
        <v>86.40730854062808</v>
      </c>
      <c r="EX51">
        <f t="shared" si="79"/>
        <v>2004</v>
      </c>
      <c r="EY51" s="152">
        <f t="shared" si="51"/>
        <v>0</v>
      </c>
      <c r="EZ51">
        <f t="shared" si="22"/>
        <v>413.96921645459804</v>
      </c>
      <c r="FA51">
        <f t="shared" si="23"/>
        <v>92.255411857621453</v>
      </c>
      <c r="FE51">
        <f t="shared" si="52"/>
        <v>2004</v>
      </c>
      <c r="FF51" s="184">
        <f t="shared" si="53"/>
        <v>90.762064949711089</v>
      </c>
      <c r="FG51" s="184">
        <f t="shared" si="54"/>
        <v>144.72006114141143</v>
      </c>
      <c r="FH51" s="184">
        <f t="shared" si="55"/>
        <v>6.9913885107104221</v>
      </c>
      <c r="FI51" s="184">
        <f t="shared" si="56"/>
        <v>304.70477168184806</v>
      </c>
      <c r="FJ51" s="184">
        <f t="shared" si="57"/>
        <v>314.78114524307574</v>
      </c>
      <c r="FK51" s="184">
        <f t="shared" si="58"/>
        <v>86.40730854062808</v>
      </c>
      <c r="FL51" s="148">
        <f t="shared" si="59"/>
        <v>244956.91992000001</v>
      </c>
      <c r="FM51" s="148">
        <f t="shared" si="60"/>
        <v>131509.1085</v>
      </c>
      <c r="FN51" s="148">
        <f t="shared" si="61"/>
        <v>90137.5</v>
      </c>
      <c r="FP51">
        <f t="shared" si="62"/>
        <v>242.47351460183296</v>
      </c>
      <c r="FQ51">
        <f t="shared" si="63"/>
        <v>705.89322546555184</v>
      </c>
      <c r="FR51" s="148">
        <f>[5]Indicators_NonMan_2018_BEA!U39</f>
        <v>427785.59220000001</v>
      </c>
      <c r="FS51" s="3">
        <f>[5]Indicators_NonMan_2018_BEA!I39</f>
        <v>249877.69114000001</v>
      </c>
      <c r="FU51" s="13">
        <f t="shared" si="64"/>
        <v>0.56681084875918586</v>
      </c>
      <c r="FV51" s="13">
        <f t="shared" si="65"/>
        <v>1.6501098642320096</v>
      </c>
      <c r="FW51" s="13"/>
      <c r="FX51" s="13">
        <f t="shared" si="66"/>
        <v>1.1004565599455145E-3</v>
      </c>
      <c r="FZ51">
        <f t="shared" si="81"/>
        <v>2004</v>
      </c>
      <c r="GA51">
        <f t="shared" si="82"/>
        <v>90137.5</v>
      </c>
      <c r="GB51">
        <f t="shared" si="83"/>
        <v>56081.055240000002</v>
      </c>
    </row>
    <row r="52" spans="3:184" x14ac:dyDescent="0.2">
      <c r="C52">
        <f>'BEA&amp;BLS_Output_data'!E48</f>
        <v>2005</v>
      </c>
      <c r="D52">
        <f>'BEA&amp;BLS_Output_data'!M48</f>
        <v>243295.97375999999</v>
      </c>
      <c r="E52">
        <f>'BEA&amp;BLS_Output_data'!G48</f>
        <v>52203.1</v>
      </c>
      <c r="F52">
        <f>'BEA&amp;BLS_Output_data'!H48</f>
        <v>36232.300000000003</v>
      </c>
      <c r="G52">
        <f>'BEA&amp;BLS_Output_data'!I48</f>
        <v>42941.8</v>
      </c>
      <c r="H52">
        <f>'BEA&amp;BLS_Output_data'!J48</f>
        <v>98758.3</v>
      </c>
      <c r="I52">
        <f>'BEA&amp;BLS_Output_data'!N48</f>
        <v>139159.79955</v>
      </c>
      <c r="J52">
        <f>'BEA&amp;BLS_Output_data'!O48</f>
        <v>75628.453810000006</v>
      </c>
      <c r="Z52">
        <f t="shared" si="69"/>
        <v>2005</v>
      </c>
      <c r="AA52" s="206">
        <f t="shared" si="0"/>
        <v>24.329597375999999</v>
      </c>
      <c r="AM52">
        <f t="shared" si="26"/>
        <v>2005</v>
      </c>
      <c r="AN52">
        <f t="shared" si="27"/>
        <v>24.329597375999999</v>
      </c>
      <c r="AO52">
        <f>0.4*AO49+0.6*AO54</f>
        <v>3.5606999415914657</v>
      </c>
      <c r="AP52">
        <f>0.4*AP49+0.6*AP54</f>
        <v>11.804883291557376</v>
      </c>
      <c r="AQ52" s="3">
        <f t="shared" si="29"/>
        <v>243295.97375999999</v>
      </c>
      <c r="AR52">
        <f t="shared" si="1"/>
        <v>86.630395955667069</v>
      </c>
      <c r="AS52">
        <f t="shared" si="2"/>
        <v>287.20805755426056</v>
      </c>
      <c r="AV52">
        <f t="shared" si="70"/>
        <v>2005</v>
      </c>
      <c r="AW52">
        <f t="shared" si="71"/>
        <v>52.203099999999999</v>
      </c>
      <c r="BI52">
        <f t="shared" si="32"/>
        <v>2005</v>
      </c>
      <c r="BJ52">
        <f t="shared" si="33"/>
        <v>52.203099999999999</v>
      </c>
      <c r="BK52">
        <f>0.4*BK49+0.6*BK54</f>
        <v>0.68294061802545114</v>
      </c>
      <c r="BL52">
        <f>0.4*BL49+0.6*BL54</f>
        <v>1.3642550118402381</v>
      </c>
      <c r="BM52" s="148">
        <f t="shared" si="35"/>
        <v>52203.1</v>
      </c>
      <c r="BN52">
        <f t="shared" si="3"/>
        <v>35.651617376844428</v>
      </c>
      <c r="BO52">
        <f t="shared" si="4"/>
        <v>71.218340808597134</v>
      </c>
      <c r="BR52">
        <f t="shared" si="72"/>
        <v>2005</v>
      </c>
      <c r="BS52">
        <f t="shared" si="73"/>
        <v>362.32300000000004</v>
      </c>
      <c r="CE52">
        <f t="shared" si="38"/>
        <v>2005</v>
      </c>
      <c r="CF52">
        <f t="shared" si="39"/>
        <v>362.32300000000004</v>
      </c>
      <c r="CG52">
        <f>0.4*CG49+0.6*CG54</f>
        <v>0.17872722240022124</v>
      </c>
      <c r="CH52">
        <f>0.4*CH49+0.6*CH54</f>
        <v>0.22392835384597448</v>
      </c>
      <c r="CI52" s="148">
        <f t="shared" si="41"/>
        <v>362323.00000000006</v>
      </c>
      <c r="CJ52">
        <f t="shared" si="5"/>
        <v>64.75698340171536</v>
      </c>
      <c r="CK52">
        <f t="shared" si="6"/>
        <v>81.134392950535016</v>
      </c>
      <c r="CN52">
        <f t="shared" si="74"/>
        <v>2005</v>
      </c>
      <c r="CO52">
        <f t="shared" si="75"/>
        <v>429.41800000000006</v>
      </c>
      <c r="DA52">
        <f t="shared" si="9"/>
        <v>2005</v>
      </c>
      <c r="DB52">
        <f t="shared" si="10"/>
        <v>429.41800000000006</v>
      </c>
      <c r="DC52">
        <f>0.4*DC49+0.6*DC54</f>
        <v>0.12901199679573244</v>
      </c>
      <c r="DD52">
        <f>0.4*DD49+0.6*DD54</f>
        <v>0.41786003007479938</v>
      </c>
      <c r="DE52" s="148">
        <f t="shared" si="11"/>
        <v>429418.00000000006</v>
      </c>
      <c r="DF52">
        <f t="shared" si="12"/>
        <v>55.400073640029845</v>
      </c>
      <c r="DG52">
        <f t="shared" si="13"/>
        <v>179.43661839466023</v>
      </c>
      <c r="DJ52">
        <f t="shared" si="76"/>
        <v>2005</v>
      </c>
      <c r="DK52" s="152">
        <f t="shared" si="44"/>
        <v>1391.5979955</v>
      </c>
      <c r="DL52">
        <f t="shared" si="45"/>
        <v>155.80867441858965</v>
      </c>
      <c r="DM52">
        <f t="shared" si="46"/>
        <v>331.78935215379238</v>
      </c>
      <c r="DW52">
        <f t="shared" si="47"/>
        <v>2005</v>
      </c>
      <c r="DX52">
        <f t="shared" si="48"/>
        <v>0.11196385372961659</v>
      </c>
      <c r="DY52">
        <f t="shared" si="49"/>
        <v>0.2384232754191204</v>
      </c>
      <c r="EB52">
        <f t="shared" si="77"/>
        <v>2005</v>
      </c>
      <c r="EC52">
        <f t="shared" si="78"/>
        <v>98.758300000000006</v>
      </c>
      <c r="EO52">
        <f t="shared" si="16"/>
        <v>2005</v>
      </c>
      <c r="EP52">
        <f t="shared" si="17"/>
        <v>98.758300000000006</v>
      </c>
      <c r="EQ52">
        <f>0.4*EQ49+0.6*EQ54</f>
        <v>8.1139213601322313E-2</v>
      </c>
      <c r="ER52">
        <f>0.4*ER49+0.6*ER54</f>
        <v>0.93042889726238709</v>
      </c>
      <c r="ES52" s="148">
        <f t="shared" si="50"/>
        <v>98758.3</v>
      </c>
      <c r="ET52">
        <f t="shared" si="20"/>
        <v>8.0131707986034701</v>
      </c>
      <c r="EU52">
        <f t="shared" si="21"/>
        <v>91.887576164508005</v>
      </c>
      <c r="EX52">
        <f t="shared" si="79"/>
        <v>2005</v>
      </c>
      <c r="EY52" s="152">
        <f t="shared" si="51"/>
        <v>0</v>
      </c>
      <c r="EZ52">
        <f t="shared" si="22"/>
        <v>438.82325723060382</v>
      </c>
      <c r="FA52">
        <f t="shared" si="23"/>
        <v>99.344100537827728</v>
      </c>
      <c r="FE52">
        <f t="shared" si="52"/>
        <v>2005</v>
      </c>
      <c r="FF52" s="184">
        <f t="shared" si="53"/>
        <v>86.630395955667069</v>
      </c>
      <c r="FG52" s="184">
        <f t="shared" si="54"/>
        <v>155.80867441858965</v>
      </c>
      <c r="FH52" s="184">
        <f t="shared" si="55"/>
        <v>8.0131707986034701</v>
      </c>
      <c r="FI52" s="184">
        <f t="shared" si="56"/>
        <v>287.20805755426056</v>
      </c>
      <c r="FJ52" s="184">
        <f t="shared" si="57"/>
        <v>331.78935215379238</v>
      </c>
      <c r="FK52" s="184">
        <f t="shared" si="58"/>
        <v>91.887576164508005</v>
      </c>
      <c r="FL52" s="148">
        <f t="shared" si="59"/>
        <v>243295.97375999999</v>
      </c>
      <c r="FM52" s="148">
        <f t="shared" si="60"/>
        <v>139159.79955</v>
      </c>
      <c r="FN52" s="148">
        <f t="shared" si="61"/>
        <v>98758.3</v>
      </c>
      <c r="FP52">
        <f t="shared" si="62"/>
        <v>250.4522411728602</v>
      </c>
      <c r="FQ52">
        <f t="shared" si="63"/>
        <v>710.88498587256095</v>
      </c>
      <c r="FR52" s="148">
        <f>[5]Indicators_NonMan_2018_BEA!U40</f>
        <v>450443.88324</v>
      </c>
      <c r="FS52" s="3">
        <f>[5]Indicators_NonMan_2018_BEA!I40</f>
        <v>254061.27581999998</v>
      </c>
      <c r="FU52" s="13">
        <f t="shared" si="64"/>
        <v>0.55601208161909321</v>
      </c>
      <c r="FV52" s="13">
        <f t="shared" si="65"/>
        <v>1.5781876773622341</v>
      </c>
      <c r="FW52" s="13"/>
      <c r="FX52" s="13">
        <f t="shared" si="66"/>
        <v>1.1196385372961659E-3</v>
      </c>
      <c r="FZ52">
        <f t="shared" si="81"/>
        <v>2005</v>
      </c>
      <c r="GA52">
        <f t="shared" si="82"/>
        <v>98758.3</v>
      </c>
      <c r="GB52">
        <f t="shared" si="83"/>
        <v>75628.453810000006</v>
      </c>
    </row>
    <row r="53" spans="3:184" x14ac:dyDescent="0.2">
      <c r="C53">
        <f>'BEA&amp;BLS_Output_data'!E49</f>
        <v>2006</v>
      </c>
      <c r="D53">
        <f>'BEA&amp;BLS_Output_data'!M49</f>
        <v>245138.24592000002</v>
      </c>
      <c r="E53">
        <f>'BEA&amp;BLS_Output_data'!G49</f>
        <v>59843.9</v>
      </c>
      <c r="F53">
        <f>'BEA&amp;BLS_Output_data'!H49</f>
        <v>34244.300000000003</v>
      </c>
      <c r="G53">
        <f>'BEA&amp;BLS_Output_data'!I49</f>
        <v>44954.1</v>
      </c>
      <c r="H53">
        <f>'BEA&amp;BLS_Output_data'!J49</f>
        <v>109700.9</v>
      </c>
      <c r="I53">
        <f>'BEA&amp;BLS_Output_data'!N49</f>
        <v>147387.68955000001</v>
      </c>
      <c r="J53">
        <f>'BEA&amp;BLS_Output_data'!O49</f>
        <v>100969.53685999999</v>
      </c>
      <c r="Z53">
        <f t="shared" si="69"/>
        <v>2006</v>
      </c>
      <c r="AA53" s="206">
        <f t="shared" si="0"/>
        <v>24.513824592000002</v>
      </c>
      <c r="AM53">
        <f t="shared" si="26"/>
        <v>2006</v>
      </c>
      <c r="AN53">
        <f t="shared" si="27"/>
        <v>24.513824592000002</v>
      </c>
      <c r="AO53">
        <f>0.2*AO49+0.8*AO54</f>
        <v>3.4161742876229906</v>
      </c>
      <c r="AP53">
        <f>0.2*AP49+0.8*AP54</f>
        <v>11.170649868985549</v>
      </c>
      <c r="AQ53" s="3">
        <f t="shared" si="29"/>
        <v>245138.24592000002</v>
      </c>
      <c r="AR53">
        <f t="shared" si="1"/>
        <v>83.74349726249055</v>
      </c>
      <c r="AS53">
        <f t="shared" si="2"/>
        <v>273.83535146695954</v>
      </c>
      <c r="AV53">
        <f t="shared" si="70"/>
        <v>2006</v>
      </c>
      <c r="AW53">
        <f t="shared" si="71"/>
        <v>59.843900000000005</v>
      </c>
      <c r="BI53">
        <f t="shared" si="32"/>
        <v>2006</v>
      </c>
      <c r="BJ53">
        <f t="shared" si="33"/>
        <v>59.843900000000005</v>
      </c>
      <c r="BK53">
        <f>0.2*BK49+0.8*BK54</f>
        <v>0.66279398242234555</v>
      </c>
      <c r="BL53">
        <f>0.2*BL49+0.8*BL54</f>
        <v>1.3704268457125492</v>
      </c>
      <c r="BM53" s="148">
        <f t="shared" si="35"/>
        <v>59843.9</v>
      </c>
      <c r="BN53">
        <f t="shared" si="3"/>
        <v>39.664176804684608</v>
      </c>
      <c r="BO53">
        <f t="shared" si="4"/>
        <v>82.011687112137238</v>
      </c>
      <c r="BR53">
        <f t="shared" si="72"/>
        <v>2006</v>
      </c>
      <c r="BS53">
        <f t="shared" si="73"/>
        <v>342.44300000000004</v>
      </c>
      <c r="CE53">
        <f t="shared" si="38"/>
        <v>2006</v>
      </c>
      <c r="CF53">
        <f t="shared" si="39"/>
        <v>342.44300000000004</v>
      </c>
      <c r="CG53">
        <f>0.2*CG49+0.8*CG54</f>
        <v>0.18881764356228661</v>
      </c>
      <c r="CH53">
        <f>0.2*CH49+0.8*CH54</f>
        <v>0.23912401407958447</v>
      </c>
      <c r="CI53" s="148">
        <f t="shared" si="41"/>
        <v>342443.00000000006</v>
      </c>
      <c r="CJ53">
        <f t="shared" si="5"/>
        <v>64.659280314400121</v>
      </c>
      <c r="CK53">
        <f t="shared" si="6"/>
        <v>81.886344753455163</v>
      </c>
      <c r="CN53">
        <f t="shared" si="74"/>
        <v>2006</v>
      </c>
      <c r="CO53">
        <f t="shared" si="75"/>
        <v>449.541</v>
      </c>
      <c r="DA53">
        <f t="shared" si="9"/>
        <v>2006</v>
      </c>
      <c r="DB53">
        <f t="shared" si="10"/>
        <v>449.541</v>
      </c>
      <c r="DC53">
        <f>0.2*DC49+0.8*DC54</f>
        <v>0.12954901764314836</v>
      </c>
      <c r="DD53">
        <f>0.2*DD49+0.8*DD54</f>
        <v>0.4005410743640655</v>
      </c>
      <c r="DE53" s="148">
        <f t="shared" si="11"/>
        <v>449541</v>
      </c>
      <c r="DF53">
        <f t="shared" si="12"/>
        <v>58.237594940318552</v>
      </c>
      <c r="DG53">
        <f t="shared" si="13"/>
        <v>180.05963511069638</v>
      </c>
      <c r="DJ53">
        <f t="shared" si="76"/>
        <v>2006</v>
      </c>
      <c r="DK53" s="152">
        <f t="shared" si="44"/>
        <v>1473.8768955</v>
      </c>
      <c r="DL53">
        <f t="shared" si="45"/>
        <v>162.56105205940329</v>
      </c>
      <c r="DM53">
        <f t="shared" si="46"/>
        <v>343.95766697628881</v>
      </c>
      <c r="DW53">
        <f t="shared" si="47"/>
        <v>2006</v>
      </c>
      <c r="DX53">
        <f t="shared" si="48"/>
        <v>0.11029486421541052</v>
      </c>
      <c r="DY53">
        <f t="shared" si="49"/>
        <v>0.23336933228714746</v>
      </c>
      <c r="EB53">
        <f t="shared" si="77"/>
        <v>2006</v>
      </c>
      <c r="EC53">
        <f t="shared" si="78"/>
        <v>109.70089999999999</v>
      </c>
      <c r="EO53">
        <f t="shared" si="16"/>
        <v>2006</v>
      </c>
      <c r="EP53">
        <f t="shared" si="17"/>
        <v>109.70089999999999</v>
      </c>
      <c r="EQ53">
        <f>0.2*EQ49+0.8*EQ54</f>
        <v>8.4714832575431498E-2</v>
      </c>
      <c r="ER53">
        <f>0.2*ER49+0.8*ER54</f>
        <v>0.90224114173733205</v>
      </c>
      <c r="ES53" s="148">
        <f t="shared" si="50"/>
        <v>109700.9</v>
      </c>
      <c r="ET53">
        <f t="shared" si="20"/>
        <v>9.2932933768741517</v>
      </c>
      <c r="EU53">
        <f t="shared" si="21"/>
        <v>98.97666526561288</v>
      </c>
      <c r="EX53">
        <f t="shared" si="79"/>
        <v>2006</v>
      </c>
      <c r="EY53" s="152">
        <f t="shared" si="51"/>
        <v>0</v>
      </c>
      <c r="EZ53">
        <f t="shared" si="22"/>
        <v>459.4501664842154</v>
      </c>
      <c r="FA53">
        <f t="shared" si="23"/>
        <v>97.369296392006746</v>
      </c>
      <c r="FE53">
        <f t="shared" si="52"/>
        <v>2006</v>
      </c>
      <c r="FF53" s="184">
        <f t="shared" si="53"/>
        <v>83.74349726249055</v>
      </c>
      <c r="FG53" s="184">
        <f t="shared" si="54"/>
        <v>162.56105205940329</v>
      </c>
      <c r="FH53" s="184">
        <f t="shared" si="55"/>
        <v>9.2932933768741517</v>
      </c>
      <c r="FI53" s="184">
        <f t="shared" si="56"/>
        <v>273.83535146695954</v>
      </c>
      <c r="FJ53" s="184">
        <f t="shared" si="57"/>
        <v>343.95766697628881</v>
      </c>
      <c r="FK53" s="184">
        <f t="shared" si="58"/>
        <v>98.97666526561288</v>
      </c>
      <c r="FL53" s="148">
        <f t="shared" si="59"/>
        <v>245138.24592000002</v>
      </c>
      <c r="FM53" s="148">
        <f t="shared" si="60"/>
        <v>147387.68955000001</v>
      </c>
      <c r="FN53" s="148">
        <f t="shared" si="61"/>
        <v>109700.9</v>
      </c>
      <c r="FP53">
        <f t="shared" si="62"/>
        <v>255.59784269876798</v>
      </c>
      <c r="FQ53">
        <f t="shared" si="63"/>
        <v>716.76968370886118</v>
      </c>
      <c r="FR53" s="148">
        <f>[5]Indicators_NonMan_2018_BEA!U41</f>
        <v>481782.94812000002</v>
      </c>
      <c r="FS53" s="3">
        <f>[5]Indicators_NonMan_2018_BEA!I41</f>
        <v>293062.61842000001</v>
      </c>
      <c r="FU53" s="13">
        <f t="shared" si="64"/>
        <v>0.53052488407104226</v>
      </c>
      <c r="FV53" s="13">
        <f t="shared" si="65"/>
        <v>1.4877439861784645</v>
      </c>
      <c r="FW53" s="13"/>
      <c r="FX53" s="13">
        <f t="shared" si="66"/>
        <v>1.1029486421541051E-3</v>
      </c>
      <c r="FZ53">
        <f t="shared" si="81"/>
        <v>2006</v>
      </c>
      <c r="GA53">
        <f t="shared" si="82"/>
        <v>109700.9</v>
      </c>
      <c r="GB53">
        <f t="shared" si="83"/>
        <v>100969.53685999999</v>
      </c>
    </row>
    <row r="54" spans="3:184" x14ac:dyDescent="0.2">
      <c r="C54">
        <f>'BEA&amp;BLS_Output_data'!E50</f>
        <v>2007</v>
      </c>
      <c r="D54">
        <f>'BEA&amp;BLS_Output_data'!M50</f>
        <v>248325.95699999999</v>
      </c>
      <c r="E54">
        <f>'BEA&amp;BLS_Output_data'!G50</f>
        <v>60779.5</v>
      </c>
      <c r="F54">
        <f>'BEA&amp;BLS_Output_data'!H50</f>
        <v>34237.5</v>
      </c>
      <c r="G54">
        <f>'BEA&amp;BLS_Output_data'!I50</f>
        <v>41740.1</v>
      </c>
      <c r="H54">
        <f>'BEA&amp;BLS_Output_data'!J50</f>
        <v>110984.5</v>
      </c>
      <c r="I54">
        <f>'BEA&amp;BLS_Output_data'!N50</f>
        <v>142164.22605</v>
      </c>
      <c r="J54">
        <f>'BEA&amp;BLS_Output_data'!O50</f>
        <v>106519.30320000001</v>
      </c>
      <c r="Z54">
        <f t="shared" si="69"/>
        <v>2007</v>
      </c>
      <c r="AA54" s="206">
        <f t="shared" si="0"/>
        <v>24.832595700000002</v>
      </c>
      <c r="AB54">
        <f>D9</f>
        <v>81.243527791999995</v>
      </c>
      <c r="AC54">
        <f>O9</f>
        <v>261.64656974062268</v>
      </c>
      <c r="AM54">
        <f t="shared" si="26"/>
        <v>2007</v>
      </c>
      <c r="AN54">
        <f t="shared" si="27"/>
        <v>24.832595700000002</v>
      </c>
      <c r="AO54" s="151">
        <f>AB54/AA54</f>
        <v>3.271648633654515</v>
      </c>
      <c r="AP54" s="151">
        <f>AC54/AA54</f>
        <v>10.536416446413721</v>
      </c>
      <c r="AQ54" s="3">
        <f t="shared" si="29"/>
        <v>248325.95700000002</v>
      </c>
      <c r="AR54">
        <f t="shared" si="1"/>
        <v>81.243527791999995</v>
      </c>
      <c r="AS54">
        <f t="shared" si="2"/>
        <v>261.64656974062268</v>
      </c>
      <c r="AV54">
        <f t="shared" si="70"/>
        <v>2007</v>
      </c>
      <c r="AW54">
        <f t="shared" si="71"/>
        <v>60.779499999999999</v>
      </c>
      <c r="AX54">
        <f>E9</f>
        <v>39.059784415999999</v>
      </c>
      <c r="AY54">
        <f>P9</f>
        <v>83.668979445828001</v>
      </c>
      <c r="BI54">
        <f t="shared" si="32"/>
        <v>2007</v>
      </c>
      <c r="BJ54">
        <f t="shared" si="33"/>
        <v>60.779499999999999</v>
      </c>
      <c r="BK54" s="151">
        <f>AX54/AW54</f>
        <v>0.64264734681924007</v>
      </c>
      <c r="BL54" s="151">
        <f>AY54/AW54</f>
        <v>1.3765986795848602</v>
      </c>
      <c r="BM54" s="148">
        <f t="shared" si="35"/>
        <v>60779.5</v>
      </c>
      <c r="BN54">
        <f t="shared" si="3"/>
        <v>39.059784415999999</v>
      </c>
      <c r="BO54">
        <f t="shared" si="4"/>
        <v>83.668979445828001</v>
      </c>
      <c r="BR54">
        <f t="shared" si="72"/>
        <v>2007</v>
      </c>
      <c r="BS54">
        <f t="shared" si="73"/>
        <v>342.375</v>
      </c>
      <c r="BT54">
        <f>F9</f>
        <v>68.101148659999993</v>
      </c>
      <c r="BU54">
        <f>Q9</f>
        <v>87.072698492979939</v>
      </c>
      <c r="CE54">
        <f t="shared" si="38"/>
        <v>2007</v>
      </c>
      <c r="CF54">
        <f t="shared" si="39"/>
        <v>342.375</v>
      </c>
      <c r="CG54" s="151">
        <f>BT54/BS54</f>
        <v>0.19890806472435194</v>
      </c>
      <c r="CH54" s="151">
        <f>BU54/BS54</f>
        <v>0.25431967431319441</v>
      </c>
      <c r="CI54" s="148">
        <f t="shared" si="41"/>
        <v>342375</v>
      </c>
      <c r="CJ54">
        <f t="shared" si="5"/>
        <v>68.101148659999993</v>
      </c>
      <c r="CK54">
        <f t="shared" si="6"/>
        <v>87.072698492979939</v>
      </c>
      <c r="CN54">
        <f t="shared" si="74"/>
        <v>2007</v>
      </c>
      <c r="CO54">
        <f t="shared" si="75"/>
        <v>417.40100000000001</v>
      </c>
      <c r="CP54">
        <f>G9</f>
        <v>54.298042551999998</v>
      </c>
      <c r="CQ54">
        <f>R9</f>
        <v>159.95729554801926</v>
      </c>
      <c r="DA54">
        <f t="shared" si="9"/>
        <v>2007</v>
      </c>
      <c r="DB54">
        <f t="shared" si="10"/>
        <v>417.40100000000001</v>
      </c>
      <c r="DC54" s="151">
        <f>CP54/CO54</f>
        <v>0.13008603849056422</v>
      </c>
      <c r="DD54" s="151">
        <f>CQ54/CO54</f>
        <v>0.38322211865333161</v>
      </c>
      <c r="DE54" s="148">
        <f t="shared" si="11"/>
        <v>417401</v>
      </c>
      <c r="DF54">
        <f t="shared" si="12"/>
        <v>54.298042551999998</v>
      </c>
      <c r="DG54">
        <f t="shared" si="13"/>
        <v>159.95729554801926</v>
      </c>
      <c r="DJ54">
        <f t="shared" si="76"/>
        <v>2007</v>
      </c>
      <c r="DK54" s="152">
        <f t="shared" si="44"/>
        <v>1421.6422605</v>
      </c>
      <c r="DL54">
        <f t="shared" si="45"/>
        <v>161.45897562799999</v>
      </c>
      <c r="DM54">
        <f t="shared" si="46"/>
        <v>330.69897348682719</v>
      </c>
      <c r="DW54">
        <f t="shared" si="47"/>
        <v>2007</v>
      </c>
      <c r="DX54">
        <f t="shared" si="48"/>
        <v>0.11357215532634343</v>
      </c>
      <c r="DY54">
        <f t="shared" si="49"/>
        <v>0.23261757382656759</v>
      </c>
      <c r="EB54">
        <f t="shared" si="77"/>
        <v>2007</v>
      </c>
      <c r="EC54">
        <f t="shared" si="78"/>
        <v>110.9845</v>
      </c>
      <c r="ED54">
        <f>SUM(I9:M9)</f>
        <v>9.7988716199999999</v>
      </c>
      <c r="EE54">
        <f>SUM(T9:X9)</f>
        <v>97.006378042076449</v>
      </c>
      <c r="EO54">
        <f t="shared" si="16"/>
        <v>2007</v>
      </c>
      <c r="EP54">
        <f t="shared" si="17"/>
        <v>110.9845</v>
      </c>
      <c r="EQ54" s="151">
        <f>ED54/EC54</f>
        <v>8.8290451549540697E-2</v>
      </c>
      <c r="ER54" s="151">
        <f>EE54/EC54</f>
        <v>0.87405338621227691</v>
      </c>
      <c r="ES54" s="148">
        <f t="shared" si="50"/>
        <v>110984.5</v>
      </c>
      <c r="ET54">
        <f t="shared" si="20"/>
        <v>9.7988716199999999</v>
      </c>
      <c r="EU54">
        <f t="shared" si="21"/>
        <v>97.006378042076449</v>
      </c>
      <c r="EX54">
        <f t="shared" si="79"/>
        <v>2007</v>
      </c>
      <c r="EY54" s="152">
        <f t="shared" si="51"/>
        <v>0.39059784415999999</v>
      </c>
      <c r="EZ54">
        <f t="shared" si="22"/>
        <v>427.03586893555382</v>
      </c>
      <c r="FA54">
        <f t="shared" si="23"/>
        <v>109.20541384932427</v>
      </c>
      <c r="FE54">
        <f t="shared" si="52"/>
        <v>2007</v>
      </c>
      <c r="FF54" s="184">
        <f t="shared" si="53"/>
        <v>81.243527791999995</v>
      </c>
      <c r="FG54" s="184">
        <f t="shared" si="54"/>
        <v>161.45897562799999</v>
      </c>
      <c r="FH54" s="184">
        <f t="shared" si="55"/>
        <v>9.7988716199999999</v>
      </c>
      <c r="FI54" s="184">
        <f t="shared" si="56"/>
        <v>261.64656974062268</v>
      </c>
      <c r="FJ54" s="184">
        <f t="shared" si="57"/>
        <v>330.69897348682719</v>
      </c>
      <c r="FK54" s="184">
        <f t="shared" si="58"/>
        <v>97.006378042076449</v>
      </c>
      <c r="FL54" s="148">
        <f t="shared" si="59"/>
        <v>248325.95700000002</v>
      </c>
      <c r="FM54" s="148">
        <f t="shared" si="60"/>
        <v>142164.22605</v>
      </c>
      <c r="FN54" s="148">
        <f t="shared" si="61"/>
        <v>110984.5</v>
      </c>
      <c r="FP54">
        <f t="shared" si="62"/>
        <v>252.50137503999997</v>
      </c>
      <c r="FQ54">
        <f t="shared" si="63"/>
        <v>689.35192126952631</v>
      </c>
      <c r="FR54" s="148">
        <f>[5]Indicators_NonMan_2018_BEA!U42</f>
        <v>486576.99130000005</v>
      </c>
      <c r="FS54" s="3">
        <f>[5]Indicators_NonMan_2018_BEA!I42</f>
        <v>315652.5405</v>
      </c>
      <c r="FU54" s="13">
        <f t="shared" si="64"/>
        <v>0.5189340629637782</v>
      </c>
      <c r="FV54" s="13">
        <f t="shared" si="65"/>
        <v>1.4167376049322993</v>
      </c>
      <c r="FW54" s="13"/>
      <c r="FX54" s="13">
        <f t="shared" si="66"/>
        <v>1.1357215532634343E-3</v>
      </c>
      <c r="FZ54">
        <f t="shared" si="81"/>
        <v>2007</v>
      </c>
      <c r="GA54">
        <f t="shared" si="82"/>
        <v>110984.5</v>
      </c>
      <c r="GB54">
        <f t="shared" si="83"/>
        <v>106519.30320000001</v>
      </c>
    </row>
    <row r="55" spans="3:184" x14ac:dyDescent="0.2">
      <c r="C55">
        <f>'BEA&amp;BLS_Output_data'!E51</f>
        <v>2008</v>
      </c>
      <c r="D55">
        <f>'BEA&amp;BLS_Output_data'!M51</f>
        <v>263136.66467999999</v>
      </c>
      <c r="E55">
        <f>'BEA&amp;BLS_Output_data'!G51</f>
        <v>58513.4</v>
      </c>
      <c r="F55">
        <f>'BEA&amp;BLS_Output_data'!H51</f>
        <v>37974</v>
      </c>
      <c r="G55">
        <f>'BEA&amp;BLS_Output_data'!I51</f>
        <v>41037.1</v>
      </c>
      <c r="H55">
        <f>'BEA&amp;BLS_Output_data'!J51</f>
        <v>117665.4</v>
      </c>
      <c r="I55">
        <f>'BEA&amp;BLS_Output_data'!N51</f>
        <v>140162.10615000001</v>
      </c>
      <c r="J55">
        <f>'BEA&amp;BLS_Output_data'!O51</f>
        <v>117180.03469</v>
      </c>
      <c r="Z55">
        <f t="shared" si="69"/>
        <v>2008</v>
      </c>
      <c r="AA55" s="206">
        <f t="shared" si="0"/>
        <v>26.313666468000001</v>
      </c>
      <c r="AM55">
        <f t="shared" si="26"/>
        <v>2008</v>
      </c>
      <c r="AN55">
        <f t="shared" si="27"/>
        <v>26.313666468000001</v>
      </c>
      <c r="AO55">
        <f>0.8*AO54+0.2*AO59</f>
        <v>3.3179330061482135</v>
      </c>
      <c r="AP55">
        <f>0.8*AP54+0.2*AP59</f>
        <v>9.995692235834932</v>
      </c>
      <c r="AQ55" s="3">
        <f t="shared" si="29"/>
        <v>263136.66467999999</v>
      </c>
      <c r="AR55">
        <f t="shared" si="1"/>
        <v>87.306982486952691</v>
      </c>
      <c r="AS55">
        <f t="shared" si="2"/>
        <v>263.02331161053763</v>
      </c>
      <c r="AV55">
        <f t="shared" si="70"/>
        <v>2008</v>
      </c>
      <c r="AW55">
        <f t="shared" si="71"/>
        <v>58.513400000000004</v>
      </c>
      <c r="BI55">
        <f t="shared" si="32"/>
        <v>2008</v>
      </c>
      <c r="BJ55">
        <f t="shared" si="33"/>
        <v>58.513400000000004</v>
      </c>
      <c r="BK55">
        <f>0.8*BK54+0.2*BK59</f>
        <v>0.66482098160556025</v>
      </c>
      <c r="BL55">
        <f>0.8*BL54+0.2*BL59</f>
        <v>1.4637009420434177</v>
      </c>
      <c r="BM55" s="148">
        <f t="shared" si="35"/>
        <v>58513.4</v>
      </c>
      <c r="BN55">
        <f t="shared" si="3"/>
        <v>38.900936025078792</v>
      </c>
      <c r="BO55">
        <f t="shared" si="4"/>
        <v>85.646118702163321</v>
      </c>
      <c r="BR55">
        <f t="shared" si="72"/>
        <v>2008</v>
      </c>
      <c r="BS55">
        <f t="shared" si="73"/>
        <v>379.74</v>
      </c>
      <c r="CE55">
        <f t="shared" si="38"/>
        <v>2008</v>
      </c>
      <c r="CF55">
        <f t="shared" si="39"/>
        <v>379.74</v>
      </c>
      <c r="CG55">
        <f>0.8*CG54+0.2*CG59</f>
        <v>0.20020946435785264</v>
      </c>
      <c r="CH55">
        <f>0.8*CH54+0.2*CH59</f>
        <v>0.31479858242290626</v>
      </c>
      <c r="CI55" s="148">
        <f t="shared" si="41"/>
        <v>379740</v>
      </c>
      <c r="CJ55">
        <f t="shared" si="5"/>
        <v>76.027541995250957</v>
      </c>
      <c r="CK55">
        <f t="shared" si="6"/>
        <v>119.54161368927443</v>
      </c>
      <c r="CN55">
        <f t="shared" si="74"/>
        <v>2008</v>
      </c>
      <c r="CO55">
        <f t="shared" si="75"/>
        <v>410.37099999999998</v>
      </c>
      <c r="DA55">
        <f t="shared" si="9"/>
        <v>2008</v>
      </c>
      <c r="DB55">
        <f t="shared" si="10"/>
        <v>410.37099999999998</v>
      </c>
      <c r="DC55">
        <f>0.8*DC54+0.2*DC59</f>
        <v>0.12727803360091025</v>
      </c>
      <c r="DD55">
        <f>0.8*DD54+0.2*DD59</f>
        <v>0.40781554241198315</v>
      </c>
      <c r="DE55" s="148">
        <f t="shared" si="11"/>
        <v>410371</v>
      </c>
      <c r="DF55">
        <f t="shared" si="12"/>
        <v>52.231213926839139</v>
      </c>
      <c r="DG55">
        <f t="shared" si="13"/>
        <v>167.35567195514793</v>
      </c>
      <c r="DJ55">
        <f t="shared" si="76"/>
        <v>2008</v>
      </c>
      <c r="DK55" s="152">
        <f t="shared" si="44"/>
        <v>1401.6210615</v>
      </c>
      <c r="DL55">
        <f t="shared" si="45"/>
        <v>167.15969194716888</v>
      </c>
      <c r="DM55">
        <f t="shared" si="46"/>
        <v>372.5434043465857</v>
      </c>
      <c r="DW55">
        <f t="shared" si="47"/>
        <v>2008</v>
      </c>
      <c r="DX55">
        <f t="shared" si="48"/>
        <v>0.11926168672742142</v>
      </c>
      <c r="DY55">
        <f t="shared" si="49"/>
        <v>0.26579466774557003</v>
      </c>
      <c r="EB55">
        <f t="shared" si="77"/>
        <v>2008</v>
      </c>
      <c r="EC55">
        <f t="shared" si="78"/>
        <v>117.66539999999999</v>
      </c>
      <c r="EO55">
        <f t="shared" si="16"/>
        <v>2008</v>
      </c>
      <c r="EP55">
        <f t="shared" si="17"/>
        <v>117.66539999999999</v>
      </c>
      <c r="EQ55">
        <f>0.8*EQ54+0.2*EQ59</f>
        <v>8.0918407452211696E-2</v>
      </c>
      <c r="ER55">
        <f>0.8*ER54+0.2*ER59</f>
        <v>0.92501882657949697</v>
      </c>
      <c r="ES55" s="148">
        <f t="shared" si="50"/>
        <v>117665.4</v>
      </c>
      <c r="ET55">
        <f t="shared" si="20"/>
        <v>9.5212967802274697</v>
      </c>
      <c r="EU55">
        <f t="shared" si="21"/>
        <v>108.84271023700714</v>
      </c>
      <c r="EX55">
        <f t="shared" si="79"/>
        <v>2008</v>
      </c>
      <c r="EY55" s="152">
        <f t="shared" si="51"/>
        <v>0</v>
      </c>
      <c r="EZ55">
        <f t="shared" si="22"/>
        <v>416.62866181141601</v>
      </c>
      <c r="FA55">
        <f t="shared" si="23"/>
        <v>81.85164757352031</v>
      </c>
      <c r="FE55">
        <f t="shared" si="52"/>
        <v>2008</v>
      </c>
      <c r="FF55" s="184">
        <f t="shared" si="53"/>
        <v>87.306982486952691</v>
      </c>
      <c r="FG55" s="184">
        <f t="shared" si="54"/>
        <v>167.15969194716888</v>
      </c>
      <c r="FH55" s="184">
        <f t="shared" si="55"/>
        <v>9.5212967802274697</v>
      </c>
      <c r="FI55" s="184">
        <f t="shared" si="56"/>
        <v>263.02331161053763</v>
      </c>
      <c r="FJ55" s="184">
        <f t="shared" si="57"/>
        <v>372.5434043465857</v>
      </c>
      <c r="FK55" s="184">
        <f t="shared" si="58"/>
        <v>108.84271023700714</v>
      </c>
      <c r="FL55" s="148">
        <f t="shared" si="59"/>
        <v>263136.66467999999</v>
      </c>
      <c r="FM55" s="148">
        <f t="shared" si="60"/>
        <v>140162.10615000001</v>
      </c>
      <c r="FN55" s="148">
        <f t="shared" si="61"/>
        <v>117665.4</v>
      </c>
      <c r="FP55">
        <f t="shared" si="62"/>
        <v>263.98797121434905</v>
      </c>
      <c r="FQ55">
        <f t="shared" si="63"/>
        <v>744.40942619413045</v>
      </c>
      <c r="FR55" s="148">
        <f>[5]Indicators_NonMan_2018_BEA!U43</f>
        <v>511620.04295000003</v>
      </c>
      <c r="FS55" s="3">
        <f>[5]Indicators_NonMan_2018_BEA!I43</f>
        <v>305545.20084</v>
      </c>
      <c r="FU55" s="13">
        <f t="shared" si="64"/>
        <v>0.51598442018063839</v>
      </c>
      <c r="FV55" s="13">
        <f t="shared" si="65"/>
        <v>1.4550044245762292</v>
      </c>
      <c r="FW55" s="13"/>
      <c r="FX55" s="13">
        <f t="shared" si="66"/>
        <v>1.1926168672742141E-3</v>
      </c>
      <c r="FZ55">
        <f t="shared" si="81"/>
        <v>2008</v>
      </c>
      <c r="GA55">
        <f t="shared" si="82"/>
        <v>117665.4</v>
      </c>
      <c r="GB55">
        <f t="shared" si="83"/>
        <v>117180.03469</v>
      </c>
    </row>
    <row r="56" spans="3:184" x14ac:dyDescent="0.2">
      <c r="C56">
        <f>'BEA&amp;BLS_Output_data'!E52</f>
        <v>2009</v>
      </c>
      <c r="D56">
        <f>'BEA&amp;BLS_Output_data'!M52</f>
        <v>286067.15064000007</v>
      </c>
      <c r="E56">
        <f>'BEA&amp;BLS_Output_data'!G52</f>
        <v>50887.4</v>
      </c>
      <c r="F56">
        <f>'BEA&amp;BLS_Output_data'!H52</f>
        <v>40915.699999999997</v>
      </c>
      <c r="G56">
        <f>'BEA&amp;BLS_Output_data'!I52</f>
        <v>33449.4</v>
      </c>
      <c r="H56">
        <f>'BEA&amp;BLS_Output_data'!J52</f>
        <v>83463</v>
      </c>
      <c r="I56">
        <f>'BEA&amp;BLS_Output_data'!N52</f>
        <v>125216.0193</v>
      </c>
      <c r="J56">
        <f>'BEA&amp;BLS_Output_data'!O52</f>
        <v>80579.740590000001</v>
      </c>
      <c r="Z56">
        <f t="shared" si="69"/>
        <v>2009</v>
      </c>
      <c r="AA56" s="206">
        <f t="shared" si="0"/>
        <v>28.606715064000007</v>
      </c>
      <c r="AM56">
        <f t="shared" si="26"/>
        <v>2009</v>
      </c>
      <c r="AN56">
        <f t="shared" si="27"/>
        <v>28.606715064000007</v>
      </c>
      <c r="AO56">
        <f>0.6*AO54+0.4*AO59</f>
        <v>3.3642173786419107</v>
      </c>
      <c r="AP56">
        <f>0.6*AP54+0.4*AP59</f>
        <v>9.454968025256143</v>
      </c>
      <c r="AQ56" s="3">
        <f t="shared" si="29"/>
        <v>286067.15064000007</v>
      </c>
      <c r="AR56">
        <f t="shared" si="1"/>
        <v>96.239207964166155</v>
      </c>
      <c r="AS56">
        <f t="shared" si="2"/>
        <v>270.47557623773332</v>
      </c>
      <c r="AV56">
        <f t="shared" si="70"/>
        <v>2009</v>
      </c>
      <c r="AW56">
        <f t="shared" si="71"/>
        <v>50.8874</v>
      </c>
      <c r="BI56">
        <f t="shared" si="32"/>
        <v>2009</v>
      </c>
      <c r="BJ56">
        <f t="shared" si="33"/>
        <v>50.8874</v>
      </c>
      <c r="BK56">
        <f>0.6*BK54+0.4*BK59</f>
        <v>0.68699461639188053</v>
      </c>
      <c r="BL56">
        <f>0.6*BL54+0.4*BL59</f>
        <v>1.5508032045019751</v>
      </c>
      <c r="BM56" s="148">
        <f t="shared" si="35"/>
        <v>50887.4</v>
      </c>
      <c r="BN56">
        <f t="shared" si="3"/>
        <v>34.95936984218018</v>
      </c>
      <c r="BO56">
        <f t="shared" si="4"/>
        <v>78.916342988773806</v>
      </c>
      <c r="BR56">
        <f t="shared" si="72"/>
        <v>2009</v>
      </c>
      <c r="BS56">
        <f t="shared" si="73"/>
        <v>409.15699999999998</v>
      </c>
      <c r="CE56">
        <f t="shared" si="38"/>
        <v>2009</v>
      </c>
      <c r="CF56">
        <f t="shared" si="39"/>
        <v>409.15699999999998</v>
      </c>
      <c r="CG56">
        <f>0.6*CG54+0.4*CG59</f>
        <v>0.20151086399135332</v>
      </c>
      <c r="CH56">
        <f>0.6*CH54+0.4*CH59</f>
        <v>0.37527749053261811</v>
      </c>
      <c r="CI56" s="148">
        <f t="shared" si="41"/>
        <v>409157</v>
      </c>
      <c r="CJ56">
        <f t="shared" si="5"/>
        <v>82.449580578110144</v>
      </c>
      <c r="CK56">
        <f t="shared" si="6"/>
        <v>153.54741219385443</v>
      </c>
      <c r="CN56">
        <f t="shared" si="74"/>
        <v>2009</v>
      </c>
      <c r="CO56">
        <f t="shared" si="75"/>
        <v>334.49400000000003</v>
      </c>
      <c r="DA56">
        <f t="shared" si="9"/>
        <v>2009</v>
      </c>
      <c r="DB56">
        <f t="shared" si="10"/>
        <v>334.49400000000003</v>
      </c>
      <c r="DC56">
        <f>0.6*DC54+0.4*DC59</f>
        <v>0.12447002871125626</v>
      </c>
      <c r="DD56">
        <f>0.6*DD54+0.4*DD59</f>
        <v>0.43240896617063462</v>
      </c>
      <c r="DE56" s="148">
        <f t="shared" si="11"/>
        <v>334494</v>
      </c>
      <c r="DF56">
        <f t="shared" si="12"/>
        <v>41.634477783742952</v>
      </c>
      <c r="DG56">
        <f t="shared" si="13"/>
        <v>144.63820473028028</v>
      </c>
      <c r="DJ56">
        <f t="shared" si="76"/>
        <v>2009</v>
      </c>
      <c r="DK56" s="152">
        <f t="shared" si="44"/>
        <v>1252.1601929999999</v>
      </c>
      <c r="DL56">
        <f t="shared" si="45"/>
        <v>159.04342820403326</v>
      </c>
      <c r="DM56">
        <f t="shared" si="46"/>
        <v>377.10195991290851</v>
      </c>
      <c r="DW56">
        <f t="shared" si="47"/>
        <v>2009</v>
      </c>
      <c r="DX56">
        <f t="shared" ref="DX56:DX61" si="94">DL56/$DK56</f>
        <v>0.12701524061628852</v>
      </c>
      <c r="DY56">
        <f t="shared" ref="DY56:DY61" si="95">DM56/$DK56</f>
        <v>0.30116111502428872</v>
      </c>
      <c r="EB56">
        <f t="shared" si="77"/>
        <v>2009</v>
      </c>
      <c r="EC56">
        <f t="shared" si="78"/>
        <v>83.463000000000008</v>
      </c>
      <c r="EO56">
        <f t="shared" si="16"/>
        <v>2009</v>
      </c>
      <c r="EP56">
        <f t="shared" si="17"/>
        <v>83.463000000000008</v>
      </c>
      <c r="EQ56">
        <f>0.6*EQ54+0.4*EQ59</f>
        <v>7.3546363354882696E-2</v>
      </c>
      <c r="ER56">
        <f>0.6*ER54+0.4*ER59</f>
        <v>0.97598426694671681</v>
      </c>
      <c r="ES56" s="148">
        <f t="shared" si="50"/>
        <v>83463.000000000015</v>
      </c>
      <c r="ET56">
        <f t="shared" si="20"/>
        <v>6.1384001246885749</v>
      </c>
      <c r="EU56">
        <f t="shared" si="21"/>
        <v>81.458574872173827</v>
      </c>
      <c r="EX56">
        <f t="shared" si="79"/>
        <v>2009</v>
      </c>
      <c r="EY56" s="152">
        <f t="shared" si="51"/>
        <v>0</v>
      </c>
      <c r="EZ56">
        <f t="shared" si="22"/>
        <v>340.89890011682922</v>
      </c>
      <c r="FA56">
        <f t="shared" si="23"/>
        <v>97.851220231930682</v>
      </c>
      <c r="FE56">
        <f t="shared" si="52"/>
        <v>2009</v>
      </c>
      <c r="FF56" s="184">
        <f t="shared" si="53"/>
        <v>96.239207964166155</v>
      </c>
      <c r="FG56" s="184">
        <f t="shared" si="54"/>
        <v>159.04342820403326</v>
      </c>
      <c r="FH56" s="184">
        <f t="shared" si="55"/>
        <v>6.1384001246885749</v>
      </c>
      <c r="FI56" s="184">
        <f t="shared" si="56"/>
        <v>270.47557623773332</v>
      </c>
      <c r="FJ56" s="184">
        <f t="shared" si="57"/>
        <v>377.10195991290851</v>
      </c>
      <c r="FK56" s="184">
        <f t="shared" si="58"/>
        <v>81.458574872173827</v>
      </c>
      <c r="FL56" s="148">
        <f t="shared" si="59"/>
        <v>286067.15064000007</v>
      </c>
      <c r="FM56" s="148">
        <f t="shared" si="60"/>
        <v>125216.0193</v>
      </c>
      <c r="FN56" s="148">
        <f t="shared" si="61"/>
        <v>83463.000000000015</v>
      </c>
      <c r="FP56">
        <f t="shared" si="62"/>
        <v>261.421036292888</v>
      </c>
      <c r="FQ56">
        <f t="shared" si="63"/>
        <v>729.0361110228157</v>
      </c>
      <c r="FR56" s="148">
        <f>[5]Indicators_NonMan_2018_BEA!U44</f>
        <v>491775.64682000002</v>
      </c>
      <c r="FS56" s="3">
        <f>[5]Indicators_NonMan_2018_BEA!I44</f>
        <v>350402.12680000003</v>
      </c>
      <c r="FU56" s="13">
        <f t="shared" si="64"/>
        <v>0.53158597418015996</v>
      </c>
      <c r="FV56" s="13">
        <f t="shared" si="65"/>
        <v>1.4824567172795726</v>
      </c>
      <c r="FW56" s="13"/>
      <c r="FX56" s="13">
        <f t="shared" si="66"/>
        <v>1.2701524061628851E-3</v>
      </c>
      <c r="FZ56">
        <f t="shared" si="81"/>
        <v>2009</v>
      </c>
      <c r="GA56">
        <f t="shared" si="82"/>
        <v>83463</v>
      </c>
      <c r="GB56">
        <f t="shared" si="83"/>
        <v>80579.740590000001</v>
      </c>
    </row>
    <row r="57" spans="3:184" x14ac:dyDescent="0.2">
      <c r="C57">
        <f>'BEA&amp;BLS_Output_data'!E53</f>
        <v>2010</v>
      </c>
      <c r="D57">
        <f>'BEA&amp;BLS_Output_data'!M53</f>
        <v>297113.53055999998</v>
      </c>
      <c r="E57">
        <f>'BEA&amp;BLS_Output_data'!G53</f>
        <v>52086.400000000001</v>
      </c>
      <c r="F57">
        <f>'BEA&amp;BLS_Output_data'!H53</f>
        <v>35807.300000000003</v>
      </c>
      <c r="G57">
        <f>'BEA&amp;BLS_Output_data'!I53</f>
        <v>35608.699999999997</v>
      </c>
      <c r="H57">
        <f>'BEA&amp;BLS_Output_data'!J53</f>
        <v>94868.9</v>
      </c>
      <c r="I57">
        <f>'BEA&amp;BLS_Output_data'!N53</f>
        <v>123287.45174999999</v>
      </c>
      <c r="J57">
        <f>'BEA&amp;BLS_Output_data'!O53</f>
        <v>89468.922290000002</v>
      </c>
      <c r="Z57">
        <f t="shared" si="69"/>
        <v>2010</v>
      </c>
      <c r="AA57" s="206">
        <f t="shared" si="0"/>
        <v>29.711353056</v>
      </c>
      <c r="AM57">
        <f t="shared" si="26"/>
        <v>2010</v>
      </c>
      <c r="AN57">
        <f t="shared" si="27"/>
        <v>29.711353056</v>
      </c>
      <c r="AO57">
        <f>0.4*AO54+0.6*AO59</f>
        <v>3.4105017511356088</v>
      </c>
      <c r="AP57">
        <f>0.4*AP54+0.6*AP59</f>
        <v>8.9142438146773557</v>
      </c>
      <c r="AQ57" s="3">
        <f t="shared" si="29"/>
        <v>297113.53055999998</v>
      </c>
      <c r="AR57">
        <f t="shared" si="1"/>
        <v>101.33062162609632</v>
      </c>
      <c r="AS57">
        <f t="shared" si="2"/>
        <v>264.85424520514317</v>
      </c>
      <c r="AV57">
        <f t="shared" si="70"/>
        <v>2010</v>
      </c>
      <c r="AW57">
        <f t="shared" si="71"/>
        <v>52.086400000000005</v>
      </c>
      <c r="BI57">
        <f t="shared" si="32"/>
        <v>2010</v>
      </c>
      <c r="BJ57">
        <f t="shared" si="33"/>
        <v>52.086400000000005</v>
      </c>
      <c r="BK57">
        <f>0.4*BK54+0.6*BK59</f>
        <v>0.7091682511782007</v>
      </c>
      <c r="BL57">
        <f>0.4*BL54+0.6*BL59</f>
        <v>1.6379054669605324</v>
      </c>
      <c r="BM57" s="148">
        <f t="shared" si="35"/>
        <v>52086.400000000001</v>
      </c>
      <c r="BN57">
        <f>BK57*BJ57</f>
        <v>36.938021198168236</v>
      </c>
      <c r="BO57">
        <f>BL57*BJ57</f>
        <v>85.312599314293081</v>
      </c>
      <c r="BR57">
        <f t="shared" si="72"/>
        <v>2010</v>
      </c>
      <c r="BS57">
        <f t="shared" si="73"/>
        <v>358.07300000000004</v>
      </c>
      <c r="CE57">
        <f t="shared" si="38"/>
        <v>2010</v>
      </c>
      <c r="CF57">
        <f t="shared" si="39"/>
        <v>358.07300000000004</v>
      </c>
      <c r="CG57">
        <f>0.4*CG54+0.6*CG59</f>
        <v>0.20281226362485402</v>
      </c>
      <c r="CH57">
        <f>0.4*CH54+0.6*CH59</f>
        <v>0.43575639864232996</v>
      </c>
      <c r="CI57" s="148">
        <f t="shared" si="41"/>
        <v>358073.00000000006</v>
      </c>
      <c r="CJ57">
        <f t="shared" si="5"/>
        <v>72.621595672942362</v>
      </c>
      <c r="CK57">
        <f t="shared" si="6"/>
        <v>156.03260093105504</v>
      </c>
      <c r="CN57">
        <f t="shared" si="74"/>
        <v>2010</v>
      </c>
      <c r="CO57">
        <f t="shared" si="75"/>
        <v>356.08699999999999</v>
      </c>
      <c r="DA57">
        <f t="shared" si="9"/>
        <v>2010</v>
      </c>
      <c r="DB57">
        <f t="shared" si="10"/>
        <v>356.08699999999999</v>
      </c>
      <c r="DC57">
        <f>0.4*DC54+0.6*DC59</f>
        <v>0.12166202382160228</v>
      </c>
      <c r="DD57">
        <f>0.4*DD54+0.6*DD59</f>
        <v>0.45700238992928616</v>
      </c>
      <c r="DE57" s="148">
        <f t="shared" si="11"/>
        <v>356087</v>
      </c>
      <c r="DF57">
        <f t="shared" si="12"/>
        <v>43.322265076562893</v>
      </c>
      <c r="DG57">
        <f t="shared" si="13"/>
        <v>162.73261002274972</v>
      </c>
      <c r="DJ57">
        <f t="shared" si="76"/>
        <v>2010</v>
      </c>
      <c r="DK57" s="152">
        <f t="shared" si="44"/>
        <v>1232.8745174999999</v>
      </c>
      <c r="DL57">
        <f t="shared" si="45"/>
        <v>152.88188194767349</v>
      </c>
      <c r="DM57">
        <f t="shared" si="46"/>
        <v>404.07781026809783</v>
      </c>
      <c r="DW57">
        <f t="shared" si="47"/>
        <v>2010</v>
      </c>
      <c r="DX57">
        <f t="shared" si="94"/>
        <v>0.12400441389419301</v>
      </c>
      <c r="DY57">
        <f t="shared" si="95"/>
        <v>0.3277525851434413</v>
      </c>
      <c r="EB57">
        <f t="shared" si="77"/>
        <v>2010</v>
      </c>
      <c r="EC57">
        <f t="shared" si="78"/>
        <v>94.868899999999996</v>
      </c>
      <c r="EO57">
        <f t="shared" si="16"/>
        <v>2010</v>
      </c>
      <c r="EP57">
        <f t="shared" si="17"/>
        <v>94.868899999999996</v>
      </c>
      <c r="EQ57">
        <f>0.4*EQ54+0.6*EQ59</f>
        <v>6.6174319257553682E-2</v>
      </c>
      <c r="ER57">
        <f>0.4*ER54+0.6*ER59</f>
        <v>1.0269497073139369</v>
      </c>
      <c r="ES57" s="148">
        <f t="shared" si="50"/>
        <v>94868.9</v>
      </c>
      <c r="ET57">
        <f t="shared" si="20"/>
        <v>6.2778848762129345</v>
      </c>
      <c r="EU57">
        <f t="shared" si="21"/>
        <v>97.425589088195139</v>
      </c>
      <c r="EX57">
        <f t="shared" si="79"/>
        <v>2010</v>
      </c>
      <c r="EY57" s="152">
        <f t="shared" si="51"/>
        <v>0</v>
      </c>
      <c r="EZ57">
        <f>DB57+DX57+ET59</f>
        <v>362.67743022589417</v>
      </c>
      <c r="FA57">
        <f>DC57+DY57+EU59</f>
        <v>142.38582870546355</v>
      </c>
      <c r="FE57">
        <f t="shared" si="52"/>
        <v>2010</v>
      </c>
      <c r="FF57" s="184">
        <f>AR57</f>
        <v>101.33062162609632</v>
      </c>
      <c r="FG57" s="184">
        <f>DL57</f>
        <v>152.88188194767349</v>
      </c>
      <c r="FH57" s="184">
        <f>ET57</f>
        <v>6.2778848762129345</v>
      </c>
      <c r="FI57" s="184">
        <f>AS57</f>
        <v>264.85424520514317</v>
      </c>
      <c r="FJ57" s="184">
        <f>DM57</f>
        <v>404.07781026809783</v>
      </c>
      <c r="FK57" s="184">
        <f>EU57</f>
        <v>97.425589088195139</v>
      </c>
      <c r="FL57" s="148">
        <f t="shared" ref="FL57:FL64" si="96">AQ57</f>
        <v>297113.53055999998</v>
      </c>
      <c r="FM57" s="148">
        <f t="shared" ref="FM57:FM64" si="97">DK57*100</f>
        <v>123287.45174999999</v>
      </c>
      <c r="FN57" s="148">
        <f t="shared" ref="FN57:FN64" si="98">ES57</f>
        <v>94868.9</v>
      </c>
      <c r="FP57">
        <f t="shared" si="62"/>
        <v>260.49038844998273</v>
      </c>
      <c r="FQ57">
        <f t="shared" si="63"/>
        <v>766.35764456143613</v>
      </c>
      <c r="FR57" s="148">
        <f>[5]Indicators_NonMan_2018_BEA!U45</f>
        <v>509854.46182999999</v>
      </c>
      <c r="FS57" s="3">
        <f>[5]Indicators_NonMan_2018_BEA!I45</f>
        <v>309258.76013999997</v>
      </c>
      <c r="FU57" s="13">
        <f t="shared" si="64"/>
        <v>0.51091126576595047</v>
      </c>
      <c r="FV57" s="13">
        <f t="shared" si="65"/>
        <v>1.5030909836716533</v>
      </c>
      <c r="FW57" s="13"/>
      <c r="FX57" s="13">
        <f t="shared" si="66"/>
        <v>1.2400441389419301E-3</v>
      </c>
      <c r="FZ57">
        <f t="shared" si="81"/>
        <v>2010</v>
      </c>
      <c r="GA57">
        <f t="shared" si="82"/>
        <v>94868.9</v>
      </c>
      <c r="GB57">
        <f t="shared" si="83"/>
        <v>89468.922290000002</v>
      </c>
    </row>
    <row r="58" spans="3:184" x14ac:dyDescent="0.2">
      <c r="C58">
        <f>'BEA&amp;BLS_Output_data'!E54</f>
        <v>2011</v>
      </c>
      <c r="D58">
        <f>'BEA&amp;BLS_Output_data'!M54</f>
        <v>326850.99456000002</v>
      </c>
      <c r="E58">
        <f>'BEA&amp;BLS_Output_data'!G54</f>
        <v>60402.2</v>
      </c>
      <c r="F58">
        <f>'BEA&amp;BLS_Output_data'!H54</f>
        <v>36301.9</v>
      </c>
      <c r="G58">
        <f>'BEA&amp;BLS_Output_data'!I54</f>
        <v>38369.300000000003</v>
      </c>
      <c r="H58">
        <f>'BEA&amp;BLS_Output_data'!J54</f>
        <v>106756</v>
      </c>
      <c r="I58">
        <f>'BEA&amp;BLS_Output_data'!N54</f>
        <v>130474.38900000001</v>
      </c>
      <c r="J58">
        <f>'BEA&amp;BLS_Output_data'!O54</f>
        <v>101565.5018</v>
      </c>
      <c r="Z58">
        <f t="shared" si="69"/>
        <v>2011</v>
      </c>
      <c r="AA58" s="206">
        <f t="shared" ref="AA58:AA64" si="99">D58*0.0001</f>
        <v>32.685099456000003</v>
      </c>
      <c r="AM58">
        <v>2011</v>
      </c>
      <c r="AN58">
        <f t="shared" si="27"/>
        <v>32.685099456000003</v>
      </c>
      <c r="AO58">
        <f>0.2*AO54+0.8*AO59</f>
        <v>3.4567861236293074</v>
      </c>
      <c r="AP58">
        <f>0.2*AP54+0.8*AP59</f>
        <v>8.3735196040985667</v>
      </c>
      <c r="AQ58" s="3">
        <f t="shared" si="29"/>
        <v>326850.99456000002</v>
      </c>
      <c r="AR58">
        <f t="shared" ref="AR58:AR64" si="100">AO58*AN58</f>
        <v>112.98539824894463</v>
      </c>
      <c r="AS58">
        <f t="shared" ref="AS58:AS64" si="101">AP58*AN58</f>
        <v>273.68932105672741</v>
      </c>
      <c r="AV58">
        <f t="shared" si="70"/>
        <v>2011</v>
      </c>
      <c r="AW58">
        <f t="shared" ref="AW58:AW64" si="102">E58*0.001</f>
        <v>60.402200000000001</v>
      </c>
      <c r="BI58">
        <v>2011</v>
      </c>
      <c r="BJ58">
        <f t="shared" si="33"/>
        <v>60.402200000000001</v>
      </c>
      <c r="BK58">
        <f>0.2*BK54+0.8*BK59</f>
        <v>0.73134188596452088</v>
      </c>
      <c r="BL58">
        <f>0.2*BL54+0.8*BL59</f>
        <v>1.72500772941909</v>
      </c>
      <c r="BM58" s="148">
        <f t="shared" si="35"/>
        <v>60402.2</v>
      </c>
      <c r="BN58">
        <f>BK58*BJ58</f>
        <v>44.174658864406183</v>
      </c>
      <c r="BO58">
        <f>BL58*BJ58</f>
        <v>104.19426187391775</v>
      </c>
      <c r="BR58">
        <f t="shared" si="72"/>
        <v>2011</v>
      </c>
      <c r="BS58">
        <f t="shared" ref="BS58:BS64" si="103">F58*0.01</f>
        <v>363.01900000000001</v>
      </c>
      <c r="CE58">
        <v>2011</v>
      </c>
      <c r="CF58">
        <f t="shared" ref="CF58:CF64" si="104">BS58</f>
        <v>363.01900000000001</v>
      </c>
      <c r="CG58">
        <f>0.2*CG54+0.8*CG59</f>
        <v>0.20411366325835473</v>
      </c>
      <c r="CH58">
        <f>0.2*CH54+0.8*CH59</f>
        <v>0.49623530675204186</v>
      </c>
      <c r="CI58" s="148">
        <f>CF58*1000</f>
        <v>363019</v>
      </c>
      <c r="CJ58">
        <f>CG58*CF58</f>
        <v>74.097137922384675</v>
      </c>
      <c r="CK58">
        <f>CH58*CF58</f>
        <v>180.14284482181949</v>
      </c>
      <c r="CN58">
        <f t="shared" si="74"/>
        <v>2011</v>
      </c>
      <c r="CO58">
        <f t="shared" ref="CO58:CO64" si="105">G58*0.01</f>
        <v>383.69300000000004</v>
      </c>
      <c r="DA58">
        <v>2011</v>
      </c>
      <c r="DB58">
        <f t="shared" ref="DB58:DB64" si="106">CO58</f>
        <v>383.69300000000004</v>
      </c>
      <c r="DC58">
        <f>0.2*DC54+0.8*DC59</f>
        <v>0.1188540189319483</v>
      </c>
      <c r="DD58">
        <f>0.2*DD54+0.8*DD59</f>
        <v>0.48159581368793769</v>
      </c>
      <c r="DE58" s="148">
        <f>DB58*1000</f>
        <v>383693.00000000006</v>
      </c>
      <c r="DF58">
        <f>DC58*DB58</f>
        <v>45.603455086056044</v>
      </c>
      <c r="DG58">
        <f>DD58*DB58</f>
        <v>184.78494254136589</v>
      </c>
      <c r="DJ58">
        <v>2011</v>
      </c>
      <c r="DK58" s="152">
        <f t="shared" si="44"/>
        <v>1304.7438900000002</v>
      </c>
      <c r="DL58">
        <f t="shared" ref="DL58:DM61" si="107">BN58+CJ58+DF58</f>
        <v>163.87525187284689</v>
      </c>
      <c r="DM58">
        <f t="shared" si="107"/>
        <v>469.12204923710317</v>
      </c>
      <c r="DW58">
        <f t="shared" si="47"/>
        <v>2011</v>
      </c>
      <c r="DX58">
        <f t="shared" si="94"/>
        <v>0.12559955492326302</v>
      </c>
      <c r="DY58">
        <f t="shared" si="95"/>
        <v>0.35955106042849766</v>
      </c>
      <c r="EB58">
        <f t="shared" si="77"/>
        <v>2011</v>
      </c>
      <c r="EC58">
        <f t="shared" si="78"/>
        <v>106.756</v>
      </c>
      <c r="EO58">
        <v>2011</v>
      </c>
      <c r="EP58">
        <f t="shared" ref="EP58:EP64" si="108">EC58</f>
        <v>106.756</v>
      </c>
      <c r="EQ58">
        <f>0.2*EQ54+0.8*EQ59</f>
        <v>5.8802275160224682E-2</v>
      </c>
      <c r="ER58">
        <f>0.2*ER54+0.8*ER59</f>
        <v>1.0779151476811568</v>
      </c>
      <c r="ES58" s="148">
        <f t="shared" ref="ES58:ES64" si="109">EP58*1000</f>
        <v>106756</v>
      </c>
      <c r="ET58">
        <f t="shared" ref="ET58:ET64" si="110">EQ58*EP58</f>
        <v>6.2774956870049463</v>
      </c>
      <c r="EU58">
        <f t="shared" ref="EU58:EU64" si="111">ER58*EP58</f>
        <v>115.07390950584957</v>
      </c>
      <c r="EX58">
        <f t="shared" si="79"/>
        <v>2011</v>
      </c>
      <c r="EY58" s="152">
        <f>AX58*0.01</f>
        <v>0</v>
      </c>
      <c r="EZ58">
        <f>DB58+DX58+ET60</f>
        <v>398.24043930332851</v>
      </c>
      <c r="FA58">
        <f>DC58+DY58+EU60</f>
        <v>154.79194759941333</v>
      </c>
      <c r="FE58">
        <v>2011</v>
      </c>
      <c r="FF58" s="184">
        <f>AR58</f>
        <v>112.98539824894463</v>
      </c>
      <c r="FG58" s="184">
        <f>DL58</f>
        <v>163.87525187284689</v>
      </c>
      <c r="FH58" s="184">
        <f>ET58</f>
        <v>6.2774956870049463</v>
      </c>
      <c r="FI58" s="184">
        <f>AS58</f>
        <v>273.68932105672741</v>
      </c>
      <c r="FJ58" s="184">
        <f>DM58</f>
        <v>469.12204923710317</v>
      </c>
      <c r="FK58" s="184">
        <f>EU58</f>
        <v>115.07390950584957</v>
      </c>
      <c r="FL58" s="148">
        <f t="shared" si="96"/>
        <v>326850.99456000002</v>
      </c>
      <c r="FM58" s="148">
        <f t="shared" si="97"/>
        <v>130474.38900000002</v>
      </c>
      <c r="FN58" s="148">
        <f t="shared" si="98"/>
        <v>106756</v>
      </c>
      <c r="FP58">
        <f t="shared" ref="FP58:FP64" si="112">SUM(FF58:FH58)</f>
        <v>283.13814580879648</v>
      </c>
      <c r="FQ58">
        <f t="shared" ref="FQ58:FQ64" si="113">SUM(FI58:FK58)</f>
        <v>857.88527979968012</v>
      </c>
      <c r="FR58" s="148">
        <f>[5]Indicators_NonMan_2018_BEA!U46</f>
        <v>558922.90379000001</v>
      </c>
      <c r="FS58" s="3">
        <f>[5]Indicators_NonMan_2018_BEA!I46</f>
        <v>320758.23603999999</v>
      </c>
      <c r="FU58" s="13">
        <f t="shared" si="64"/>
        <v>0.50657817722062415</v>
      </c>
      <c r="FV58" s="13">
        <f t="shared" si="65"/>
        <v>1.5348901860747635</v>
      </c>
      <c r="FW58" s="13"/>
      <c r="FX58" s="13">
        <f t="shared" si="66"/>
        <v>1.2559955492326303E-3</v>
      </c>
      <c r="FZ58">
        <f t="shared" si="81"/>
        <v>2011</v>
      </c>
      <c r="GA58">
        <f t="shared" si="82"/>
        <v>106756</v>
      </c>
      <c r="GB58">
        <f t="shared" si="83"/>
        <v>101565.5018</v>
      </c>
    </row>
    <row r="59" spans="3:184" x14ac:dyDescent="0.2">
      <c r="C59">
        <f>'BEA&amp;BLS_Output_data'!E55</f>
        <v>2012</v>
      </c>
      <c r="D59">
        <f>'BEA&amp;BLS_Output_data'!M55</f>
        <v>362652</v>
      </c>
      <c r="E59">
        <f>'BEA&amp;BLS_Output_data'!G55</f>
        <v>54424.3</v>
      </c>
      <c r="F59">
        <f>'BEA&amp;BLS_Output_data'!H55</f>
        <v>36413.300000000003</v>
      </c>
      <c r="G59">
        <f>'BEA&amp;BLS_Output_data'!I55</f>
        <v>33829.4</v>
      </c>
      <c r="H59">
        <f>'BEA&amp;BLS_Output_data'!J55</f>
        <v>125732</v>
      </c>
      <c r="I59">
        <f>'BEA&amp;BLS_Output_data'!N55</f>
        <v>124665</v>
      </c>
      <c r="J59">
        <f>'BEA&amp;BLS_Output_data'!O55</f>
        <v>125731</v>
      </c>
      <c r="Z59">
        <f t="shared" si="69"/>
        <v>2012</v>
      </c>
      <c r="AA59" s="206">
        <f t="shared" si="99"/>
        <v>36.2652</v>
      </c>
      <c r="AB59">
        <f>D10</f>
        <v>127.039552156</v>
      </c>
      <c r="AC59">
        <f>O10</f>
        <v>284.05789150507343</v>
      </c>
      <c r="AM59">
        <v>2012</v>
      </c>
      <c r="AN59">
        <f t="shared" ref="AN59:AN64" si="114">AA59</f>
        <v>36.2652</v>
      </c>
      <c r="AO59" s="151">
        <f>AB59/AA59</f>
        <v>3.503070496123005</v>
      </c>
      <c r="AP59" s="151">
        <f>AC59/AA59</f>
        <v>7.8327953935197776</v>
      </c>
      <c r="AQ59" s="3">
        <f t="shared" ref="AQ59:AQ64" si="115">AN59*10000</f>
        <v>362652</v>
      </c>
      <c r="AR59">
        <f t="shared" si="100"/>
        <v>127.039552156</v>
      </c>
      <c r="AS59">
        <f t="shared" si="101"/>
        <v>284.05789150507343</v>
      </c>
      <c r="AV59">
        <f t="shared" si="70"/>
        <v>2012</v>
      </c>
      <c r="AW59">
        <f t="shared" si="102"/>
        <v>54.424300000000002</v>
      </c>
      <c r="AX59">
        <f>E10</f>
        <v>41.009554756</v>
      </c>
      <c r="AY59">
        <f>P10</f>
        <v>98.622817830946644</v>
      </c>
      <c r="BI59">
        <v>2012</v>
      </c>
      <c r="BJ59">
        <f t="shared" si="33"/>
        <v>54.424300000000002</v>
      </c>
      <c r="BK59" s="151">
        <f>AX59/AW59</f>
        <v>0.75351552075084105</v>
      </c>
      <c r="BL59" s="151">
        <f>AY59/AW59</f>
        <v>1.8121099918776473</v>
      </c>
      <c r="BM59" s="148">
        <f t="shared" si="35"/>
        <v>54424.3</v>
      </c>
      <c r="BN59">
        <f>BK59*BJ59</f>
        <v>41.009554756</v>
      </c>
      <c r="BO59">
        <f>BL59*BJ59</f>
        <v>98.622817830946644</v>
      </c>
      <c r="BR59">
        <f t="shared" si="72"/>
        <v>2012</v>
      </c>
      <c r="BS59">
        <f t="shared" si="103"/>
        <v>364.13300000000004</v>
      </c>
      <c r="BT59">
        <f>F10</f>
        <v>74.798403095999987</v>
      </c>
      <c r="BU59">
        <f>Q10</f>
        <v>202.71801720025496</v>
      </c>
      <c r="CE59">
        <v>2012</v>
      </c>
      <c r="CF59">
        <f t="shared" si="104"/>
        <v>364.13300000000004</v>
      </c>
      <c r="CG59" s="151">
        <f>BT59/BS59</f>
        <v>0.2054150628918554</v>
      </c>
      <c r="CH59" s="151">
        <f>BU59/BS59</f>
        <v>0.55671421486175365</v>
      </c>
      <c r="CI59" s="148">
        <f>CF59*1000</f>
        <v>364133.00000000006</v>
      </c>
      <c r="CJ59">
        <f>CG59*CF59</f>
        <v>74.798403095999987</v>
      </c>
      <c r="CK59">
        <f>CH59*CF59</f>
        <v>202.71801720025496</v>
      </c>
      <c r="CN59">
        <f t="shared" si="74"/>
        <v>2012</v>
      </c>
      <c r="CO59">
        <f t="shared" si="105"/>
        <v>338.29400000000004</v>
      </c>
      <c r="CP59">
        <f>G10</f>
        <v>39.257670274423916</v>
      </c>
      <c r="CQ59" s="206">
        <f>R10</f>
        <v>171.24078189275644</v>
      </c>
      <c r="DA59">
        <v>2012</v>
      </c>
      <c r="DB59">
        <f t="shared" si="106"/>
        <v>338.29400000000004</v>
      </c>
      <c r="DC59" s="151">
        <f>CP59/CO59</f>
        <v>0.11604601404229431</v>
      </c>
      <c r="DD59" s="151">
        <f>CQ59/CO59</f>
        <v>0.50618923744658917</v>
      </c>
      <c r="DE59" s="148">
        <f>DB59*1000</f>
        <v>338294.00000000006</v>
      </c>
      <c r="DF59">
        <f>DC59*DB59</f>
        <v>39.257670274423916</v>
      </c>
      <c r="DG59">
        <f>DD59*DB59</f>
        <v>171.24078189275644</v>
      </c>
      <c r="DJ59">
        <v>2012</v>
      </c>
      <c r="DK59" s="152">
        <f t="shared" si="44"/>
        <v>1246.6500000000001</v>
      </c>
      <c r="DL59">
        <f t="shared" si="107"/>
        <v>155.06562812642392</v>
      </c>
      <c r="DM59">
        <f t="shared" si="107"/>
        <v>472.58161692395805</v>
      </c>
      <c r="DW59">
        <f t="shared" si="47"/>
        <v>2012</v>
      </c>
      <c r="DX59">
        <f t="shared" si="94"/>
        <v>0.1243858565968186</v>
      </c>
      <c r="DY59">
        <f t="shared" si="95"/>
        <v>0.37908123123888665</v>
      </c>
      <c r="EB59">
        <f t="shared" si="77"/>
        <v>2012</v>
      </c>
      <c r="EC59">
        <f t="shared" ref="EC59:EC64" si="116">H59*0.001</f>
        <v>125.732</v>
      </c>
      <c r="ED59">
        <f>SUM(I10:M10)</f>
        <v>6.4664258119999998</v>
      </c>
      <c r="EE59">
        <f>SUM(T10:X10)</f>
        <v>141.93641409649851</v>
      </c>
      <c r="EO59">
        <v>2012</v>
      </c>
      <c r="EP59">
        <f t="shared" si="108"/>
        <v>125.732</v>
      </c>
      <c r="EQ59" s="151">
        <f>ED59/EC59</f>
        <v>5.1430231062895682E-2</v>
      </c>
      <c r="ER59" s="151">
        <f>EE59/EC59</f>
        <v>1.1288805880483768</v>
      </c>
      <c r="ES59" s="148">
        <f t="shared" si="109"/>
        <v>125732</v>
      </c>
      <c r="ET59">
        <f t="shared" si="110"/>
        <v>6.4664258119999998</v>
      </c>
      <c r="EU59">
        <f t="shared" si="111"/>
        <v>141.93641409649851</v>
      </c>
      <c r="EX59">
        <f t="shared" si="79"/>
        <v>2012</v>
      </c>
      <c r="EY59" s="152">
        <f t="shared" ref="EY59:EY64" si="117">AX59*0.01</f>
        <v>0.41009554756</v>
      </c>
      <c r="EZ59">
        <f t="shared" ref="EZ59:FA59" si="118">DB59+DX59+ET61</f>
        <v>363.23181998088813</v>
      </c>
      <c r="FA59">
        <f t="shared" si="118"/>
        <v>188.57435252313869</v>
      </c>
      <c r="FE59">
        <v>2012</v>
      </c>
      <c r="FF59" s="184">
        <f>AR59</f>
        <v>127.039552156</v>
      </c>
      <c r="FG59" s="184">
        <f>DL59</f>
        <v>155.06562812642392</v>
      </c>
      <c r="FH59" s="184">
        <f>ET59</f>
        <v>6.4664258119999998</v>
      </c>
      <c r="FI59" s="184">
        <f>AS59</f>
        <v>284.05789150507343</v>
      </c>
      <c r="FJ59" s="184">
        <f>DM59</f>
        <v>472.58161692395805</v>
      </c>
      <c r="FK59" s="184">
        <f>EU59</f>
        <v>141.93641409649851</v>
      </c>
      <c r="FL59" s="148">
        <f t="shared" si="96"/>
        <v>362652</v>
      </c>
      <c r="FM59" s="148">
        <f t="shared" si="97"/>
        <v>124665.00000000001</v>
      </c>
      <c r="FN59" s="148">
        <f t="shared" si="98"/>
        <v>125732</v>
      </c>
      <c r="FP59">
        <f t="shared" si="112"/>
        <v>288.57160609442394</v>
      </c>
      <c r="FQ59">
        <f t="shared" si="113"/>
        <v>898.57592252553002</v>
      </c>
      <c r="FR59" s="148">
        <f>[5]Indicators_NonMan_2018_BEA!U47</f>
        <v>613049</v>
      </c>
      <c r="FS59" s="3">
        <f>[5]Indicators_NonMan_2018_BEA!I47</f>
        <v>358798</v>
      </c>
      <c r="FU59" s="13">
        <f t="shared" si="64"/>
        <v>0.47071540136991324</v>
      </c>
      <c r="FV59" s="13">
        <f t="shared" si="65"/>
        <v>1.4657489409908995</v>
      </c>
      <c r="FW59" s="13"/>
      <c r="FX59" s="13">
        <f t="shared" si="66"/>
        <v>1.243858565968186E-3</v>
      </c>
      <c r="FZ59">
        <f t="shared" si="81"/>
        <v>2012</v>
      </c>
      <c r="GA59">
        <f t="shared" si="82"/>
        <v>125732</v>
      </c>
      <c r="GB59">
        <f t="shared" si="83"/>
        <v>125731</v>
      </c>
    </row>
    <row r="60" spans="3:184" x14ac:dyDescent="0.2">
      <c r="C60">
        <f>'BEA&amp;BLS_Output_data'!E56</f>
        <v>2013</v>
      </c>
      <c r="D60">
        <f>'BEA&amp;BLS_Output_data'!M56</f>
        <v>399758.55264000001</v>
      </c>
      <c r="E60">
        <f>'BEA&amp;BLS_Output_data'!G56</f>
        <v>46871.7</v>
      </c>
      <c r="F60">
        <f>'BEA&amp;BLS_Output_data'!H56</f>
        <v>38102.5</v>
      </c>
      <c r="G60">
        <f>'BEA&amp;BLS_Output_data'!I56</f>
        <v>30541.9</v>
      </c>
      <c r="H60">
        <f>'BEA&amp;BLS_Output_data'!J56</f>
        <v>121777</v>
      </c>
      <c r="I60">
        <f>'BEA&amp;BLS_Output_data'!N56</f>
        <v>120529.86195000001</v>
      </c>
      <c r="J60">
        <f>'BEA&amp;BLS_Output_data'!O56</f>
        <v>119830.44417</v>
      </c>
      <c r="Z60">
        <f t="shared" si="69"/>
        <v>2013</v>
      </c>
      <c r="AA60" s="206">
        <f t="shared" si="99"/>
        <v>39.975855264000003</v>
      </c>
      <c r="AM60">
        <v>2013</v>
      </c>
      <c r="AN60">
        <f t="shared" si="114"/>
        <v>39.975855264000003</v>
      </c>
      <c r="AO60">
        <f>0.8*AO59+0.2*AO64</f>
        <v>3.3715424229317454</v>
      </c>
      <c r="AP60">
        <f>0.8*AP59+0.2*AP64</f>
        <v>9.4879518320216043</v>
      </c>
      <c r="AQ60" s="3">
        <f t="shared" si="115"/>
        <v>399758.55264000001</v>
      </c>
      <c r="AR60">
        <f t="shared" si="100"/>
        <v>134.78029191555535</v>
      </c>
      <c r="AS60">
        <f t="shared" si="101"/>
        <v>379.2889891886993</v>
      </c>
      <c r="AV60">
        <f t="shared" si="70"/>
        <v>2013</v>
      </c>
      <c r="AW60">
        <f t="shared" si="102"/>
        <v>46.871699999999997</v>
      </c>
      <c r="BI60">
        <v>2013</v>
      </c>
      <c r="BJ60">
        <f t="shared" si="33"/>
        <v>46.871699999999997</v>
      </c>
      <c r="BK60">
        <f>0.8*BK59+0.2*BK64</f>
        <v>0.74821173448910394</v>
      </c>
      <c r="BL60">
        <f>0.8*BL59+0.2*BL64</f>
        <v>1.7454843018867292</v>
      </c>
      <c r="BM60" s="148">
        <f t="shared" si="35"/>
        <v>46871.7</v>
      </c>
      <c r="BN60">
        <f>BK60*BJ60</f>
        <v>35.069955955452933</v>
      </c>
      <c r="BO60">
        <f>BL60*BJ60</f>
        <v>81.8138165527442</v>
      </c>
      <c r="BR60">
        <f t="shared" si="72"/>
        <v>2013</v>
      </c>
      <c r="BS60">
        <f t="shared" si="103"/>
        <v>381.02500000000003</v>
      </c>
      <c r="CE60">
        <v>2013</v>
      </c>
      <c r="CF60">
        <f t="shared" si="104"/>
        <v>381.02500000000003</v>
      </c>
      <c r="CG60">
        <f>0.8*CG59+0.2*CG64</f>
        <v>0.20560695099044468</v>
      </c>
      <c r="CH60">
        <f>0.8*CH59+0.2*CH64</f>
        <v>0.58760224999620625</v>
      </c>
      <c r="CI60" s="148">
        <f>CF60*1000</f>
        <v>381025.00000000006</v>
      </c>
      <c r="CJ60">
        <f>CG60*CF60</f>
        <v>78.34138850113419</v>
      </c>
      <c r="CK60">
        <f>CH60*CF60</f>
        <v>223.89114730480452</v>
      </c>
      <c r="CN60">
        <f t="shared" si="74"/>
        <v>2013</v>
      </c>
      <c r="CO60">
        <f t="shared" si="105"/>
        <v>305.41900000000004</v>
      </c>
      <c r="DA60">
        <v>2013</v>
      </c>
      <c r="DB60">
        <f t="shared" si="106"/>
        <v>305.41900000000004</v>
      </c>
      <c r="DC60">
        <f>0.8*DC59+0.2*DC64</f>
        <v>0.12577649672755803</v>
      </c>
      <c r="DD60">
        <f>0.8*DD59+0.2*DD64</f>
        <v>0.51323293465615516</v>
      </c>
      <c r="DE60" s="148">
        <f>DB60*1000</f>
        <v>305419.00000000006</v>
      </c>
      <c r="DF60">
        <f>DC60*DB60</f>
        <v>38.414531854034053</v>
      </c>
      <c r="DG60">
        <f>DD60*DB60</f>
        <v>156.75108966974827</v>
      </c>
      <c r="DJ60">
        <v>2013</v>
      </c>
      <c r="DK60" s="152">
        <f t="shared" si="44"/>
        <v>1205.2986195000001</v>
      </c>
      <c r="DL60">
        <f t="shared" si="107"/>
        <v>151.8258763106212</v>
      </c>
      <c r="DM60">
        <f t="shared" si="107"/>
        <v>462.45605352729694</v>
      </c>
      <c r="DW60">
        <f t="shared" si="47"/>
        <v>2013</v>
      </c>
      <c r="DX60">
        <f t="shared" si="94"/>
        <v>0.12596536149158113</v>
      </c>
      <c r="DY60">
        <f t="shared" si="95"/>
        <v>0.38368587339720001</v>
      </c>
      <c r="EB60">
        <f t="shared" si="77"/>
        <v>2013</v>
      </c>
      <c r="EC60">
        <f t="shared" si="116"/>
        <v>121.777</v>
      </c>
      <c r="EO60">
        <v>2013</v>
      </c>
      <c r="EP60">
        <f t="shared" si="108"/>
        <v>121.777</v>
      </c>
      <c r="EQ60">
        <f>0.8*EQ59+0.2*EQ64</f>
        <v>0.11842827256711227</v>
      </c>
      <c r="ER60">
        <f>0.8*ER59+0.2*ER64</f>
        <v>1.2671813439323756</v>
      </c>
      <c r="ES60" s="148">
        <f t="shared" si="109"/>
        <v>121777</v>
      </c>
      <c r="ET60">
        <f t="shared" si="110"/>
        <v>14.421839748405231</v>
      </c>
      <c r="EU60">
        <f t="shared" si="111"/>
        <v>154.31354252005289</v>
      </c>
      <c r="EX60">
        <f t="shared" si="79"/>
        <v>2013</v>
      </c>
      <c r="EY60" s="152">
        <f t="shared" si="117"/>
        <v>0</v>
      </c>
      <c r="EZ60">
        <f t="shared" ref="EZ60:FA60" si="119">DB60+DX60+ET62</f>
        <v>331.68981799022873</v>
      </c>
      <c r="FA60">
        <f t="shared" si="119"/>
        <v>160.4067716492909</v>
      </c>
      <c r="FE60">
        <v>2013</v>
      </c>
      <c r="FF60" s="184">
        <f>AR60</f>
        <v>134.78029191555535</v>
      </c>
      <c r="FG60" s="184">
        <f t="shared" ref="FG60:FG64" si="120">DL60</f>
        <v>151.8258763106212</v>
      </c>
      <c r="FH60" s="184">
        <f t="shared" ref="FH60:FH64" si="121">ET60</f>
        <v>14.421839748405231</v>
      </c>
      <c r="FI60" s="184">
        <f t="shared" ref="FI60:FI64" si="122">AS60</f>
        <v>379.2889891886993</v>
      </c>
      <c r="FJ60" s="184">
        <f t="shared" ref="FJ60:FJ64" si="123">DM60</f>
        <v>462.45605352729694</v>
      </c>
      <c r="FK60" s="184">
        <f t="shared" ref="FK60:FK64" si="124">EU60</f>
        <v>154.31354252005289</v>
      </c>
      <c r="FL60" s="148">
        <f t="shared" si="96"/>
        <v>399758.55264000001</v>
      </c>
      <c r="FM60" s="148">
        <f t="shared" si="97"/>
        <v>120529.86195000001</v>
      </c>
      <c r="FN60" s="148">
        <f t="shared" si="98"/>
        <v>121777</v>
      </c>
      <c r="FP60">
        <f t="shared" si="112"/>
        <v>301.02800797458178</v>
      </c>
      <c r="FQ60">
        <f t="shared" si="113"/>
        <v>996.05858523604923</v>
      </c>
      <c r="FR60" s="148">
        <f>[5]Indicators_NonMan_2018_BEA!U48</f>
        <v>640954.99048000004</v>
      </c>
      <c r="FS60" s="3">
        <f>[5]Indicators_NonMan_2018_BEA!I48</f>
        <v>372927.46524000005</v>
      </c>
      <c r="FU60" s="13">
        <f t="shared" si="64"/>
        <v>0.46965545544648485</v>
      </c>
      <c r="FV60" s="13">
        <f t="shared" si="65"/>
        <v>1.5540226693454999</v>
      </c>
      <c r="FW60" s="13"/>
      <c r="FX60" s="13">
        <f t="shared" si="66"/>
        <v>1.2596536149158113E-3</v>
      </c>
      <c r="FZ60">
        <f t="shared" si="81"/>
        <v>2013</v>
      </c>
      <c r="GA60">
        <f t="shared" si="82"/>
        <v>121777</v>
      </c>
      <c r="GB60">
        <f t="shared" si="83"/>
        <v>119830.44417</v>
      </c>
    </row>
    <row r="61" spans="3:184" x14ac:dyDescent="0.2">
      <c r="C61">
        <f>'BEA&amp;BLS_Output_data'!E57</f>
        <v>2014</v>
      </c>
      <c r="D61">
        <f>'BEA&amp;BLS_Output_data'!M57</f>
        <v>451073.81064000004</v>
      </c>
      <c r="E61">
        <f>'BEA&amp;BLS_Output_data'!G57</f>
        <v>51497.7</v>
      </c>
      <c r="F61">
        <f>'BEA&amp;BLS_Output_data'!H57</f>
        <v>40821.1</v>
      </c>
      <c r="G61">
        <f>'BEA&amp;BLS_Output_data'!I57</f>
        <v>29905.599999999999</v>
      </c>
      <c r="H61">
        <f>'BEA&amp;BLS_Output_data'!J57</f>
        <v>133818.29999999999</v>
      </c>
      <c r="I61">
        <f>'BEA&amp;BLS_Output_data'!N57</f>
        <v>125770.77855</v>
      </c>
      <c r="J61">
        <f>'BEA&amp;BLS_Output_data'!O57</f>
        <v>146982.05361999999</v>
      </c>
      <c r="Z61">
        <f t="shared" si="69"/>
        <v>2014</v>
      </c>
      <c r="AA61" s="206">
        <f t="shared" si="99"/>
        <v>45.107381064000009</v>
      </c>
      <c r="AM61" s="108">
        <v>2014</v>
      </c>
      <c r="AN61">
        <f t="shared" si="114"/>
        <v>45.107381064000009</v>
      </c>
      <c r="AO61">
        <f>0.6*AO59+0.4*AO64</f>
        <v>3.2400143497404859</v>
      </c>
      <c r="AP61">
        <f>0.6*AP59+0.4*AP64</f>
        <v>11.143108270523427</v>
      </c>
      <c r="AQ61" s="3">
        <f t="shared" si="115"/>
        <v>451073.8106400001</v>
      </c>
      <c r="AR61">
        <f t="shared" si="100"/>
        <v>146.14856192657228</v>
      </c>
      <c r="AS61">
        <f t="shared" si="101"/>
        <v>502.63643099591036</v>
      </c>
      <c r="AV61">
        <f t="shared" si="70"/>
        <v>2014</v>
      </c>
      <c r="AW61">
        <f t="shared" si="102"/>
        <v>51.497699999999995</v>
      </c>
      <c r="BI61">
        <v>2014</v>
      </c>
      <c r="BJ61">
        <f t="shared" si="33"/>
        <v>51.497699999999995</v>
      </c>
      <c r="BK61">
        <f>0.6*BK59+0.4*BK64</f>
        <v>0.74290794822736661</v>
      </c>
      <c r="BL61">
        <f>0.6*BL59+0.4*BL64</f>
        <v>1.6788586118958109</v>
      </c>
      <c r="BM61" s="148">
        <f t="shared" si="35"/>
        <v>51497.7</v>
      </c>
      <c r="BN61">
        <f>BK61*BJ61</f>
        <v>38.258050645428455</v>
      </c>
      <c r="BO61">
        <f>BL61*BJ61</f>
        <v>86.457357137826889</v>
      </c>
      <c r="BR61">
        <f t="shared" si="72"/>
        <v>2014</v>
      </c>
      <c r="BS61">
        <f t="shared" si="103"/>
        <v>408.21100000000001</v>
      </c>
      <c r="CE61">
        <v>2014</v>
      </c>
      <c r="CF61">
        <f t="shared" si="104"/>
        <v>408.21100000000001</v>
      </c>
      <c r="CG61">
        <f>0.6*CG59+0.4*CG64</f>
        <v>0.20579883908903396</v>
      </c>
      <c r="CH61">
        <f>0.6*CH59+0.4*CH64</f>
        <v>0.61849028513065885</v>
      </c>
      <c r="CI61" s="148">
        <f>CF61*1000</f>
        <v>408211</v>
      </c>
      <c r="CJ61">
        <f>CG61*CF61</f>
        <v>84.009349903373646</v>
      </c>
      <c r="CK61">
        <f>CH61*CF61</f>
        <v>252.47453778347139</v>
      </c>
      <c r="CN61">
        <f t="shared" si="74"/>
        <v>2014</v>
      </c>
      <c r="CO61">
        <f t="shared" si="105"/>
        <v>299.05599999999998</v>
      </c>
      <c r="DA61">
        <v>2014</v>
      </c>
      <c r="DB61">
        <f t="shared" si="106"/>
        <v>299.05599999999998</v>
      </c>
      <c r="DC61">
        <f>0.6*DC59+0.4*DC64</f>
        <v>0.13550697941282172</v>
      </c>
      <c r="DD61">
        <f>0.6*DD59+0.4*DD64</f>
        <v>0.52027663186572115</v>
      </c>
      <c r="DE61" s="148">
        <f>DB61*1000</f>
        <v>299056</v>
      </c>
      <c r="DF61">
        <f>DC61*DB61</f>
        <v>40.524175235280808</v>
      </c>
      <c r="DG61">
        <f>DD61*DB61</f>
        <v>155.59184841923511</v>
      </c>
      <c r="DJ61">
        <v>2014</v>
      </c>
      <c r="DK61" s="152">
        <f t="shared" si="44"/>
        <v>1257.7077855</v>
      </c>
      <c r="DL61">
        <f t="shared" si="107"/>
        <v>162.79157578408291</v>
      </c>
      <c r="DM61">
        <f t="shared" si="107"/>
        <v>494.52374334053343</v>
      </c>
      <c r="DW61">
        <f t="shared" si="47"/>
        <v>2014</v>
      </c>
      <c r="DX61">
        <f t="shared" si="94"/>
        <v>0.12943513402786588</v>
      </c>
      <c r="DY61">
        <f t="shared" si="95"/>
        <v>0.39319446777848815</v>
      </c>
      <c r="EB61">
        <f t="shared" si="77"/>
        <v>2014</v>
      </c>
      <c r="EC61">
        <f t="shared" si="116"/>
        <v>133.81829999999999</v>
      </c>
      <c r="EO61">
        <v>2014</v>
      </c>
      <c r="EP61">
        <f t="shared" si="108"/>
        <v>133.81829999999999</v>
      </c>
      <c r="EQ61">
        <f>0.6*EQ59+0.4*EQ64</f>
        <v>0.18542631407132884</v>
      </c>
      <c r="ER61">
        <f>0.6*ER59+0.4*ER64</f>
        <v>1.4054820998163744</v>
      </c>
      <c r="ES61" s="148">
        <f t="shared" si="109"/>
        <v>133818.29999999999</v>
      </c>
      <c r="ET61">
        <f t="shared" si="110"/>
        <v>24.813434124291302</v>
      </c>
      <c r="EU61">
        <f t="shared" si="111"/>
        <v>188.07922527785752</v>
      </c>
      <c r="EX61">
        <f t="shared" si="79"/>
        <v>2014</v>
      </c>
      <c r="EY61" s="152">
        <f t="shared" si="117"/>
        <v>0</v>
      </c>
      <c r="EZ61">
        <f t="shared" ref="EZ61:FA61" si="125">DB61+DX61+ET63</f>
        <v>316.48947270879006</v>
      </c>
      <c r="FA61">
        <f t="shared" si="125"/>
        <v>91.652048729190341</v>
      </c>
      <c r="FE61">
        <v>2014</v>
      </c>
      <c r="FF61" s="184">
        <f>AR61</f>
        <v>146.14856192657228</v>
      </c>
      <c r="FG61" s="184">
        <f t="shared" si="120"/>
        <v>162.79157578408291</v>
      </c>
      <c r="FH61" s="184">
        <f t="shared" si="121"/>
        <v>24.813434124291302</v>
      </c>
      <c r="FI61" s="184">
        <f t="shared" si="122"/>
        <v>502.63643099591036</v>
      </c>
      <c r="FJ61" s="184">
        <f t="shared" si="123"/>
        <v>494.52374334053343</v>
      </c>
      <c r="FK61" s="184">
        <f t="shared" si="124"/>
        <v>188.07922527785752</v>
      </c>
      <c r="FL61" s="148">
        <f t="shared" si="96"/>
        <v>451073.8106400001</v>
      </c>
      <c r="FM61" s="148">
        <f t="shared" si="97"/>
        <v>125770.77855</v>
      </c>
      <c r="FN61" s="148">
        <f t="shared" si="98"/>
        <v>133818.29999999999</v>
      </c>
      <c r="FP61">
        <f t="shared" si="112"/>
        <v>333.75357183494651</v>
      </c>
      <c r="FQ61">
        <f t="shared" si="113"/>
        <v>1185.2393996143014</v>
      </c>
      <c r="FR61" s="148">
        <f>[5]Indicators_NonMan_2018_BEA!U49</f>
        <v>725623.18787000002</v>
      </c>
      <c r="FS61" s="3">
        <f>[5]Indicators_NonMan_2018_BEA!I49</f>
        <v>413808.90935999999</v>
      </c>
      <c r="FU61" s="13">
        <f t="shared" si="64"/>
        <v>0.4599543914998766</v>
      </c>
      <c r="FV61" s="13">
        <f t="shared" si="65"/>
        <v>1.6334089365218087</v>
      </c>
      <c r="FW61" s="13"/>
      <c r="FX61" s="13">
        <f t="shared" si="66"/>
        <v>1.294351340278659E-3</v>
      </c>
      <c r="FZ61">
        <f t="shared" si="81"/>
        <v>2014</v>
      </c>
      <c r="GA61">
        <f t="shared" si="82"/>
        <v>133818.29999999999</v>
      </c>
      <c r="GB61">
        <f t="shared" si="83"/>
        <v>146982.05361999999</v>
      </c>
    </row>
    <row r="62" spans="3:184" x14ac:dyDescent="0.2">
      <c r="C62">
        <v>2015</v>
      </c>
      <c r="D62">
        <f>'BEA&amp;BLS_Output_data'!M58</f>
        <v>442203.34272000002</v>
      </c>
      <c r="E62">
        <f>'BEA&amp;BLS_Output_data'!G58</f>
        <v>49311.4</v>
      </c>
      <c r="F62">
        <f>'BEA&amp;BLS_Output_data'!H58</f>
        <v>41256.800000000003</v>
      </c>
      <c r="G62">
        <f>'BEA&amp;BLS_Output_data'!I58</f>
        <v>27609.5</v>
      </c>
      <c r="H62">
        <f>'BEA&amp;BLS_Output_data'!J58</f>
        <v>103575</v>
      </c>
      <c r="I62">
        <f>'BEA&amp;BLS_Output_data'!N58</f>
        <v>118489.09590000001</v>
      </c>
      <c r="J62">
        <f>'BEA&amp;BLS_Output_data'!O58</f>
        <v>116156.58435</v>
      </c>
      <c r="Z62">
        <f>Z61+1</f>
        <v>2015</v>
      </c>
      <c r="AA62" s="206">
        <f t="shared" si="99"/>
        <v>44.220334272000002</v>
      </c>
      <c r="AM62" s="108">
        <v>2015</v>
      </c>
      <c r="AN62">
        <f t="shared" si="114"/>
        <v>44.220334272000002</v>
      </c>
      <c r="AO62">
        <f>0.4*AO59+0.6*AO64</f>
        <v>3.1084862765492263</v>
      </c>
      <c r="AP62">
        <f>0.4*AP59+0.6*AP64</f>
        <v>12.798264709025254</v>
      </c>
      <c r="AQ62" s="3">
        <f t="shared" si="115"/>
        <v>442203.34272000002</v>
      </c>
      <c r="AR62">
        <f t="shared" si="100"/>
        <v>137.45830222893142</v>
      </c>
      <c r="AS62">
        <f t="shared" si="101"/>
        <v>565.94354353463757</v>
      </c>
      <c r="AV62">
        <f t="shared" si="70"/>
        <v>2015</v>
      </c>
      <c r="AW62">
        <f t="shared" si="102"/>
        <v>49.311399999999999</v>
      </c>
      <c r="BI62">
        <v>2015</v>
      </c>
      <c r="BJ62">
        <f t="shared" si="33"/>
        <v>49.311399999999999</v>
      </c>
      <c r="BK62">
        <f>0.4*BK59+0.6*BK64</f>
        <v>0.7376041619656295</v>
      </c>
      <c r="BL62">
        <f>0.4*BL59+0.6*BL64</f>
        <v>1.612232921904893</v>
      </c>
      <c r="BM62" s="148">
        <f t="shared" ref="BM62:BM64" si="126">BJ62*1000</f>
        <v>49311.4</v>
      </c>
      <c r="BN62">
        <f t="shared" ref="BN62:BN64" si="127">BK62*BJ62</f>
        <v>36.372293872351939</v>
      </c>
      <c r="BO62">
        <f t="shared" ref="BO62:BO64" si="128">BL62*BJ62</f>
        <v>79.501462505220942</v>
      </c>
      <c r="BR62">
        <f t="shared" si="72"/>
        <v>2015</v>
      </c>
      <c r="BS62">
        <f t="shared" si="103"/>
        <v>412.56800000000004</v>
      </c>
      <c r="CE62">
        <v>2015</v>
      </c>
      <c r="CF62">
        <f t="shared" si="104"/>
        <v>412.56800000000004</v>
      </c>
      <c r="CG62">
        <f>0.4*CG59+0.6*CG64</f>
        <v>0.20599072718762323</v>
      </c>
      <c r="CH62">
        <f>0.4*CH59+0.6*CH64</f>
        <v>0.64937832026511133</v>
      </c>
      <c r="CI62" s="148">
        <f t="shared" ref="CI62:CI64" si="129">CF62*1000</f>
        <v>412568.00000000006</v>
      </c>
      <c r="CJ62">
        <f t="shared" ref="CJ62:CJ64" si="130">CG62*CF62</f>
        <v>84.985182334343349</v>
      </c>
      <c r="CK62">
        <f t="shared" ref="CK62:CK64" si="131">CH62*CF62</f>
        <v>267.91271483513646</v>
      </c>
      <c r="CN62">
        <f t="shared" si="74"/>
        <v>2015</v>
      </c>
      <c r="CO62">
        <f t="shared" si="105"/>
        <v>276.09500000000003</v>
      </c>
      <c r="DA62">
        <v>2015</v>
      </c>
      <c r="DB62">
        <f t="shared" si="106"/>
        <v>276.09500000000003</v>
      </c>
      <c r="DC62">
        <f>0.4*DC59+0.6*DC64</f>
        <v>0.14523746209808541</v>
      </c>
      <c r="DD62">
        <f>0.4*DD59+0.6*DD64</f>
        <v>0.52732032907528714</v>
      </c>
      <c r="DE62" s="148">
        <f t="shared" ref="DE62:DE64" si="132">DB62*1000</f>
        <v>276095</v>
      </c>
      <c r="DF62">
        <f t="shared" ref="DF62:DF64" si="133">DC62*DB62</f>
        <v>40.099337097970896</v>
      </c>
      <c r="DG62">
        <f t="shared" ref="DG62:DG64" si="134">DD62*DB62</f>
        <v>145.59050625604141</v>
      </c>
      <c r="DJ62">
        <v>2015</v>
      </c>
      <c r="DK62" s="152">
        <f t="shared" si="44"/>
        <v>1184.8909590000001</v>
      </c>
      <c r="DL62">
        <f t="shared" ref="DL62:DL64" si="135">BN62+CJ62+DF62</f>
        <v>161.45681330466618</v>
      </c>
      <c r="DM62">
        <f t="shared" ref="DM62:DM64" si="136">BO62+CK62+DG62</f>
        <v>493.00468359639882</v>
      </c>
      <c r="DW62">
        <v>2015</v>
      </c>
      <c r="DX62">
        <f t="shared" ref="DX62:DX64" si="137">DL62/$DK62</f>
        <v>0.13626301397466076</v>
      </c>
      <c r="DY62">
        <f t="shared" ref="DY62:DY64" si="138">DM62/$DK62</f>
        <v>0.4160759940412363</v>
      </c>
      <c r="EB62">
        <f t="shared" si="77"/>
        <v>2015</v>
      </c>
      <c r="EC62">
        <f t="shared" si="116"/>
        <v>103.575</v>
      </c>
      <c r="EO62">
        <v>2015</v>
      </c>
      <c r="EP62">
        <f t="shared" si="108"/>
        <v>103.575</v>
      </c>
      <c r="EQ62">
        <f>0.4*EQ59+0.6*EQ64</f>
        <v>0.25242435557554538</v>
      </c>
      <c r="ER62">
        <f>0.4*ER59+0.6*ER64</f>
        <v>1.543782855700373</v>
      </c>
      <c r="ES62" s="148">
        <f t="shared" si="109"/>
        <v>103575</v>
      </c>
      <c r="ET62">
        <f t="shared" si="110"/>
        <v>26.144852628737112</v>
      </c>
      <c r="EU62">
        <f t="shared" si="111"/>
        <v>159.89730927916614</v>
      </c>
      <c r="EX62">
        <f t="shared" si="79"/>
        <v>2015</v>
      </c>
      <c r="EY62" s="152">
        <f t="shared" si="117"/>
        <v>0</v>
      </c>
      <c r="EZ62">
        <f t="shared" ref="EZ62:FA62" si="139">DB62+DX62+ET64</f>
        <v>305.75923304997468</v>
      </c>
      <c r="FA62">
        <f t="shared" si="139"/>
        <v>139.66434655030415</v>
      </c>
      <c r="FE62">
        <v>2015</v>
      </c>
      <c r="FF62" s="184">
        <f t="shared" ref="FF62:FF64" si="140">AR62</f>
        <v>137.45830222893142</v>
      </c>
      <c r="FG62" s="184">
        <f t="shared" si="120"/>
        <v>161.45681330466618</v>
      </c>
      <c r="FH62" s="184">
        <f t="shared" si="121"/>
        <v>26.144852628737112</v>
      </c>
      <c r="FI62" s="184">
        <f t="shared" si="122"/>
        <v>565.94354353463757</v>
      </c>
      <c r="FJ62" s="184">
        <f t="shared" si="123"/>
        <v>493.00468359639882</v>
      </c>
      <c r="FK62" s="184">
        <f t="shared" si="124"/>
        <v>159.89730927916614</v>
      </c>
      <c r="FL62" s="148">
        <f t="shared" si="96"/>
        <v>442203.34272000002</v>
      </c>
      <c r="FM62" s="148">
        <f t="shared" si="97"/>
        <v>118489.0959</v>
      </c>
      <c r="FN62" s="148">
        <f t="shared" si="98"/>
        <v>103575</v>
      </c>
      <c r="FP62">
        <f t="shared" si="112"/>
        <v>325.05996816233471</v>
      </c>
      <c r="FQ62">
        <f t="shared" si="113"/>
        <v>1218.8455364102026</v>
      </c>
      <c r="FR62" s="148">
        <f>[5]Indicators_NonMan_2018_BEA!U50</f>
        <v>674151.59383000003</v>
      </c>
      <c r="FS62" s="3">
        <f>[5]Indicators_NonMan_2018_BEA!I50</f>
        <v>448791.71435999998</v>
      </c>
      <c r="FU62" s="13">
        <f t="shared" si="64"/>
        <v>0.4821763697325096</v>
      </c>
      <c r="FV62" s="13">
        <f t="shared" si="65"/>
        <v>1.8079695243108145</v>
      </c>
      <c r="FW62" s="13"/>
      <c r="FX62" s="13">
        <f t="shared" si="66"/>
        <v>1.3626301397466076E-3</v>
      </c>
      <c r="FZ62">
        <f t="shared" si="81"/>
        <v>2015</v>
      </c>
      <c r="GA62">
        <f t="shared" si="82"/>
        <v>103575</v>
      </c>
      <c r="GB62">
        <f t="shared" si="83"/>
        <v>116156.58435</v>
      </c>
    </row>
    <row r="63" spans="3:184" x14ac:dyDescent="0.2">
      <c r="C63">
        <v>2016</v>
      </c>
      <c r="D63">
        <f>'BEA&amp;BLS_Output_data'!M59</f>
        <v>423998.21231999999</v>
      </c>
      <c r="E63">
        <f>'BEA&amp;BLS_Output_data'!G59</f>
        <v>45160.5</v>
      </c>
      <c r="F63">
        <f>'BEA&amp;BLS_Output_data'!H59</f>
        <v>37321.199999999997</v>
      </c>
      <c r="G63">
        <f>'BEA&amp;BLS_Output_data'!I59</f>
        <v>26235.5</v>
      </c>
      <c r="H63">
        <f>'BEA&amp;BLS_Output_data'!J59</f>
        <v>54172.9</v>
      </c>
      <c r="I63">
        <f>'BEA&amp;BLS_Output_data'!N59</f>
        <v>106046.28225</v>
      </c>
      <c r="J63">
        <f>'BEA&amp;BLS_Output_data'!O59</f>
        <v>59814.008629999997</v>
      </c>
      <c r="Z63">
        <f>Z62+1</f>
        <v>2016</v>
      </c>
      <c r="AA63" s="206">
        <f t="shared" si="99"/>
        <v>42.399821232000001</v>
      </c>
      <c r="AM63" s="108">
        <v>2016</v>
      </c>
      <c r="AN63">
        <f t="shared" si="114"/>
        <v>42.399821232000001</v>
      </c>
      <c r="AO63">
        <f>0.2*AO59+0.8*AO64</f>
        <v>2.9769582033579667</v>
      </c>
      <c r="AP63">
        <f>0.2*AP59+0.8*AP64</f>
        <v>14.453421147527079</v>
      </c>
      <c r="AQ63" s="3">
        <f t="shared" si="115"/>
        <v>423998.21231999999</v>
      </c>
      <c r="AR63">
        <f t="shared" si="100"/>
        <v>126.22249563751369</v>
      </c>
      <c r="AS63">
        <f t="shared" si="101"/>
        <v>612.82247284595644</v>
      </c>
      <c r="AV63">
        <f t="shared" si="70"/>
        <v>2016</v>
      </c>
      <c r="AW63">
        <f t="shared" si="102"/>
        <v>45.160499999999999</v>
      </c>
      <c r="BI63">
        <v>2016</v>
      </c>
      <c r="BJ63">
        <f t="shared" si="33"/>
        <v>45.160499999999999</v>
      </c>
      <c r="BK63">
        <f>0.2*BK59+0.8*BK64</f>
        <v>0.73230037570389228</v>
      </c>
      <c r="BL63">
        <f>0.2*BL59+0.8*BL64</f>
        <v>1.5456072319139746</v>
      </c>
      <c r="BM63" s="148">
        <f t="shared" si="126"/>
        <v>45160.5</v>
      </c>
      <c r="BN63">
        <f t="shared" si="127"/>
        <v>33.071051116975624</v>
      </c>
      <c r="BO63">
        <f t="shared" si="128"/>
        <v>69.800395396851044</v>
      </c>
      <c r="BR63">
        <f t="shared" si="72"/>
        <v>2016</v>
      </c>
      <c r="BS63">
        <f t="shared" si="103"/>
        <v>373.21199999999999</v>
      </c>
      <c r="CE63">
        <v>2016</v>
      </c>
      <c r="CF63">
        <f t="shared" si="104"/>
        <v>373.21199999999999</v>
      </c>
      <c r="CG63">
        <f>0.2*CG59+0.8*CG64</f>
        <v>0.20618261528621248</v>
      </c>
      <c r="CH63">
        <f>0.2*CH59+0.8*CH64</f>
        <v>0.68026635539956404</v>
      </c>
      <c r="CI63" s="148">
        <f t="shared" si="129"/>
        <v>373212</v>
      </c>
      <c r="CJ63">
        <f t="shared" si="130"/>
        <v>76.949826216197934</v>
      </c>
      <c r="CK63">
        <f t="shared" si="131"/>
        <v>253.88356703138209</v>
      </c>
      <c r="CN63">
        <f t="shared" si="74"/>
        <v>2016</v>
      </c>
      <c r="CO63">
        <f t="shared" si="105"/>
        <v>262.35500000000002</v>
      </c>
      <c r="DA63">
        <v>2016</v>
      </c>
      <c r="DB63">
        <f t="shared" si="106"/>
        <v>262.35500000000002</v>
      </c>
      <c r="DC63">
        <f>0.2*DC59+0.8*DC64</f>
        <v>0.15496794478334913</v>
      </c>
      <c r="DD63">
        <f>0.2*DD59+0.8*DD64</f>
        <v>0.53436402628485313</v>
      </c>
      <c r="DE63" s="148">
        <f t="shared" si="132"/>
        <v>262355</v>
      </c>
      <c r="DF63">
        <f t="shared" si="133"/>
        <v>40.656615153635563</v>
      </c>
      <c r="DG63">
        <f t="shared" si="134"/>
        <v>140.19307411596265</v>
      </c>
      <c r="DJ63">
        <v>2016</v>
      </c>
      <c r="DK63" s="152">
        <f t="shared" si="44"/>
        <v>1060.4628225000001</v>
      </c>
      <c r="DL63">
        <f t="shared" si="135"/>
        <v>150.67749248680911</v>
      </c>
      <c r="DM63">
        <f t="shared" si="136"/>
        <v>463.87703654419579</v>
      </c>
      <c r="DW63">
        <v>2016</v>
      </c>
      <c r="DX63">
        <f t="shared" si="137"/>
        <v>0.14208653928253021</v>
      </c>
      <c r="DY63">
        <f t="shared" si="138"/>
        <v>0.43742885342328514</v>
      </c>
      <c r="EB63">
        <f t="shared" si="77"/>
        <v>2016</v>
      </c>
      <c r="EC63">
        <f t="shared" si="116"/>
        <v>54.172900000000006</v>
      </c>
      <c r="EO63">
        <v>2016</v>
      </c>
      <c r="EP63">
        <f t="shared" si="108"/>
        <v>54.172900000000006</v>
      </c>
      <c r="EQ63">
        <f>0.2*EQ59+0.8*EQ64</f>
        <v>0.319422397079762</v>
      </c>
      <c r="ER63">
        <f>0.2*ER59+0.8*ER64</f>
        <v>1.6820836115843718</v>
      </c>
      <c r="ES63" s="148">
        <f t="shared" si="109"/>
        <v>54172.900000000009</v>
      </c>
      <c r="ET63">
        <f t="shared" si="110"/>
        <v>17.304037574762241</v>
      </c>
      <c r="EU63">
        <f t="shared" si="111"/>
        <v>91.123347281999031</v>
      </c>
      <c r="EX63">
        <f t="shared" si="79"/>
        <v>2016</v>
      </c>
      <c r="EY63" s="152">
        <f t="shared" si="117"/>
        <v>0</v>
      </c>
      <c r="EZ63">
        <f t="shared" ref="EZ63:FA63" si="141">DB63+DX63+ET65</f>
        <v>262.49708653928252</v>
      </c>
      <c r="FA63">
        <f t="shared" si="141"/>
        <v>0.59239679820663427</v>
      </c>
      <c r="FE63">
        <v>2016</v>
      </c>
      <c r="FF63" s="184">
        <f t="shared" si="140"/>
        <v>126.22249563751369</v>
      </c>
      <c r="FG63" s="184">
        <f t="shared" si="120"/>
        <v>150.67749248680911</v>
      </c>
      <c r="FH63" s="184">
        <f t="shared" si="121"/>
        <v>17.304037574762241</v>
      </c>
      <c r="FI63" s="184">
        <f t="shared" si="122"/>
        <v>612.82247284595644</v>
      </c>
      <c r="FJ63" s="184">
        <f t="shared" si="123"/>
        <v>463.87703654419579</v>
      </c>
      <c r="FK63" s="184">
        <f t="shared" si="124"/>
        <v>91.123347281999031</v>
      </c>
      <c r="FL63" s="148">
        <f t="shared" si="96"/>
        <v>423998.21231999999</v>
      </c>
      <c r="FM63" s="148">
        <f t="shared" si="97"/>
        <v>106046.28225000002</v>
      </c>
      <c r="FN63" s="148">
        <f t="shared" si="98"/>
        <v>54172.900000000009</v>
      </c>
      <c r="FP63">
        <f t="shared" si="112"/>
        <v>294.20402569908504</v>
      </c>
      <c r="FQ63">
        <f t="shared" si="113"/>
        <v>1167.8228566721514</v>
      </c>
      <c r="FR63" s="148">
        <f>[5]Indicators_NonMan_2018_BEA!U51</f>
        <v>562123.01957</v>
      </c>
      <c r="FS63" s="3">
        <f>[5]Indicators_NonMan_2018_BEA!I51</f>
        <v>422832.67905999999</v>
      </c>
      <c r="FU63" s="13">
        <f t="shared" si="64"/>
        <v>0.52338014181333203</v>
      </c>
      <c r="FV63" s="13">
        <f t="shared" si="65"/>
        <v>2.0775218520057863</v>
      </c>
      <c r="FW63" s="13"/>
      <c r="FX63" s="13">
        <f t="shared" si="66"/>
        <v>1.4208653928253019E-3</v>
      </c>
      <c r="FZ63">
        <f t="shared" si="81"/>
        <v>2016</v>
      </c>
      <c r="GA63">
        <f t="shared" si="82"/>
        <v>54172.9</v>
      </c>
      <c r="GB63">
        <f t="shared" si="83"/>
        <v>59814.008629999997</v>
      </c>
    </row>
    <row r="64" spans="3:184" x14ac:dyDescent="0.2">
      <c r="C64">
        <v>2017</v>
      </c>
      <c r="D64">
        <f>'BEA&amp;BLS_Output_data'!M60</f>
        <v>456952.39955999999</v>
      </c>
      <c r="E64">
        <f>'BEA&amp;BLS_Output_data'!G60</f>
        <v>43535.4</v>
      </c>
      <c r="F64">
        <f>'BEA&amp;BLS_Output_data'!H60</f>
        <v>35659.4</v>
      </c>
      <c r="G64">
        <f>'BEA&amp;BLS_Output_data'!I60</f>
        <v>26555.4</v>
      </c>
      <c r="H64">
        <f>'BEA&amp;BLS_Output_data'!J60</f>
        <v>76414.100000000006</v>
      </c>
      <c r="I64">
        <f>'BEA&amp;BLS_Output_data'!N60</f>
        <v>110363.43120000001</v>
      </c>
      <c r="J64">
        <f>'BEA&amp;BLS_Output_data'!O60</f>
        <v>84870.93961999999</v>
      </c>
      <c r="Z64">
        <f>Z63+1</f>
        <v>2017</v>
      </c>
      <c r="AA64" s="206">
        <f t="shared" si="99"/>
        <v>45.695239956000002</v>
      </c>
      <c r="AB64" s="206">
        <f>D11</f>
        <v>130.022612576</v>
      </c>
      <c r="AC64" s="206">
        <f>O11</f>
        <v>736.08531814343405</v>
      </c>
      <c r="AM64" s="108">
        <v>2017</v>
      </c>
      <c r="AN64">
        <f t="shared" si="114"/>
        <v>45.695239956000002</v>
      </c>
      <c r="AO64" s="151">
        <f>AB64/AA64</f>
        <v>2.8454301301667071</v>
      </c>
      <c r="AP64" s="151">
        <f>AC64/AA64</f>
        <v>16.108577586028904</v>
      </c>
      <c r="AQ64" s="3">
        <f t="shared" si="115"/>
        <v>456952.39955999999</v>
      </c>
      <c r="AR64">
        <f t="shared" si="100"/>
        <v>130.022612576</v>
      </c>
      <c r="AS64">
        <f t="shared" si="101"/>
        <v>736.08531814343405</v>
      </c>
      <c r="AV64">
        <f t="shared" si="70"/>
        <v>2017</v>
      </c>
      <c r="AW64">
        <f t="shared" si="102"/>
        <v>43.535400000000003</v>
      </c>
      <c r="AX64" s="206">
        <f>E11</f>
        <v>31.650087320000001</v>
      </c>
      <c r="AY64" s="206">
        <f>P11</f>
        <v>64.388053020237038</v>
      </c>
      <c r="BI64">
        <v>2017</v>
      </c>
      <c r="BJ64">
        <f t="shared" si="33"/>
        <v>43.535400000000003</v>
      </c>
      <c r="BK64" s="151">
        <f>AX64/AW64</f>
        <v>0.72699658944215506</v>
      </c>
      <c r="BL64" s="151">
        <f>AY64/AW64</f>
        <v>1.4789815419230565</v>
      </c>
      <c r="BM64" s="148">
        <f t="shared" si="126"/>
        <v>43535.4</v>
      </c>
      <c r="BN64">
        <f t="shared" si="127"/>
        <v>31.650087320000001</v>
      </c>
      <c r="BO64">
        <f t="shared" si="128"/>
        <v>64.388053020237038</v>
      </c>
      <c r="BR64">
        <f t="shared" si="72"/>
        <v>2017</v>
      </c>
      <c r="BS64">
        <f t="shared" si="103"/>
        <v>356.59399999999999</v>
      </c>
      <c r="BT64" s="206">
        <f>F11</f>
        <v>73.591909659999999</v>
      </c>
      <c r="BU64" s="206">
        <f>Q11</f>
        <v>253.5933887380871</v>
      </c>
      <c r="CE64">
        <v>2017</v>
      </c>
      <c r="CF64">
        <f t="shared" si="104"/>
        <v>356.59399999999999</v>
      </c>
      <c r="CG64" s="151">
        <f>BT64/BS64</f>
        <v>0.20637450338480176</v>
      </c>
      <c r="CH64" s="151">
        <f>BU64/BS64</f>
        <v>0.71115439053401652</v>
      </c>
      <c r="CI64" s="148">
        <f t="shared" si="129"/>
        <v>356594</v>
      </c>
      <c r="CJ64">
        <f t="shared" si="130"/>
        <v>73.591909659999999</v>
      </c>
      <c r="CK64">
        <f t="shared" si="131"/>
        <v>253.59338873808707</v>
      </c>
      <c r="CN64">
        <f t="shared" si="74"/>
        <v>2017</v>
      </c>
      <c r="CO64">
        <f t="shared" si="105"/>
        <v>265.55400000000003</v>
      </c>
      <c r="CP64" s="206">
        <f>G11</f>
        <v>43.736326208000015</v>
      </c>
      <c r="CQ64" s="206">
        <f>R11</f>
        <v>143.772986604837</v>
      </c>
      <c r="DA64">
        <v>2017</v>
      </c>
      <c r="DB64">
        <f t="shared" si="106"/>
        <v>265.55400000000003</v>
      </c>
      <c r="DC64" s="151">
        <f>CP64/CO64</f>
        <v>0.16469842746861282</v>
      </c>
      <c r="DD64" s="151">
        <f>CQ64/CO64</f>
        <v>0.54140772349441912</v>
      </c>
      <c r="DE64" s="148">
        <f t="shared" si="132"/>
        <v>265554.00000000006</v>
      </c>
      <c r="DF64">
        <f t="shared" si="133"/>
        <v>43.736326208000015</v>
      </c>
      <c r="DG64">
        <f t="shared" si="134"/>
        <v>143.772986604837</v>
      </c>
      <c r="DJ64">
        <v>2017</v>
      </c>
      <c r="DK64" s="152">
        <f t="shared" si="44"/>
        <v>1103.6343120000001</v>
      </c>
      <c r="DL64">
        <f t="shared" si="135"/>
        <v>148.97832318800002</v>
      </c>
      <c r="DM64">
        <f t="shared" si="136"/>
        <v>461.75442836316108</v>
      </c>
      <c r="DW64">
        <v>2017</v>
      </c>
      <c r="DX64">
        <f t="shared" si="137"/>
        <v>0.13498884691073287</v>
      </c>
      <c r="DY64">
        <f t="shared" si="138"/>
        <v>0.41839441139372713</v>
      </c>
      <c r="EB64">
        <f t="shared" si="77"/>
        <v>2017</v>
      </c>
      <c r="EC64">
        <f t="shared" si="116"/>
        <v>76.414100000000005</v>
      </c>
      <c r="ED64" s="206">
        <f>SUM(I11:M11)</f>
        <v>29.527970035999999</v>
      </c>
      <c r="EE64" s="206">
        <f>SUM(T11:X11)</f>
        <v>139.10303309416483</v>
      </c>
      <c r="EO64">
        <v>2017</v>
      </c>
      <c r="EP64">
        <f t="shared" si="108"/>
        <v>76.414100000000005</v>
      </c>
      <c r="EQ64" s="151">
        <f>ED64/EC64</f>
        <v>0.38642043858397856</v>
      </c>
      <c r="ER64" s="151">
        <f>EE64/EC64</f>
        <v>1.8203843674683706</v>
      </c>
      <c r="ES64" s="148">
        <f t="shared" si="109"/>
        <v>76414.100000000006</v>
      </c>
      <c r="ET64">
        <f t="shared" si="110"/>
        <v>29.527970035999999</v>
      </c>
      <c r="EU64">
        <f t="shared" si="111"/>
        <v>139.10303309416483</v>
      </c>
      <c r="EX64">
        <f t="shared" si="79"/>
        <v>2017</v>
      </c>
      <c r="EY64" s="152">
        <f t="shared" si="117"/>
        <v>0.31650087320000003</v>
      </c>
      <c r="EZ64">
        <f t="shared" ref="EZ64:FA64" si="142">DB64+DX64+ET66</f>
        <v>265.68898884691077</v>
      </c>
      <c r="FA64">
        <f t="shared" si="142"/>
        <v>0.58309283886233998</v>
      </c>
      <c r="FE64">
        <v>2017</v>
      </c>
      <c r="FF64" s="184">
        <f t="shared" si="140"/>
        <v>130.022612576</v>
      </c>
      <c r="FG64" s="184">
        <f t="shared" si="120"/>
        <v>148.97832318800002</v>
      </c>
      <c r="FH64" s="184">
        <f t="shared" si="121"/>
        <v>29.527970035999999</v>
      </c>
      <c r="FI64" s="184">
        <f t="shared" si="122"/>
        <v>736.08531814343405</v>
      </c>
      <c r="FJ64" s="184">
        <f t="shared" si="123"/>
        <v>461.75442836316108</v>
      </c>
      <c r="FK64" s="184">
        <f t="shared" si="124"/>
        <v>139.10303309416483</v>
      </c>
      <c r="FL64" s="148">
        <f t="shared" si="96"/>
        <v>456952.39955999999</v>
      </c>
      <c r="FM64" s="148">
        <f t="shared" si="97"/>
        <v>110363.43120000002</v>
      </c>
      <c r="FN64" s="148">
        <f t="shared" si="98"/>
        <v>76414.100000000006</v>
      </c>
      <c r="FP64">
        <f t="shared" si="112"/>
        <v>308.52890580000002</v>
      </c>
      <c r="FQ64">
        <f t="shared" si="113"/>
        <v>1336.9427796007599</v>
      </c>
      <c r="FR64" s="148">
        <f>[5]Indicators_NonMan_2018_BEA!U52</f>
        <v>629822.02064</v>
      </c>
      <c r="FS64" s="3">
        <f>[5]Indicators_NonMan_2018_BEA!I52</f>
        <v>453072.17450000002</v>
      </c>
      <c r="FU64" s="13">
        <f t="shared" si="64"/>
        <v>0.48986681266953047</v>
      </c>
      <c r="FV64" s="13">
        <f t="shared" si="65"/>
        <v>2.1227310824131109</v>
      </c>
      <c r="FW64" s="13"/>
      <c r="FX64" s="13">
        <f t="shared" si="66"/>
        <v>1.3498884691073285E-3</v>
      </c>
      <c r="FZ64">
        <f t="shared" si="81"/>
        <v>2017</v>
      </c>
      <c r="GA64">
        <f t="shared" si="82"/>
        <v>76414.100000000006</v>
      </c>
      <c r="GB64">
        <f t="shared" si="83"/>
        <v>84870.93961999999</v>
      </c>
    </row>
    <row r="65" spans="39:175" x14ac:dyDescent="0.2">
      <c r="BI65" s="130"/>
      <c r="BJ65" s="130"/>
      <c r="BK65" s="130"/>
      <c r="BL65" s="130"/>
      <c r="BM65" s="130"/>
      <c r="BN65" s="130"/>
      <c r="BO65" s="130"/>
      <c r="ES65" s="148"/>
      <c r="FR65" s="3">
        <f>[5]Indicators_NonMan_2018_BEA!U53</f>
        <v>709782.0017100001</v>
      </c>
      <c r="FS65" s="3">
        <f>[5]Indicators_NonMan_2018_BEA!I53</f>
        <v>467904.88381999999</v>
      </c>
    </row>
    <row r="66" spans="39:175" x14ac:dyDescent="0.2">
      <c r="FG66" s="185" t="s">
        <v>448</v>
      </c>
      <c r="FH66" s="120"/>
      <c r="FI66" s="120"/>
    </row>
    <row r="67" spans="39:175" x14ac:dyDescent="0.2">
      <c r="DA67" s="108" t="s">
        <v>391</v>
      </c>
      <c r="DC67">
        <f>(DC39-DC24)/15</f>
        <v>1.9985110054293229E-3</v>
      </c>
      <c r="DD67">
        <f>(DD34-DD24)/15</f>
        <v>-7.6629219646026535E-3</v>
      </c>
      <c r="DX67" s="108" t="s">
        <v>399</v>
      </c>
      <c r="EO67" s="108" t="s">
        <v>391</v>
      </c>
      <c r="EQ67">
        <f>(EQ39-EQ24)/15</f>
        <v>-1.3389337004460064E-3</v>
      </c>
      <c r="ER67">
        <f>(ER34-ER24)/10</f>
        <v>-3.2602271251865267E-2</v>
      </c>
    </row>
    <row r="68" spans="39:175" x14ac:dyDescent="0.2">
      <c r="AM68" s="108" t="s">
        <v>391</v>
      </c>
      <c r="AO68">
        <f>(AO39-AO24)/15</f>
        <v>4.7694508790592581E-2</v>
      </c>
      <c r="AP68">
        <f>(AP34-AP24)/10</f>
        <v>0.25499278287490396</v>
      </c>
      <c r="BI68" s="108" t="s">
        <v>391</v>
      </c>
      <c r="BK68">
        <f>(BK39-BK24)/15</f>
        <v>-1.3715790748875478E-2</v>
      </c>
      <c r="BL68">
        <f>(BL34-BL24)/10</f>
        <v>-2.4487203054423333E-2</v>
      </c>
      <c r="CE68" s="108" t="s">
        <v>391</v>
      </c>
      <c r="CG68">
        <f>(CG39-CG24)/15</f>
        <v>3.2831937194680396E-3</v>
      </c>
      <c r="CH68">
        <f>(CH34-CH24)/10</f>
        <v>-1.0563020755590199E-2</v>
      </c>
      <c r="DX68" s="108" t="s">
        <v>400</v>
      </c>
    </row>
    <row r="69" spans="39:175" x14ac:dyDescent="0.2">
      <c r="DX69" s="108" t="s">
        <v>401</v>
      </c>
    </row>
  </sheetData>
  <mergeCells count="4">
    <mergeCell ref="FF15:FH15"/>
    <mergeCell ref="FI15:FK15"/>
    <mergeCell ref="FL15:FN15"/>
    <mergeCell ref="E14:H14"/>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AZ61"/>
  <sheetViews>
    <sheetView workbookViewId="0">
      <selection activeCell="F15" sqref="F15"/>
    </sheetView>
  </sheetViews>
  <sheetFormatPr defaultRowHeight="12.75" x14ac:dyDescent="0.2"/>
  <cols>
    <col min="2" max="2" width="22.85546875" customWidth="1"/>
    <col min="14" max="14" width="11" customWidth="1"/>
  </cols>
  <sheetData>
    <row r="3" spans="2:52" x14ac:dyDescent="0.2">
      <c r="B3" s="108" t="s">
        <v>450</v>
      </c>
      <c r="F3" s="108" t="s">
        <v>450</v>
      </c>
    </row>
    <row r="4" spans="2:52" x14ac:dyDescent="0.2">
      <c r="F4">
        <f>1972</f>
        <v>1972</v>
      </c>
      <c r="G4">
        <f>F4+1</f>
        <v>1973</v>
      </c>
      <c r="H4">
        <f t="shared" ref="H4:AR4" si="0">G4+1</f>
        <v>1974</v>
      </c>
      <c r="I4">
        <f t="shared" si="0"/>
        <v>1975</v>
      </c>
      <c r="J4">
        <f t="shared" si="0"/>
        <v>1976</v>
      </c>
      <c r="K4">
        <f t="shared" si="0"/>
        <v>1977</v>
      </c>
      <c r="L4">
        <f t="shared" si="0"/>
        <v>1978</v>
      </c>
      <c r="M4">
        <f t="shared" si="0"/>
        <v>1979</v>
      </c>
      <c r="N4">
        <f t="shared" si="0"/>
        <v>1980</v>
      </c>
      <c r="O4">
        <f t="shared" si="0"/>
        <v>1981</v>
      </c>
      <c r="P4">
        <f t="shared" si="0"/>
        <v>1982</v>
      </c>
      <c r="Q4">
        <f t="shared" si="0"/>
        <v>1983</v>
      </c>
      <c r="R4">
        <f t="shared" si="0"/>
        <v>1984</v>
      </c>
      <c r="S4">
        <f t="shared" si="0"/>
        <v>1985</v>
      </c>
      <c r="T4">
        <f t="shared" si="0"/>
        <v>1986</v>
      </c>
      <c r="U4">
        <f t="shared" si="0"/>
        <v>1987</v>
      </c>
      <c r="V4">
        <f t="shared" si="0"/>
        <v>1988</v>
      </c>
      <c r="W4">
        <f t="shared" si="0"/>
        <v>1989</v>
      </c>
      <c r="X4">
        <f t="shared" si="0"/>
        <v>1990</v>
      </c>
      <c r="Y4">
        <f t="shared" si="0"/>
        <v>1991</v>
      </c>
      <c r="Z4">
        <f t="shared" si="0"/>
        <v>1992</v>
      </c>
      <c r="AA4">
        <f t="shared" si="0"/>
        <v>1993</v>
      </c>
      <c r="AB4">
        <f t="shared" si="0"/>
        <v>1994</v>
      </c>
      <c r="AC4">
        <f t="shared" si="0"/>
        <v>1995</v>
      </c>
      <c r="AD4">
        <f t="shared" si="0"/>
        <v>1996</v>
      </c>
      <c r="AE4">
        <f t="shared" si="0"/>
        <v>1997</v>
      </c>
      <c r="AF4">
        <f t="shared" si="0"/>
        <v>1998</v>
      </c>
      <c r="AG4">
        <f t="shared" si="0"/>
        <v>1999</v>
      </c>
      <c r="AH4">
        <f t="shared" si="0"/>
        <v>2000</v>
      </c>
      <c r="AI4">
        <f t="shared" si="0"/>
        <v>2001</v>
      </c>
      <c r="AJ4">
        <f t="shared" si="0"/>
        <v>2002</v>
      </c>
      <c r="AK4">
        <f t="shared" si="0"/>
        <v>2003</v>
      </c>
      <c r="AL4">
        <f t="shared" si="0"/>
        <v>2004</v>
      </c>
      <c r="AM4">
        <f t="shared" si="0"/>
        <v>2005</v>
      </c>
      <c r="AN4">
        <f t="shared" si="0"/>
        <v>2006</v>
      </c>
      <c r="AO4">
        <f t="shared" si="0"/>
        <v>2007</v>
      </c>
      <c r="AP4">
        <f t="shared" si="0"/>
        <v>2008</v>
      </c>
      <c r="AQ4">
        <f t="shared" si="0"/>
        <v>2009</v>
      </c>
      <c r="AR4">
        <f t="shared" si="0"/>
        <v>2010</v>
      </c>
      <c r="AS4">
        <f>AR4+1</f>
        <v>2011</v>
      </c>
      <c r="AT4">
        <f>AS4+1</f>
        <v>2012</v>
      </c>
      <c r="AU4">
        <f>AT4+1</f>
        <v>2013</v>
      </c>
      <c r="AV4">
        <f>AU4+1</f>
        <v>2014</v>
      </c>
      <c r="AW4">
        <v>2015</v>
      </c>
      <c r="AX4">
        <v>2016</v>
      </c>
      <c r="AY4">
        <v>2017</v>
      </c>
      <c r="AZ4">
        <v>2018</v>
      </c>
    </row>
    <row r="5" spans="2:52" x14ac:dyDescent="0.2">
      <c r="B5" t="str">
        <f>[6]Output_2005!A8</f>
        <v>Oil and gas extraction</v>
      </c>
      <c r="C5">
        <f>[6]Output_2005!B8</f>
        <v>211</v>
      </c>
      <c r="D5">
        <f>[6]Output_2005!C8</f>
        <v>0</v>
      </c>
      <c r="E5">
        <f>[6]Output_2005!D8</f>
        <v>7</v>
      </c>
      <c r="F5">
        <f>[7]ind18!C21</f>
        <v>309991.3</v>
      </c>
      <c r="G5">
        <f>[7]ind18!D21</f>
        <v>309749.2</v>
      </c>
      <c r="H5">
        <f>[7]ind18!E21</f>
        <v>302494.59999999998</v>
      </c>
      <c r="I5">
        <f>[7]ind18!F21</f>
        <v>285147.7</v>
      </c>
      <c r="J5">
        <f>[7]ind18!G21</f>
        <v>287641.40000000002</v>
      </c>
      <c r="K5">
        <f>[7]ind18!H21</f>
        <v>293324.3</v>
      </c>
      <c r="L5">
        <f>[7]ind18!I21</f>
        <v>296484.8</v>
      </c>
      <c r="M5">
        <f>[7]ind18!J21</f>
        <v>290227.90000000002</v>
      </c>
      <c r="N5">
        <f>[7]ind18!K21</f>
        <v>283580.5</v>
      </c>
      <c r="O5">
        <f>[7]ind18!L21</f>
        <v>275395.8</v>
      </c>
      <c r="P5">
        <f>[7]ind18!M21</f>
        <v>261998.7</v>
      </c>
      <c r="Q5">
        <f>[7]ind18!N21</f>
        <v>256619</v>
      </c>
      <c r="R5">
        <f>[7]ind18!O21</f>
        <v>273724.59999999998</v>
      </c>
      <c r="S5">
        <f>[7]ind18!P21</f>
        <v>273362.8</v>
      </c>
      <c r="T5">
        <f>[7]ind18!Q21</f>
        <v>265565.2</v>
      </c>
      <c r="U5">
        <f>[7]ind18!R21</f>
        <v>271811.09999999998</v>
      </c>
      <c r="V5">
        <f>[7]ind18!S21</f>
        <v>277201</v>
      </c>
      <c r="W5">
        <f>[7]ind18!T21</f>
        <v>263837.90000000002</v>
      </c>
      <c r="X5">
        <f>[7]ind18!U21</f>
        <v>267884.3</v>
      </c>
      <c r="Y5">
        <f>[7]ind18!V21</f>
        <v>275220.09999999998</v>
      </c>
      <c r="Z5">
        <f>[7]ind18!W21</f>
        <v>267824.2</v>
      </c>
      <c r="AA5">
        <f>[7]ind18!X21</f>
        <v>265507.8</v>
      </c>
      <c r="AB5">
        <f>[7]ind18!Y21</f>
        <v>265105.8</v>
      </c>
      <c r="AC5">
        <f>[7]ind18!Z21</f>
        <v>271588.7</v>
      </c>
      <c r="AD5">
        <f>[7]ind18!AA21</f>
        <v>270205.59999999998</v>
      </c>
      <c r="AE5">
        <f>[7]ind18!AB21</f>
        <v>288357.2</v>
      </c>
      <c r="AF5">
        <f>[7]ind18!AC21</f>
        <v>286848</v>
      </c>
      <c r="AG5">
        <f>[7]ind18!AD21</f>
        <v>270358</v>
      </c>
      <c r="AH5">
        <f>[7]ind18!AE21</f>
        <v>266174</v>
      </c>
      <c r="AI5">
        <f>[7]ind18!AF21</f>
        <v>272008.2</v>
      </c>
      <c r="AJ5">
        <f>[7]ind18!AG21</f>
        <v>265291.09999999998</v>
      </c>
      <c r="AK5">
        <f>[7]ind18!AH21</f>
        <v>256829.1</v>
      </c>
      <c r="AL5">
        <f>[7]ind18!AI21</f>
        <v>234846</v>
      </c>
      <c r="AM5">
        <f>[7]ind18!AJ21</f>
        <v>226629</v>
      </c>
      <c r="AN5">
        <f>[7]ind18!AK21</f>
        <v>236568.1</v>
      </c>
      <c r="AO5">
        <f>[7]ind18!AL21</f>
        <v>244748.79999999999</v>
      </c>
      <c r="AP5">
        <f>[7]ind18!AM21</f>
        <v>260214.8</v>
      </c>
      <c r="AQ5">
        <f>[7]ind18!AN21</f>
        <v>278010.40000000002</v>
      </c>
      <c r="AR5">
        <f>[7]ind18!AO21</f>
        <v>296416.8</v>
      </c>
      <c r="AS5">
        <f>[7]ind18!AP21</f>
        <v>341802.4</v>
      </c>
      <c r="AT5">
        <f>[7]ind18!AQ21</f>
        <v>362651</v>
      </c>
      <c r="AU5">
        <f>[7]ind18!AR21</f>
        <v>365585.4</v>
      </c>
      <c r="AV5">
        <f>[7]ind18!AS21</f>
        <v>395206.2</v>
      </c>
      <c r="AW5">
        <f>[7]ind18!AT21</f>
        <v>409657.3</v>
      </c>
      <c r="AX5">
        <f>[7]ind18!AU21</f>
        <v>387770.2</v>
      </c>
      <c r="AY5">
        <f>[7]ind18!AV21</f>
        <v>433056.5</v>
      </c>
      <c r="AZ5">
        <f>[7]ind18!AW21</f>
        <v>466007.4</v>
      </c>
    </row>
    <row r="6" spans="2:52" x14ac:dyDescent="0.2">
      <c r="B6" t="str">
        <f>[6]Output_2005!A9</f>
        <v>Coal mining</v>
      </c>
      <c r="C6">
        <f>[6]Output_2005!B9</f>
        <v>2121</v>
      </c>
      <c r="D6">
        <f>[6]Output_2005!C9</f>
        <v>0</v>
      </c>
      <c r="E6">
        <f>[6]Output_2005!D9</f>
        <v>8</v>
      </c>
      <c r="F6">
        <f>[7]ind18!C24</f>
        <v>26254.7</v>
      </c>
      <c r="G6">
        <f>[7]ind18!D24</f>
        <v>27935</v>
      </c>
      <c r="H6">
        <f>[7]ind18!E24</f>
        <v>29955</v>
      </c>
      <c r="I6">
        <f>[7]ind18!F24</f>
        <v>30547.599999999999</v>
      </c>
      <c r="J6">
        <f>[7]ind18!G24</f>
        <v>30807.3</v>
      </c>
      <c r="K6">
        <f>[7]ind18!H24</f>
        <v>31221.9</v>
      </c>
      <c r="L6">
        <f>[7]ind18!I24</f>
        <v>30922.9</v>
      </c>
      <c r="M6">
        <f>[7]ind18!J24</f>
        <v>36961.5</v>
      </c>
      <c r="N6">
        <f>[7]ind18!K24</f>
        <v>40121.300000000003</v>
      </c>
      <c r="O6">
        <f>[7]ind18!L24</f>
        <v>39546.800000000003</v>
      </c>
      <c r="P6">
        <f>[7]ind18!M24</f>
        <v>36781.1</v>
      </c>
      <c r="Q6">
        <f>[7]ind18!N24</f>
        <v>36144.400000000001</v>
      </c>
      <c r="R6">
        <f>[7]ind18!O24</f>
        <v>41794.5</v>
      </c>
      <c r="S6">
        <f>[7]ind18!P24</f>
        <v>39784.9</v>
      </c>
      <c r="T6">
        <f>[7]ind18!Q24</f>
        <v>39861.300000000003</v>
      </c>
      <c r="U6">
        <f>[7]ind18!R24</f>
        <v>39160.9</v>
      </c>
      <c r="V6">
        <f>[7]ind18!S24</f>
        <v>42907.9</v>
      </c>
      <c r="W6">
        <f>[7]ind18!T24</f>
        <v>43378.3</v>
      </c>
      <c r="X6">
        <f>[7]ind18!U24</f>
        <v>45954.8</v>
      </c>
      <c r="Y6">
        <f>[7]ind18!V24</f>
        <v>47600.9</v>
      </c>
      <c r="Z6">
        <f>[7]ind18!W24</f>
        <v>46454.1</v>
      </c>
      <c r="AA6">
        <f>[7]ind18!X24</f>
        <v>43899.4</v>
      </c>
      <c r="AB6">
        <f>[7]ind18!Y24</f>
        <v>48470.7</v>
      </c>
      <c r="AC6">
        <f>[7]ind18!Z24</f>
        <v>46743.7</v>
      </c>
      <c r="AD6">
        <f>[7]ind18!AA24</f>
        <v>48546.7</v>
      </c>
      <c r="AE6">
        <f>[7]ind18!AB24</f>
        <v>50852</v>
      </c>
      <c r="AF6">
        <f>[7]ind18!AC24</f>
        <v>51075.3</v>
      </c>
      <c r="AG6">
        <f>[7]ind18!AD24</f>
        <v>50191.5</v>
      </c>
      <c r="AH6">
        <f>[7]ind18!AE24</f>
        <v>51202.2</v>
      </c>
      <c r="AI6">
        <f>[7]ind18!AF24</f>
        <v>49237.4</v>
      </c>
      <c r="AJ6">
        <f>[7]ind18!AG24</f>
        <v>46056.4</v>
      </c>
      <c r="AK6">
        <f>[7]ind18!AH24</f>
        <v>45653.9</v>
      </c>
      <c r="AL6">
        <f>[7]ind18!AI24</f>
        <v>48325.5</v>
      </c>
      <c r="AM6">
        <f>[7]ind18!AJ24</f>
        <v>52203.1</v>
      </c>
      <c r="AN6">
        <f>[7]ind18!AK24</f>
        <v>59843.9</v>
      </c>
      <c r="AO6">
        <f>[7]ind18!AL24</f>
        <v>60779.5</v>
      </c>
      <c r="AP6">
        <f>[7]ind18!AM24</f>
        <v>58513.4</v>
      </c>
      <c r="AQ6">
        <f>[7]ind18!AN24</f>
        <v>50887.4</v>
      </c>
      <c r="AR6">
        <f>[7]ind18!AO24</f>
        <v>52086.400000000001</v>
      </c>
      <c r="AS6">
        <f>[7]ind18!AP24</f>
        <v>60402.2</v>
      </c>
      <c r="AT6">
        <f>[7]ind18!AQ24</f>
        <v>54424.3</v>
      </c>
      <c r="AU6">
        <f>[7]ind18!AR24</f>
        <v>46871.7</v>
      </c>
      <c r="AV6">
        <f>[7]ind18!AS24</f>
        <v>51497.7</v>
      </c>
      <c r="AW6">
        <f>[7]ind18!AT24</f>
        <v>49311.4</v>
      </c>
      <c r="AX6">
        <f>[7]ind18!AU24</f>
        <v>45160.5</v>
      </c>
      <c r="AY6">
        <f>[7]ind18!AV24</f>
        <v>43535.4</v>
      </c>
      <c r="AZ6">
        <f>[7]ind18!AW24</f>
        <v>44385.8</v>
      </c>
    </row>
    <row r="7" spans="2:52" x14ac:dyDescent="0.2">
      <c r="B7" t="str">
        <f>[6]Output_2005!A10</f>
        <v>Metal ore mining</v>
      </c>
      <c r="C7">
        <f>[6]Output_2005!B10</f>
        <v>2122</v>
      </c>
      <c r="D7">
        <f>[6]Output_2005!C10</f>
        <v>0</v>
      </c>
      <c r="E7">
        <f>[6]Output_2005!D10</f>
        <v>9</v>
      </c>
      <c r="F7">
        <f>[7]ind18!C27</f>
        <v>35480.1</v>
      </c>
      <c r="G7">
        <f>[7]ind18!D27</f>
        <v>43506.400000000001</v>
      </c>
      <c r="H7">
        <f>[7]ind18!E27</f>
        <v>42016.6</v>
      </c>
      <c r="I7">
        <f>[7]ind18!F27</f>
        <v>35789.800000000003</v>
      </c>
      <c r="J7">
        <f>[7]ind18!G27</f>
        <v>37280.400000000001</v>
      </c>
      <c r="K7">
        <f>[7]ind18!H27</f>
        <v>35985.599999999999</v>
      </c>
      <c r="L7">
        <f>[7]ind18!I27</f>
        <v>40087.699999999997</v>
      </c>
      <c r="M7">
        <f>[7]ind18!J27</f>
        <v>43596.3</v>
      </c>
      <c r="N7">
        <f>[7]ind18!K27</f>
        <v>42202.7</v>
      </c>
      <c r="O7">
        <f>[7]ind18!L27</f>
        <v>40787.300000000003</v>
      </c>
      <c r="P7">
        <f>[7]ind18!M27</f>
        <v>25816.1</v>
      </c>
      <c r="Q7">
        <f>[7]ind18!N27</f>
        <v>23521.599999999999</v>
      </c>
      <c r="R7">
        <f>[7]ind18!O27</f>
        <v>31103.3</v>
      </c>
      <c r="S7">
        <f>[7]ind18!P27</f>
        <v>31507.7</v>
      </c>
      <c r="T7">
        <f>[7]ind18!Q27</f>
        <v>29646.3</v>
      </c>
      <c r="U7">
        <f>[7]ind18!R27</f>
        <v>27296.400000000001</v>
      </c>
      <c r="V7">
        <f>[7]ind18!S27</f>
        <v>29600.6</v>
      </c>
      <c r="W7">
        <f>[7]ind18!T27</f>
        <v>33669.1</v>
      </c>
      <c r="X7">
        <f>[7]ind18!U27</f>
        <v>35790.199999999997</v>
      </c>
      <c r="Y7">
        <f>[7]ind18!V27</f>
        <v>37644.1</v>
      </c>
      <c r="Z7">
        <f>[7]ind18!W27</f>
        <v>37689.5</v>
      </c>
      <c r="AA7">
        <f>[7]ind18!X27</f>
        <v>35930</v>
      </c>
      <c r="AB7">
        <f>[7]ind18!Y27</f>
        <v>37455.800000000003</v>
      </c>
      <c r="AC7">
        <f>[7]ind18!Z27</f>
        <v>39135.599999999999</v>
      </c>
      <c r="AD7">
        <f>[7]ind18!AA27</f>
        <v>39496.699999999997</v>
      </c>
      <c r="AE7">
        <f>[7]ind18!AB27</f>
        <v>40360.1</v>
      </c>
      <c r="AF7">
        <f>[7]ind18!AC27</f>
        <v>45213.1</v>
      </c>
      <c r="AG7">
        <f>[7]ind18!AD27</f>
        <v>42828.3</v>
      </c>
      <c r="AH7">
        <f>[7]ind18!AE27</f>
        <v>40076.699999999997</v>
      </c>
      <c r="AI7">
        <f>[7]ind18!AF27</f>
        <v>41148.1</v>
      </c>
      <c r="AJ7">
        <f>[7]ind18!AG27</f>
        <v>37024.800000000003</v>
      </c>
      <c r="AK7">
        <f>[7]ind18!AH27</f>
        <v>37166.5</v>
      </c>
      <c r="AL7">
        <f>[7]ind18!AI27</f>
        <v>34750.400000000001</v>
      </c>
      <c r="AM7">
        <f>[7]ind18!AJ27</f>
        <v>36232.300000000003</v>
      </c>
      <c r="AN7">
        <f>[7]ind18!AK27</f>
        <v>34244.300000000003</v>
      </c>
      <c r="AO7">
        <f>[7]ind18!AL27</f>
        <v>34237.5</v>
      </c>
      <c r="AP7">
        <f>[7]ind18!AM27</f>
        <v>37974</v>
      </c>
      <c r="AQ7">
        <f>[7]ind18!AN27</f>
        <v>40915.699999999997</v>
      </c>
      <c r="AR7">
        <f>[7]ind18!AO27</f>
        <v>35807.300000000003</v>
      </c>
      <c r="AS7">
        <f>[7]ind18!AP27</f>
        <v>36301.9</v>
      </c>
      <c r="AT7">
        <f>[7]ind18!AQ27</f>
        <v>36413.300000000003</v>
      </c>
      <c r="AU7">
        <f>[7]ind18!AR27</f>
        <v>38102.5</v>
      </c>
      <c r="AV7">
        <f>[7]ind18!AS27</f>
        <v>40821.1</v>
      </c>
      <c r="AW7">
        <f>[7]ind18!AT27</f>
        <v>41256.800000000003</v>
      </c>
      <c r="AX7">
        <f>[7]ind18!AU27</f>
        <v>37321.199999999997</v>
      </c>
      <c r="AY7">
        <f>[7]ind18!AV27</f>
        <v>35659.4</v>
      </c>
      <c r="AZ7">
        <f>[7]ind18!AW27</f>
        <v>42597.599999999999</v>
      </c>
    </row>
    <row r="8" spans="2:52" x14ac:dyDescent="0.2">
      <c r="B8" t="str">
        <f>[6]Output_2005!A11</f>
        <v>Nonmetallic mineral mining and quarrying</v>
      </c>
      <c r="C8">
        <f>[6]Output_2005!B11</f>
        <v>2123</v>
      </c>
      <c r="D8">
        <f>[6]Output_2005!C11</f>
        <v>0</v>
      </c>
      <c r="E8">
        <f>[6]Output_2005!D11</f>
        <v>10</v>
      </c>
      <c r="F8">
        <f>[7]ind18!C30</f>
        <v>25783.200000000001</v>
      </c>
      <c r="G8">
        <f>[7]ind18!D30</f>
        <v>29727.1</v>
      </c>
      <c r="H8">
        <f>[7]ind18!E30</f>
        <v>30502.3</v>
      </c>
      <c r="I8">
        <f>[7]ind18!F30</f>
        <v>25397.8</v>
      </c>
      <c r="J8">
        <f>[7]ind18!G30</f>
        <v>25468.5</v>
      </c>
      <c r="K8">
        <f>[7]ind18!H30</f>
        <v>26501.7</v>
      </c>
      <c r="L8">
        <f>[7]ind18!I30</f>
        <v>28943.4</v>
      </c>
      <c r="M8">
        <f>[7]ind18!J30</f>
        <v>30835.4</v>
      </c>
      <c r="N8">
        <f>[7]ind18!K30</f>
        <v>28245.5</v>
      </c>
      <c r="O8">
        <f>[7]ind18!L30</f>
        <v>25288</v>
      </c>
      <c r="P8">
        <f>[7]ind18!M30</f>
        <v>19424.900000000001</v>
      </c>
      <c r="Q8">
        <f>[7]ind18!N30</f>
        <v>22089.5</v>
      </c>
      <c r="R8">
        <f>[7]ind18!O30</f>
        <v>25179.200000000001</v>
      </c>
      <c r="S8">
        <f>[7]ind18!P30</f>
        <v>24742.7</v>
      </c>
      <c r="T8">
        <f>[7]ind18!Q30</f>
        <v>24554.5</v>
      </c>
      <c r="U8">
        <f>[7]ind18!R30</f>
        <v>25125.5</v>
      </c>
      <c r="V8">
        <f>[7]ind18!S30</f>
        <v>27864.5</v>
      </c>
      <c r="W8">
        <f>[7]ind18!T30</f>
        <v>26706.799999999999</v>
      </c>
      <c r="X8">
        <f>[7]ind18!U30</f>
        <v>26945.4</v>
      </c>
      <c r="Y8">
        <f>[7]ind18!V30</f>
        <v>27710</v>
      </c>
      <c r="Z8">
        <f>[7]ind18!W30</f>
        <v>26905.3</v>
      </c>
      <c r="AA8">
        <f>[7]ind18!X30</f>
        <v>27218.9</v>
      </c>
      <c r="AB8">
        <f>[7]ind18!Y30</f>
        <v>29686.3</v>
      </c>
      <c r="AC8">
        <f>[7]ind18!Z30</f>
        <v>29523.3</v>
      </c>
      <c r="AD8">
        <f>[7]ind18!AA30</f>
        <v>30188.3</v>
      </c>
      <c r="AE8">
        <f>[7]ind18!AB30</f>
        <v>33191.1</v>
      </c>
      <c r="AF8">
        <f>[7]ind18!AC30</f>
        <v>34525.4</v>
      </c>
      <c r="AG8">
        <f>[7]ind18!AD30</f>
        <v>35047.300000000003</v>
      </c>
      <c r="AH8">
        <f>[7]ind18!AE30</f>
        <v>37362.9</v>
      </c>
      <c r="AI8">
        <f>[7]ind18!AF30</f>
        <v>37496.199999999997</v>
      </c>
      <c r="AJ8">
        <f>[7]ind18!AG30</f>
        <v>37843.9</v>
      </c>
      <c r="AK8">
        <f>[7]ind18!AH30</f>
        <v>37366.9</v>
      </c>
      <c r="AL8">
        <f>[7]ind18!AI30</f>
        <v>40584.6</v>
      </c>
      <c r="AM8">
        <f>[7]ind18!AJ30</f>
        <v>42941.8</v>
      </c>
      <c r="AN8">
        <f>[7]ind18!AK30</f>
        <v>44954.1</v>
      </c>
      <c r="AO8">
        <f>[7]ind18!AL30</f>
        <v>41740.1</v>
      </c>
      <c r="AP8">
        <f>[7]ind18!AM30</f>
        <v>41037.1</v>
      </c>
      <c r="AQ8">
        <f>[7]ind18!AN30</f>
        <v>33449.4</v>
      </c>
      <c r="AR8">
        <f>[7]ind18!AO30</f>
        <v>35608.699999999997</v>
      </c>
      <c r="AS8">
        <f>[7]ind18!AP30</f>
        <v>38369.300000000003</v>
      </c>
      <c r="AT8">
        <f>[7]ind18!AQ30</f>
        <v>33829.4</v>
      </c>
      <c r="AU8">
        <f>[7]ind18!AR30</f>
        <v>30541.9</v>
      </c>
      <c r="AV8">
        <f>[7]ind18!AS30</f>
        <v>29905.599999999999</v>
      </c>
      <c r="AW8">
        <f>[7]ind18!AT30</f>
        <v>27609.5</v>
      </c>
      <c r="AX8">
        <f>[7]ind18!AU30</f>
        <v>26235.5</v>
      </c>
      <c r="AY8">
        <f>[7]ind18!AV30</f>
        <v>26555.4</v>
      </c>
      <c r="AZ8">
        <f>[7]ind18!AW30</f>
        <v>26196.5</v>
      </c>
    </row>
    <row r="9" spans="2:52" x14ac:dyDescent="0.2">
      <c r="B9" t="str">
        <f>[6]Output_2005!A12</f>
        <v>Support activities for mining</v>
      </c>
      <c r="C9">
        <f>[6]Output_2005!B12</f>
        <v>213</v>
      </c>
      <c r="D9">
        <f>[6]Output_2005!C12</f>
        <v>0</v>
      </c>
      <c r="E9">
        <f>[6]Output_2005!D12</f>
        <v>11</v>
      </c>
      <c r="F9">
        <f>[7]ind18!C33</f>
        <v>50234.3</v>
      </c>
      <c r="G9">
        <f>[7]ind18!D33</f>
        <v>53680.2</v>
      </c>
      <c r="H9">
        <f>[7]ind18!E33</f>
        <v>66822.100000000006</v>
      </c>
      <c r="I9">
        <f>[7]ind18!F33</f>
        <v>74745.600000000006</v>
      </c>
      <c r="J9">
        <f>[7]ind18!G33</f>
        <v>81432.899999999994</v>
      </c>
      <c r="K9">
        <f>[7]ind18!H33</f>
        <v>92264.9</v>
      </c>
      <c r="L9">
        <f>[7]ind18!I33</f>
        <v>103413.2</v>
      </c>
      <c r="M9">
        <f>[7]ind18!J33</f>
        <v>109162.5</v>
      </c>
      <c r="N9">
        <f>[7]ind18!K33</f>
        <v>151805.79999999999</v>
      </c>
      <c r="O9">
        <f>[7]ind18!L33</f>
        <v>177235.7</v>
      </c>
      <c r="P9">
        <f>[7]ind18!M33</f>
        <v>162146.1</v>
      </c>
      <c r="Q9">
        <f>[7]ind18!N33</f>
        <v>133648.1</v>
      </c>
      <c r="R9">
        <f>[7]ind18!O33</f>
        <v>151997.79999999999</v>
      </c>
      <c r="S9">
        <f>[7]ind18!P33</f>
        <v>135885</v>
      </c>
      <c r="T9">
        <f>[7]ind18!Q33</f>
        <v>80458</v>
      </c>
      <c r="U9">
        <f>[7]ind18!R33</f>
        <v>78761.2</v>
      </c>
      <c r="V9">
        <f>[7]ind18!S33</f>
        <v>86367.9</v>
      </c>
      <c r="W9">
        <f>[7]ind18!T33</f>
        <v>78016.5</v>
      </c>
      <c r="X9">
        <f>[7]ind18!U33</f>
        <v>88696.4</v>
      </c>
      <c r="Y9">
        <f>[7]ind18!V33</f>
        <v>86517.7</v>
      </c>
      <c r="Z9">
        <f>[7]ind18!W33</f>
        <v>73728.5</v>
      </c>
      <c r="AA9">
        <f>[7]ind18!X33</f>
        <v>95014.399999999994</v>
      </c>
      <c r="AB9">
        <f>[7]ind18!Y33</f>
        <v>88177.1</v>
      </c>
      <c r="AC9">
        <f>[7]ind18!Z33</f>
        <v>77032.5</v>
      </c>
      <c r="AD9">
        <f>[7]ind18!AA33</f>
        <v>83508.7</v>
      </c>
      <c r="AE9">
        <f>[7]ind18!AB33</f>
        <v>86955.4</v>
      </c>
      <c r="AF9">
        <f>[7]ind18!AC33</f>
        <v>85243.1</v>
      </c>
      <c r="AG9">
        <f>[7]ind18!AD33</f>
        <v>69785.5</v>
      </c>
      <c r="AH9">
        <f>[7]ind18!AE33</f>
        <v>81237.5</v>
      </c>
      <c r="AI9">
        <f>[7]ind18!AF33</f>
        <v>92480.6</v>
      </c>
      <c r="AJ9">
        <f>[7]ind18!AG33</f>
        <v>68678</v>
      </c>
      <c r="AK9">
        <f>[7]ind18!AH33</f>
        <v>73652.899999999994</v>
      </c>
      <c r="AL9">
        <f>[7]ind18!AI33</f>
        <v>90137.5</v>
      </c>
      <c r="AM9">
        <f>[7]ind18!AJ33</f>
        <v>98758.3</v>
      </c>
      <c r="AN9">
        <f>[7]ind18!AK33</f>
        <v>109700.9</v>
      </c>
      <c r="AO9">
        <f>[7]ind18!AL33</f>
        <v>110984.5</v>
      </c>
      <c r="AP9">
        <f>[7]ind18!AM33</f>
        <v>117665.4</v>
      </c>
      <c r="AQ9">
        <f>[7]ind18!AN33</f>
        <v>83463</v>
      </c>
      <c r="AR9">
        <f>[7]ind18!AO33</f>
        <v>94868.9</v>
      </c>
      <c r="AS9">
        <f>[7]ind18!AP33</f>
        <v>106756</v>
      </c>
      <c r="AT9">
        <f>[7]ind18!AQ33</f>
        <v>125732</v>
      </c>
      <c r="AU9">
        <f>[7]ind18!AR33</f>
        <v>121777</v>
      </c>
      <c r="AV9">
        <f>[7]ind18!AS33</f>
        <v>133818.29999999999</v>
      </c>
      <c r="AW9">
        <f>[7]ind18!AT33</f>
        <v>103575</v>
      </c>
      <c r="AX9">
        <f>[7]ind18!AU33</f>
        <v>54172.9</v>
      </c>
      <c r="AY9">
        <f>[7]ind18!AV33</f>
        <v>76414.100000000006</v>
      </c>
      <c r="AZ9">
        <f>[7]ind18!AW33</f>
        <v>65379.4</v>
      </c>
    </row>
    <row r="11" spans="2:52" x14ac:dyDescent="0.2">
      <c r="F11" s="41" t="s">
        <v>496</v>
      </c>
      <c r="M11" s="41" t="s">
        <v>444</v>
      </c>
    </row>
    <row r="12" spans="2:52" ht="36" customHeight="1" x14ac:dyDescent="0.2">
      <c r="F12" s="108" t="s">
        <v>366</v>
      </c>
      <c r="G12" s="108" t="s">
        <v>358</v>
      </c>
      <c r="H12" s="108" t="s">
        <v>367</v>
      </c>
      <c r="I12" s="108" t="s">
        <v>368</v>
      </c>
      <c r="J12" s="150" t="s">
        <v>360</v>
      </c>
      <c r="M12" s="108" t="s">
        <v>366</v>
      </c>
      <c r="N12" s="108" t="s">
        <v>397</v>
      </c>
      <c r="O12" s="108" t="s">
        <v>403</v>
      </c>
    </row>
    <row r="13" spans="2:52" x14ac:dyDescent="0.2">
      <c r="E13">
        <v>1970</v>
      </c>
      <c r="M13" s="30">
        <f>[8]ChainQtyIndexes!EF301</f>
        <v>278893.89408</v>
      </c>
      <c r="N13" s="3">
        <f>[8]ChainQtyIndexes!EG301</f>
        <v>86668.354649999994</v>
      </c>
      <c r="O13" s="3">
        <f>[8]ChainQtyIndexes!EH301</f>
        <v>17144.67916</v>
      </c>
    </row>
    <row r="14" spans="2:52" x14ac:dyDescent="0.2">
      <c r="E14">
        <v>1971</v>
      </c>
      <c r="K14" s="108" t="s">
        <v>451</v>
      </c>
      <c r="M14" s="30">
        <f>[8]ChainQtyIndexes!EF302</f>
        <v>276050.70240000001</v>
      </c>
      <c r="N14" s="3">
        <f>[8]ChainQtyIndexes!EG302</f>
        <v>79951.404450000002</v>
      </c>
      <c r="O14" s="3">
        <f>[8]ChainQtyIndexes!EH302</f>
        <v>15903.714190000001</v>
      </c>
      <c r="Q14" s="108" t="s">
        <v>501</v>
      </c>
    </row>
    <row r="15" spans="2:52" x14ac:dyDescent="0.2">
      <c r="E15">
        <f>F4</f>
        <v>1972</v>
      </c>
      <c r="F15">
        <f t="array" ref="F15:J61">TRANSPOSE(F5:AZ9)</f>
        <v>309991.3</v>
      </c>
      <c r="G15">
        <v>26254.7</v>
      </c>
      <c r="H15">
        <v>35480.1</v>
      </c>
      <c r="I15">
        <v>25783.200000000001</v>
      </c>
      <c r="J15">
        <v>50234.3</v>
      </c>
      <c r="K15">
        <f>G15+H15+I15</f>
        <v>87518</v>
      </c>
      <c r="M15" s="30">
        <f>[8]ChainQtyIndexes!EF303</f>
        <v>274262.82803999999</v>
      </c>
      <c r="N15" s="3">
        <f>[8]ChainQtyIndexes!EG303</f>
        <v>80174.554799999998</v>
      </c>
      <c r="O15" s="3">
        <f>[8]ChainQtyIndexes!EH303</f>
        <v>18396.959919999998</v>
      </c>
      <c r="Q15">
        <f>O15/K15</f>
        <v>0.21020772778171345</v>
      </c>
    </row>
    <row r="16" spans="2:52" x14ac:dyDescent="0.2">
      <c r="E16">
        <f>E15+1</f>
        <v>1973</v>
      </c>
      <c r="F16">
        <v>309749.2</v>
      </c>
      <c r="G16">
        <v>27935</v>
      </c>
      <c r="H16">
        <v>43506.400000000001</v>
      </c>
      <c r="I16">
        <v>29727.1</v>
      </c>
      <c r="J16">
        <v>53680.2</v>
      </c>
      <c r="K16">
        <f t="shared" ref="K16:K61" si="1">G16+H16+I16</f>
        <v>101168.5</v>
      </c>
      <c r="M16" s="30">
        <f>[8]ChainQtyIndexes!EF304</f>
        <v>272558.36364</v>
      </c>
      <c r="N16" s="3">
        <f>[8]ChainQtyIndexes!EG304</f>
        <v>89265.126600000003</v>
      </c>
      <c r="O16" s="3">
        <f>[8]ChainQtyIndexes!EH304</f>
        <v>18945.147079999999</v>
      </c>
      <c r="Q16">
        <f t="shared" ref="Q16:Q61" si="2">O16/K16</f>
        <v>0.18726329914943879</v>
      </c>
    </row>
    <row r="17" spans="5:17" x14ac:dyDescent="0.2">
      <c r="E17">
        <f t="shared" ref="E17:E54" si="3">E16+1</f>
        <v>1974</v>
      </c>
      <c r="F17">
        <v>302494.59999999998</v>
      </c>
      <c r="G17">
        <v>29955</v>
      </c>
      <c r="H17">
        <v>42016.6</v>
      </c>
      <c r="I17">
        <v>30502.3</v>
      </c>
      <c r="J17">
        <v>66822.100000000006</v>
      </c>
      <c r="K17">
        <f t="shared" si="1"/>
        <v>102473.90000000001</v>
      </c>
      <c r="M17" s="30">
        <f>[8]ChainQtyIndexes!EF305</f>
        <v>267473.98259999999</v>
      </c>
      <c r="N17" s="3">
        <f>[8]ChainQtyIndexes!EG305</f>
        <v>95290.186050000004</v>
      </c>
      <c r="O17" s="3">
        <f>[8]ChainQtyIndexes!EH305</f>
        <v>22371.316829999996</v>
      </c>
      <c r="Q17">
        <f t="shared" si="2"/>
        <v>0.21831233933713848</v>
      </c>
    </row>
    <row r="18" spans="5:17" x14ac:dyDescent="0.2">
      <c r="E18">
        <f t="shared" si="3"/>
        <v>1975</v>
      </c>
      <c r="F18">
        <v>285147.7</v>
      </c>
      <c r="G18">
        <v>30547.599999999999</v>
      </c>
      <c r="H18">
        <v>35789.800000000003</v>
      </c>
      <c r="I18">
        <v>25397.8</v>
      </c>
      <c r="J18">
        <v>74745.600000000006</v>
      </c>
      <c r="K18">
        <f t="shared" si="1"/>
        <v>91735.2</v>
      </c>
      <c r="M18" s="30">
        <f>[8]ChainQtyIndexes!EF306</f>
        <v>253073.07168000002</v>
      </c>
      <c r="N18" s="3">
        <f>[8]ChainQtyIndexes!EG306</f>
        <v>90464.403900000005</v>
      </c>
      <c r="O18" s="3">
        <f>[8]ChainQtyIndexes!EH306</f>
        <v>24816.784780000002</v>
      </c>
      <c r="Q18">
        <f t="shared" si="2"/>
        <v>0.27052630593272814</v>
      </c>
    </row>
    <row r="19" spans="5:17" x14ac:dyDescent="0.2">
      <c r="E19">
        <f t="shared" si="3"/>
        <v>1976</v>
      </c>
      <c r="F19">
        <v>287641.40000000002</v>
      </c>
      <c r="G19">
        <v>30807.3</v>
      </c>
      <c r="H19">
        <v>37280.400000000001</v>
      </c>
      <c r="I19">
        <v>25468.5</v>
      </c>
      <c r="J19">
        <v>81432.899999999994</v>
      </c>
      <c r="K19">
        <f t="shared" si="1"/>
        <v>93556.2</v>
      </c>
      <c r="M19" s="30">
        <f>[8]ChainQtyIndexes!EF307</f>
        <v>256228.14408</v>
      </c>
      <c r="N19" s="3">
        <f>[8]ChainQtyIndexes!EG307</f>
        <v>91605.088650000005</v>
      </c>
      <c r="O19" s="3">
        <f>[8]ChainQtyIndexes!EH307</f>
        <v>26864.942770000001</v>
      </c>
      <c r="Q19">
        <f t="shared" si="2"/>
        <v>0.28715299221216767</v>
      </c>
    </row>
    <row r="20" spans="5:17" x14ac:dyDescent="0.2">
      <c r="E20">
        <f t="shared" si="3"/>
        <v>1977</v>
      </c>
      <c r="F20">
        <v>293324.3</v>
      </c>
      <c r="G20">
        <v>31221.9</v>
      </c>
      <c r="H20">
        <v>35985.599999999999</v>
      </c>
      <c r="I20">
        <v>26501.7</v>
      </c>
      <c r="J20">
        <v>92264.9</v>
      </c>
      <c r="K20">
        <f t="shared" si="1"/>
        <v>93709.2</v>
      </c>
      <c r="M20" s="30">
        <f>[8]ChainQtyIndexes!EF308</f>
        <v>262074.09432000003</v>
      </c>
      <c r="N20" s="3">
        <f>[8]ChainQtyIndexes!EG308</f>
        <v>91874.365050000008</v>
      </c>
      <c r="O20" s="3">
        <f>[8]ChainQtyIndexes!EH308</f>
        <v>30693.451719999997</v>
      </c>
      <c r="Q20">
        <f t="shared" si="2"/>
        <v>0.32753936347765211</v>
      </c>
    </row>
    <row r="21" spans="5:17" x14ac:dyDescent="0.2">
      <c r="E21">
        <f t="shared" si="3"/>
        <v>1978</v>
      </c>
      <c r="F21">
        <v>296484.8</v>
      </c>
      <c r="G21">
        <v>30922.9</v>
      </c>
      <c r="H21">
        <v>40087.699999999997</v>
      </c>
      <c r="I21">
        <v>28943.4</v>
      </c>
      <c r="J21">
        <v>103413.2</v>
      </c>
      <c r="K21">
        <f t="shared" si="1"/>
        <v>99954</v>
      </c>
      <c r="M21" s="30">
        <f>[8]ChainQtyIndexes!EF309</f>
        <v>265062.3468</v>
      </c>
      <c r="N21" s="3">
        <f>[8]ChainQtyIndexes!EG309</f>
        <v>95591.875350000002</v>
      </c>
      <c r="O21" s="3">
        <f>[8]ChainQtyIndexes!EH309</f>
        <v>34696.726759999998</v>
      </c>
      <c r="Q21">
        <f t="shared" si="2"/>
        <v>0.34712694599515775</v>
      </c>
    </row>
    <row r="22" spans="5:17" x14ac:dyDescent="0.2">
      <c r="E22">
        <f t="shared" si="3"/>
        <v>1979</v>
      </c>
      <c r="F22">
        <v>290227.90000000002</v>
      </c>
      <c r="G22">
        <v>36961.5</v>
      </c>
      <c r="H22">
        <v>43596.3</v>
      </c>
      <c r="I22">
        <v>30835.4</v>
      </c>
      <c r="J22">
        <v>109162.5</v>
      </c>
      <c r="K22">
        <f t="shared" si="1"/>
        <v>111393.20000000001</v>
      </c>
      <c r="M22" s="30">
        <f>[8]ChainQtyIndexes!EF310</f>
        <v>260123.02656</v>
      </c>
      <c r="N22" s="3">
        <f>[8]ChainQtyIndexes!EG310</f>
        <v>107730.50639999998</v>
      </c>
      <c r="O22" s="3">
        <f>[8]ChainQtyIndexes!EH310</f>
        <v>35824.53383</v>
      </c>
      <c r="Q22">
        <f t="shared" si="2"/>
        <v>0.32160431543397622</v>
      </c>
    </row>
    <row r="23" spans="5:17" x14ac:dyDescent="0.2">
      <c r="E23">
        <f t="shared" si="3"/>
        <v>1980</v>
      </c>
      <c r="F23">
        <v>283580.5</v>
      </c>
      <c r="G23">
        <v>40121.300000000003</v>
      </c>
      <c r="H23">
        <v>42202.7</v>
      </c>
      <c r="I23">
        <v>28245.5</v>
      </c>
      <c r="J23">
        <v>151805.79999999999</v>
      </c>
      <c r="K23">
        <f t="shared" si="1"/>
        <v>110569.5</v>
      </c>
      <c r="M23" s="30">
        <f>[8]ChainQtyIndexes!EF311</f>
        <v>255506.46660000001</v>
      </c>
      <c r="N23" s="3">
        <f>[8]ChainQtyIndexes!EG311</f>
        <v>107911.27065000002</v>
      </c>
      <c r="O23" s="3">
        <f>[8]ChainQtyIndexes!EH311</f>
        <v>46952.984639999995</v>
      </c>
      <c r="Q23">
        <f t="shared" si="2"/>
        <v>0.42464680259927012</v>
      </c>
    </row>
    <row r="24" spans="5:17" x14ac:dyDescent="0.2">
      <c r="E24">
        <f t="shared" si="3"/>
        <v>1981</v>
      </c>
      <c r="F24">
        <v>275395.8</v>
      </c>
      <c r="G24">
        <v>39546.800000000003</v>
      </c>
      <c r="H24">
        <v>40787.300000000003</v>
      </c>
      <c r="I24">
        <v>25288</v>
      </c>
      <c r="J24">
        <v>177235.7</v>
      </c>
      <c r="K24">
        <f t="shared" si="1"/>
        <v>105622.1</v>
      </c>
      <c r="M24" s="30">
        <f>[8]ChainQtyIndexes!EF312</f>
        <v>250984.19616000002</v>
      </c>
      <c r="N24" s="3">
        <f>[8]ChainQtyIndexes!EG312</f>
        <v>105603.72149999999</v>
      </c>
      <c r="O24" s="3">
        <f>[8]ChainQtyIndexes!EH312</f>
        <v>54990.967470000003</v>
      </c>
      <c r="Q24">
        <f t="shared" si="2"/>
        <v>0.52063883855746096</v>
      </c>
    </row>
    <row r="25" spans="5:17" x14ac:dyDescent="0.2">
      <c r="E25">
        <f t="shared" si="3"/>
        <v>1982</v>
      </c>
      <c r="F25">
        <v>261998.7</v>
      </c>
      <c r="G25">
        <v>36781.1</v>
      </c>
      <c r="H25">
        <v>25816.1</v>
      </c>
      <c r="I25">
        <v>19424.900000000001</v>
      </c>
      <c r="J25">
        <v>162146.1</v>
      </c>
      <c r="K25">
        <f t="shared" si="1"/>
        <v>82022.100000000006</v>
      </c>
      <c r="M25" s="30">
        <f>[8]ChainQtyIndexes!EF313</f>
        <v>239158.11444000003</v>
      </c>
      <c r="N25" s="3">
        <f>[8]ChainQtyIndexes!EG313</f>
        <v>89583.022349999999</v>
      </c>
      <c r="O25" s="3">
        <f>[8]ChainQtyIndexes!EH313</f>
        <v>51498.16029</v>
      </c>
      <c r="Q25">
        <f t="shared" si="2"/>
        <v>0.62785712984671205</v>
      </c>
    </row>
    <row r="26" spans="5:17" x14ac:dyDescent="0.2">
      <c r="E26">
        <f t="shared" si="3"/>
        <v>1983</v>
      </c>
      <c r="F26">
        <v>256619</v>
      </c>
      <c r="G26">
        <v>36144.400000000001</v>
      </c>
      <c r="H26">
        <v>23521.599999999999</v>
      </c>
      <c r="I26">
        <v>22089.5</v>
      </c>
      <c r="J26">
        <v>133648.1</v>
      </c>
      <c r="K26">
        <f t="shared" si="1"/>
        <v>81755.5</v>
      </c>
      <c r="M26" s="30">
        <f>[8]ChainQtyIndexes!EF314</f>
        <v>234690.24179999999</v>
      </c>
      <c r="N26" s="3">
        <f>[8]ChainQtyIndexes!EG314</f>
        <v>90777.313049999997</v>
      </c>
      <c r="O26" s="3">
        <f>[8]ChainQtyIndexes!EH314</f>
        <v>41095.177350000005</v>
      </c>
      <c r="Q26">
        <f t="shared" si="2"/>
        <v>0.5026594828482488</v>
      </c>
    </row>
    <row r="27" spans="5:17" x14ac:dyDescent="0.2">
      <c r="E27">
        <f t="shared" si="3"/>
        <v>1984</v>
      </c>
      <c r="F27">
        <v>273724.59999999998</v>
      </c>
      <c r="G27">
        <v>41794.5</v>
      </c>
      <c r="H27">
        <v>31103.3</v>
      </c>
      <c r="I27">
        <v>25179.200000000001</v>
      </c>
      <c r="J27">
        <v>151997.79999999999</v>
      </c>
      <c r="K27">
        <f t="shared" si="1"/>
        <v>98077</v>
      </c>
      <c r="M27" s="30">
        <f>[8]ChainQtyIndexes!EF315</f>
        <v>250973.31660000002</v>
      </c>
      <c r="N27" s="3">
        <f>[8]ChainQtyIndexes!EG315</f>
        <v>103444.52369999999</v>
      </c>
      <c r="O27" s="3">
        <f>[8]ChainQtyIndexes!EH315</f>
        <v>45972.28284</v>
      </c>
      <c r="Q27">
        <f t="shared" si="2"/>
        <v>0.46873663386930675</v>
      </c>
    </row>
    <row r="28" spans="5:17" x14ac:dyDescent="0.2">
      <c r="E28">
        <f t="shared" si="3"/>
        <v>1985</v>
      </c>
      <c r="F28">
        <v>273362.8</v>
      </c>
      <c r="G28">
        <v>39784.9</v>
      </c>
      <c r="H28">
        <v>31507.7</v>
      </c>
      <c r="I28">
        <v>24742.7</v>
      </c>
      <c r="J28">
        <v>135885</v>
      </c>
      <c r="K28">
        <f t="shared" si="1"/>
        <v>96035.3</v>
      </c>
      <c r="M28" s="30">
        <f>[8]ChainQtyIndexes!EF316</f>
        <v>249965.14404000004</v>
      </c>
      <c r="N28" s="3">
        <f>[8]ChainQtyIndexes!EG316</f>
        <v>99766.906200000012</v>
      </c>
      <c r="O28" s="3">
        <f>[8]ChainQtyIndexes!EH316</f>
        <v>41445.966840000001</v>
      </c>
      <c r="Q28">
        <f t="shared" si="2"/>
        <v>0.43157012931703237</v>
      </c>
    </row>
    <row r="29" spans="5:17" x14ac:dyDescent="0.2">
      <c r="E29">
        <f t="shared" si="3"/>
        <v>1986</v>
      </c>
      <c r="F29">
        <v>265565.2</v>
      </c>
      <c r="G29">
        <v>39861.300000000003</v>
      </c>
      <c r="H29">
        <v>29646.3</v>
      </c>
      <c r="I29">
        <v>24554.5</v>
      </c>
      <c r="J29">
        <v>80458</v>
      </c>
      <c r="K29">
        <f t="shared" si="1"/>
        <v>94062.1</v>
      </c>
      <c r="M29" s="30">
        <f>[8]ChainQtyIndexes!EF317</f>
        <v>240427.39643999998</v>
      </c>
      <c r="N29" s="3">
        <f>[8]ChainQtyIndexes!EG317</f>
        <v>99476.436750000008</v>
      </c>
      <c r="O29" s="3">
        <f>[8]ChainQtyIndexes!EH317</f>
        <v>25725.819909999998</v>
      </c>
      <c r="Q29">
        <f t="shared" si="2"/>
        <v>0.27349825179323017</v>
      </c>
    </row>
    <row r="30" spans="5:17" x14ac:dyDescent="0.2">
      <c r="E30">
        <f t="shared" si="3"/>
        <v>1987</v>
      </c>
      <c r="F30">
        <v>271811.09999999998</v>
      </c>
      <c r="G30">
        <v>39160.9</v>
      </c>
      <c r="H30">
        <v>27296.400000000001</v>
      </c>
      <c r="I30">
        <v>25125.5</v>
      </c>
      <c r="J30">
        <v>78761.2</v>
      </c>
      <c r="K30">
        <f t="shared" si="1"/>
        <v>91582.8</v>
      </c>
      <c r="M30" s="30">
        <f>[8]ChainQtyIndexes!EF318</f>
        <v>246422.03400000001</v>
      </c>
      <c r="N30" s="3">
        <f>[8]ChainQtyIndexes!EG318</f>
        <v>99321.852150000021</v>
      </c>
      <c r="O30" s="3">
        <f>[8]ChainQtyIndexes!EH318</f>
        <v>24237.164870000004</v>
      </c>
      <c r="Q30">
        <f t="shared" si="2"/>
        <v>0.26464756340710266</v>
      </c>
    </row>
    <row r="31" spans="5:17" x14ac:dyDescent="0.2">
      <c r="E31">
        <f t="shared" si="3"/>
        <v>1988</v>
      </c>
      <c r="F31">
        <v>277201</v>
      </c>
      <c r="G31">
        <v>42907.9</v>
      </c>
      <c r="H31">
        <v>29600.6</v>
      </c>
      <c r="I31">
        <v>27864.5</v>
      </c>
      <c r="J31">
        <v>86367.9</v>
      </c>
      <c r="K31">
        <f t="shared" si="1"/>
        <v>100373</v>
      </c>
      <c r="M31" s="30">
        <f>[8]ChainQtyIndexes!EF319</f>
        <v>249907.11971999999</v>
      </c>
      <c r="N31" s="3">
        <f>[8]ChainQtyIndexes!EG319</f>
        <v>110370.91110000001</v>
      </c>
      <c r="O31" s="3">
        <f>[8]ChainQtyIndexes!EH319</f>
        <v>27318.831680000003</v>
      </c>
      <c r="Q31">
        <f t="shared" si="2"/>
        <v>0.27217311109561337</v>
      </c>
    </row>
    <row r="32" spans="5:17" x14ac:dyDescent="0.2">
      <c r="E32">
        <f t="shared" si="3"/>
        <v>1989</v>
      </c>
      <c r="F32">
        <v>263837.90000000002</v>
      </c>
      <c r="G32">
        <v>43378.3</v>
      </c>
      <c r="H32">
        <v>33669.1</v>
      </c>
      <c r="I32">
        <v>26706.799999999999</v>
      </c>
      <c r="J32">
        <v>78016.5</v>
      </c>
      <c r="K32">
        <f t="shared" si="1"/>
        <v>103754.2</v>
      </c>
      <c r="M32" s="30">
        <f>[8]ChainQtyIndexes!EF320</f>
        <v>238672.16076000003</v>
      </c>
      <c r="N32" s="3">
        <f>[8]ChainQtyIndexes!EG320</f>
        <v>111694.85340000001</v>
      </c>
      <c r="O32" s="3">
        <f>[8]ChainQtyIndexes!EH320</f>
        <v>24648.305239999998</v>
      </c>
      <c r="Q32">
        <f t="shared" si="2"/>
        <v>0.2375644093443928</v>
      </c>
    </row>
    <row r="33" spans="5:17" x14ac:dyDescent="0.2">
      <c r="E33">
        <f t="shared" si="3"/>
        <v>1990</v>
      </c>
      <c r="F33">
        <v>267884.3</v>
      </c>
      <c r="G33">
        <v>45954.8</v>
      </c>
      <c r="H33">
        <v>35790.199999999997</v>
      </c>
      <c r="I33">
        <v>26945.4</v>
      </c>
      <c r="J33">
        <v>88696.4</v>
      </c>
      <c r="K33">
        <f t="shared" si="1"/>
        <v>108690.4</v>
      </c>
      <c r="M33" s="30">
        <f>[8]ChainQtyIndexes!EF321</f>
        <v>241979.54699999999</v>
      </c>
      <c r="N33" s="3">
        <f>[8]ChainQtyIndexes!EG321</f>
        <v>117220.00620000002</v>
      </c>
      <c r="O33" s="3">
        <f>[8]ChainQtyIndexes!EH321</f>
        <v>27838.100709999999</v>
      </c>
      <c r="Q33">
        <f t="shared" si="2"/>
        <v>0.2561229023906435</v>
      </c>
    </row>
    <row r="34" spans="5:17" x14ac:dyDescent="0.2">
      <c r="E34">
        <f t="shared" si="3"/>
        <v>1991</v>
      </c>
      <c r="F34">
        <v>275220.09999999998</v>
      </c>
      <c r="G34">
        <v>47600.9</v>
      </c>
      <c r="H34">
        <v>37644.1</v>
      </c>
      <c r="I34">
        <v>27710</v>
      </c>
      <c r="J34">
        <v>86517.7</v>
      </c>
      <c r="K34">
        <f t="shared" si="1"/>
        <v>112955</v>
      </c>
      <c r="M34" s="30">
        <f>[8]ChainQtyIndexes!EF322</f>
        <v>247285.14576000001</v>
      </c>
      <c r="N34" s="3">
        <f>[8]ChainQtyIndexes!EG322</f>
        <v>121972.236</v>
      </c>
      <c r="O34" s="3">
        <f>[8]ChainQtyIndexes!EH322</f>
        <v>27937.428199999998</v>
      </c>
      <c r="Q34">
        <f t="shared" si="2"/>
        <v>0.24733237306892125</v>
      </c>
    </row>
    <row r="35" spans="5:17" x14ac:dyDescent="0.2">
      <c r="E35">
        <f t="shared" si="3"/>
        <v>1992</v>
      </c>
      <c r="F35">
        <v>267824.2</v>
      </c>
      <c r="G35">
        <v>46454.1</v>
      </c>
      <c r="H35">
        <v>37689.5</v>
      </c>
      <c r="I35">
        <v>26905.3</v>
      </c>
      <c r="J35">
        <v>73728.5</v>
      </c>
      <c r="K35">
        <f t="shared" si="1"/>
        <v>111048.90000000001</v>
      </c>
      <c r="M35" s="30">
        <f>[8]ChainQtyIndexes!EF323</f>
        <v>241645.90715999997</v>
      </c>
      <c r="N35" s="3">
        <f>[8]ChainQtyIndexes!EG323</f>
        <v>119655.96029999999</v>
      </c>
      <c r="O35" s="3">
        <f>[8]ChainQtyIndexes!EH323</f>
        <v>23497.866590000001</v>
      </c>
      <c r="Q35">
        <f t="shared" si="2"/>
        <v>0.2115992737433689</v>
      </c>
    </row>
    <row r="36" spans="5:17" x14ac:dyDescent="0.2">
      <c r="E36">
        <f t="shared" si="3"/>
        <v>1993</v>
      </c>
      <c r="F36">
        <v>265507.8</v>
      </c>
      <c r="G36">
        <v>43899.4</v>
      </c>
      <c r="H36">
        <v>35930</v>
      </c>
      <c r="I36">
        <v>27218.9</v>
      </c>
      <c r="J36">
        <v>95014.399999999994</v>
      </c>
      <c r="K36">
        <f t="shared" si="1"/>
        <v>107048.29999999999</v>
      </c>
      <c r="M36" s="30">
        <f>[8]ChainQtyIndexes!EF324</f>
        <v>243803.68656</v>
      </c>
      <c r="N36" s="3">
        <f>[8]ChainQtyIndexes!EG324</f>
        <v>116366.05095</v>
      </c>
      <c r="O36" s="3">
        <f>[8]ChainQtyIndexes!EH324</f>
        <v>28561.053960000001</v>
      </c>
      <c r="Q36">
        <f t="shared" si="2"/>
        <v>0.26680530153211218</v>
      </c>
    </row>
    <row r="37" spans="5:17" x14ac:dyDescent="0.2">
      <c r="E37">
        <f t="shared" si="3"/>
        <v>1994</v>
      </c>
      <c r="F37">
        <v>265105.8</v>
      </c>
      <c r="G37">
        <v>48470.7</v>
      </c>
      <c r="H37">
        <v>37455.800000000003</v>
      </c>
      <c r="I37">
        <v>29686.3</v>
      </c>
      <c r="J37">
        <v>88177.1</v>
      </c>
      <c r="K37">
        <f t="shared" si="1"/>
        <v>115612.8</v>
      </c>
      <c r="M37" s="30">
        <f>[8]ChainQtyIndexes!EF325</f>
        <v>244402.06236000001</v>
      </c>
      <c r="N37" s="3">
        <f>[8]ChainQtyIndexes!EG325</f>
        <v>126417.7899</v>
      </c>
      <c r="O37" s="3">
        <f>[8]ChainQtyIndexes!EH325</f>
        <v>25821.375469999999</v>
      </c>
      <c r="Q37">
        <f t="shared" si="2"/>
        <v>0.22334356982963824</v>
      </c>
    </row>
    <row r="38" spans="5:17" x14ac:dyDescent="0.2">
      <c r="E38">
        <f t="shared" si="3"/>
        <v>1995</v>
      </c>
      <c r="F38">
        <v>271588.7</v>
      </c>
      <c r="G38">
        <v>46743.7</v>
      </c>
      <c r="H38">
        <v>39135.599999999999</v>
      </c>
      <c r="I38">
        <v>29523.3</v>
      </c>
      <c r="J38">
        <v>77032.5</v>
      </c>
      <c r="K38">
        <f t="shared" si="1"/>
        <v>115402.59999999999</v>
      </c>
      <c r="M38" s="30">
        <f>[8]ChainQtyIndexes!EF326</f>
        <v>250483.73639999997</v>
      </c>
      <c r="N38" s="3">
        <f>[8]ChainQtyIndexes!EG326</f>
        <v>124411.93005</v>
      </c>
      <c r="O38" s="3">
        <f>[8]ChainQtyIndexes!EH326</f>
        <v>22263.188170000005</v>
      </c>
      <c r="Q38">
        <f t="shared" si="2"/>
        <v>0.1929175613894315</v>
      </c>
    </row>
    <row r="39" spans="5:17" x14ac:dyDescent="0.2">
      <c r="E39">
        <f t="shared" si="3"/>
        <v>1996</v>
      </c>
      <c r="F39">
        <v>270205.59999999998</v>
      </c>
      <c r="G39">
        <v>48546.7</v>
      </c>
      <c r="H39">
        <v>39496.699999999997</v>
      </c>
      <c r="I39">
        <v>30188.3</v>
      </c>
      <c r="J39">
        <v>83508.7</v>
      </c>
      <c r="K39">
        <f t="shared" si="1"/>
        <v>118231.7</v>
      </c>
      <c r="M39" s="30">
        <f>[8]ChainQtyIndexes!EF327</f>
        <v>258063.16320000001</v>
      </c>
      <c r="N39" s="3">
        <f>[8]ChainQtyIndexes!EG327</f>
        <v>128388.74354999998</v>
      </c>
      <c r="O39" s="3">
        <f>[8]ChainQtyIndexes!EH327</f>
        <v>22899.387030000002</v>
      </c>
      <c r="Q39">
        <f t="shared" si="2"/>
        <v>0.19368229527275682</v>
      </c>
    </row>
    <row r="40" spans="5:17" x14ac:dyDescent="0.2">
      <c r="E40">
        <f t="shared" si="3"/>
        <v>1997</v>
      </c>
      <c r="F40">
        <v>288357.2</v>
      </c>
      <c r="G40">
        <v>50852</v>
      </c>
      <c r="H40">
        <v>40360.1</v>
      </c>
      <c r="I40">
        <v>33191.1</v>
      </c>
      <c r="J40">
        <v>86955.4</v>
      </c>
      <c r="K40">
        <f t="shared" si="1"/>
        <v>124403.20000000001</v>
      </c>
      <c r="M40" s="30">
        <f>[8]ChainQtyIndexes!EF328</f>
        <v>262777.63919999998</v>
      </c>
      <c r="N40" s="3">
        <f>[8]ChainQtyIndexes!EG328</f>
        <v>132899.12325</v>
      </c>
      <c r="O40" s="3">
        <f>[8]ChainQtyIndexes!EH328</f>
        <v>28727.01888</v>
      </c>
      <c r="Q40">
        <f t="shared" si="2"/>
        <v>0.23091864903796686</v>
      </c>
    </row>
    <row r="41" spans="5:17" x14ac:dyDescent="0.2">
      <c r="E41">
        <f t="shared" si="3"/>
        <v>1998</v>
      </c>
      <c r="F41">
        <v>286848</v>
      </c>
      <c r="G41">
        <v>51075.3</v>
      </c>
      <c r="H41">
        <v>45213.1</v>
      </c>
      <c r="I41">
        <v>34525.4</v>
      </c>
      <c r="J41">
        <v>85243.1</v>
      </c>
      <c r="K41">
        <f t="shared" si="1"/>
        <v>130813.79999999999</v>
      </c>
      <c r="M41" s="30">
        <f>[8]ChainQtyIndexes!EF329</f>
        <v>255916.26336000001</v>
      </c>
      <c r="N41" s="3">
        <f>[8]ChainQtyIndexes!EG329</f>
        <v>135391.17660000001</v>
      </c>
      <c r="O41" s="3">
        <f>[8]ChainQtyIndexes!EH329</f>
        <v>28963.393160000003</v>
      </c>
      <c r="Q41">
        <f t="shared" si="2"/>
        <v>0.22140930972114567</v>
      </c>
    </row>
    <row r="42" spans="5:17" x14ac:dyDescent="0.2">
      <c r="E42">
        <f t="shared" si="3"/>
        <v>1999</v>
      </c>
      <c r="F42">
        <v>270358</v>
      </c>
      <c r="G42">
        <v>50191.5</v>
      </c>
      <c r="H42">
        <v>42828.3</v>
      </c>
      <c r="I42">
        <v>35047.300000000003</v>
      </c>
      <c r="J42">
        <v>69785.5</v>
      </c>
      <c r="K42">
        <f t="shared" si="1"/>
        <v>128067.1</v>
      </c>
      <c r="M42" s="183">
        <f>[8]ChainQtyIndexes!EF330</f>
        <v>250552.64028000002</v>
      </c>
      <c r="N42" s="3">
        <f>[8]ChainQtyIndexes!EG330</f>
        <v>132152.3799</v>
      </c>
      <c r="O42" s="3">
        <f>[8]ChainQtyIndexes!EH330</f>
        <v>23399.796410000003</v>
      </c>
      <c r="Q42">
        <f t="shared" si="2"/>
        <v>0.18271512675776996</v>
      </c>
    </row>
    <row r="43" spans="5:17" x14ac:dyDescent="0.2">
      <c r="E43">
        <f t="shared" si="3"/>
        <v>2000</v>
      </c>
      <c r="F43">
        <v>266174</v>
      </c>
      <c r="G43">
        <v>51202.2</v>
      </c>
      <c r="H43">
        <v>40076.699999999997</v>
      </c>
      <c r="I43">
        <v>37362.9</v>
      </c>
      <c r="J43">
        <v>81237.5</v>
      </c>
      <c r="K43">
        <f t="shared" si="1"/>
        <v>128641.79999999999</v>
      </c>
      <c r="M43" s="30">
        <f>[8]ChainQtyIndexes!EF331</f>
        <v>260598.10067999997</v>
      </c>
      <c r="N43" s="3">
        <f>[8]ChainQtyIndexes!EG331</f>
        <v>134013.62834999998</v>
      </c>
      <c r="O43" s="3">
        <f>[8]ChainQtyIndexes!EH331</f>
        <v>29019.972110000002</v>
      </c>
      <c r="Q43">
        <f t="shared" si="2"/>
        <v>0.22558742267287932</v>
      </c>
    </row>
    <row r="44" spans="5:17" x14ac:dyDescent="0.2">
      <c r="E44">
        <f t="shared" si="3"/>
        <v>2001</v>
      </c>
      <c r="F44">
        <v>272008.2</v>
      </c>
      <c r="G44">
        <v>49237.4</v>
      </c>
      <c r="H44">
        <v>41148.1</v>
      </c>
      <c r="I44">
        <v>37496.199999999997</v>
      </c>
      <c r="J44">
        <v>92480.6</v>
      </c>
      <c r="K44">
        <f t="shared" si="1"/>
        <v>127881.7</v>
      </c>
      <c r="M44" s="30">
        <f>[8]ChainQtyIndexes!EF332</f>
        <v>270494.87375999999</v>
      </c>
      <c r="N44" s="3">
        <f>[8]ChainQtyIndexes!EG332</f>
        <v>132722.09894999999</v>
      </c>
      <c r="O44" s="3">
        <f>[8]ChainQtyIndexes!EH332</f>
        <v>41956.434699999998</v>
      </c>
      <c r="Q44">
        <f t="shared" si="2"/>
        <v>0.32808787105582737</v>
      </c>
    </row>
    <row r="45" spans="5:17" x14ac:dyDescent="0.2">
      <c r="E45">
        <f t="shared" si="3"/>
        <v>2002</v>
      </c>
      <c r="F45">
        <v>265291.09999999998</v>
      </c>
      <c r="G45">
        <v>46056.4</v>
      </c>
      <c r="H45">
        <v>37024.800000000003</v>
      </c>
      <c r="I45">
        <v>37843.9</v>
      </c>
      <c r="J45">
        <v>68678</v>
      </c>
      <c r="K45">
        <f t="shared" si="1"/>
        <v>120925.1</v>
      </c>
      <c r="M45" s="30">
        <f>[8]ChainQtyIndexes!EF333</f>
        <v>253624.30272000004</v>
      </c>
      <c r="N45" s="3">
        <f>[8]ChainQtyIndexes!EG333</f>
        <v>126496.32885000001</v>
      </c>
      <c r="O45" s="3">
        <f>[8]ChainQtyIndexes!EH333</f>
        <v>35351.78527</v>
      </c>
      <c r="Q45">
        <f t="shared" si="2"/>
        <v>0.29234447827622223</v>
      </c>
    </row>
    <row r="46" spans="5:17" x14ac:dyDescent="0.2">
      <c r="E46">
        <f t="shared" si="3"/>
        <v>2003</v>
      </c>
      <c r="F46">
        <v>256829.1</v>
      </c>
      <c r="G46">
        <v>45653.9</v>
      </c>
      <c r="H46">
        <v>37166.5</v>
      </c>
      <c r="I46">
        <v>37366.9</v>
      </c>
      <c r="J46">
        <v>73652.899999999994</v>
      </c>
      <c r="K46">
        <f t="shared" si="1"/>
        <v>120187.29999999999</v>
      </c>
      <c r="M46" s="30">
        <f>[8]ChainQtyIndexes!EF334</f>
        <v>254019.59340000001</v>
      </c>
      <c r="N46" s="3">
        <f>[8]ChainQtyIndexes!EG334</f>
        <v>127178.2464</v>
      </c>
      <c r="O46" s="3">
        <f>[8]ChainQtyIndexes!EH334</f>
        <v>41154.270919999995</v>
      </c>
      <c r="Q46">
        <f t="shared" si="2"/>
        <v>0.3424178005496421</v>
      </c>
    </row>
    <row r="47" spans="5:17" x14ac:dyDescent="0.2">
      <c r="E47">
        <f t="shared" si="3"/>
        <v>2004</v>
      </c>
      <c r="F47">
        <v>234846</v>
      </c>
      <c r="G47">
        <v>48325.5</v>
      </c>
      <c r="H47">
        <v>34750.400000000001</v>
      </c>
      <c r="I47">
        <v>40584.6</v>
      </c>
      <c r="J47">
        <v>90137.5</v>
      </c>
      <c r="K47">
        <f t="shared" si="1"/>
        <v>123660.5</v>
      </c>
      <c r="M47" s="30">
        <f>[8]ChainQtyIndexes!EF335</f>
        <v>244956.91992000001</v>
      </c>
      <c r="N47" s="3">
        <f>[8]ChainQtyIndexes!EG335</f>
        <v>131509.1085</v>
      </c>
      <c r="O47" s="3">
        <f>[8]ChainQtyIndexes!EH335</f>
        <v>56081.055240000002</v>
      </c>
      <c r="Q47">
        <f t="shared" si="2"/>
        <v>0.45350823617889302</v>
      </c>
    </row>
    <row r="48" spans="5:17" x14ac:dyDescent="0.2">
      <c r="E48">
        <f t="shared" si="3"/>
        <v>2005</v>
      </c>
      <c r="F48">
        <v>226629</v>
      </c>
      <c r="G48">
        <v>52203.1</v>
      </c>
      <c r="H48">
        <v>36232.300000000003</v>
      </c>
      <c r="I48">
        <v>42941.8</v>
      </c>
      <c r="J48">
        <v>98758.3</v>
      </c>
      <c r="K48">
        <f t="shared" si="1"/>
        <v>131377.20000000001</v>
      </c>
      <c r="M48" s="30">
        <f>[8]ChainQtyIndexes!EF336</f>
        <v>243295.97375999999</v>
      </c>
      <c r="N48" s="3">
        <f>[8]ChainQtyIndexes!EG336</f>
        <v>139159.79955</v>
      </c>
      <c r="O48" s="3">
        <f>[8]ChainQtyIndexes!EH336</f>
        <v>75628.453810000006</v>
      </c>
      <c r="Q48">
        <f t="shared" si="2"/>
        <v>0.57565889522687341</v>
      </c>
    </row>
    <row r="49" spans="5:17" x14ac:dyDescent="0.2">
      <c r="E49">
        <f t="shared" si="3"/>
        <v>2006</v>
      </c>
      <c r="F49">
        <v>236568.1</v>
      </c>
      <c r="G49">
        <v>59843.9</v>
      </c>
      <c r="H49">
        <v>34244.300000000003</v>
      </c>
      <c r="I49">
        <v>44954.1</v>
      </c>
      <c r="J49">
        <v>109700.9</v>
      </c>
      <c r="K49">
        <f t="shared" si="1"/>
        <v>139042.30000000002</v>
      </c>
      <c r="M49" s="30">
        <f>[8]ChainQtyIndexes!EF337</f>
        <v>245138.24592000002</v>
      </c>
      <c r="N49" s="3">
        <f>[8]ChainQtyIndexes!EG337</f>
        <v>147387.68955000001</v>
      </c>
      <c r="O49" s="3">
        <f>[8]ChainQtyIndexes!EH337</f>
        <v>100969.53685999999</v>
      </c>
      <c r="Q49">
        <f t="shared" si="2"/>
        <v>0.7261785576044123</v>
      </c>
    </row>
    <row r="50" spans="5:17" x14ac:dyDescent="0.2">
      <c r="E50">
        <f t="shared" si="3"/>
        <v>2007</v>
      </c>
      <c r="F50">
        <v>244748.79999999999</v>
      </c>
      <c r="G50">
        <v>60779.5</v>
      </c>
      <c r="H50">
        <v>34237.5</v>
      </c>
      <c r="I50">
        <v>41740.1</v>
      </c>
      <c r="J50">
        <v>110984.5</v>
      </c>
      <c r="K50">
        <f t="shared" si="1"/>
        <v>136757.1</v>
      </c>
      <c r="M50" s="30">
        <f>[8]ChainQtyIndexes!EF338</f>
        <v>248325.95699999999</v>
      </c>
      <c r="N50" s="3">
        <f>[8]ChainQtyIndexes!EG338</f>
        <v>142164.22605</v>
      </c>
      <c r="O50" s="3">
        <f>[8]ChainQtyIndexes!EH338</f>
        <v>106519.30320000001</v>
      </c>
      <c r="Q50">
        <f t="shared" si="2"/>
        <v>0.77889413566096388</v>
      </c>
    </row>
    <row r="51" spans="5:17" x14ac:dyDescent="0.2">
      <c r="E51">
        <f t="shared" si="3"/>
        <v>2008</v>
      </c>
      <c r="F51">
        <v>260214.8</v>
      </c>
      <c r="G51">
        <v>58513.4</v>
      </c>
      <c r="H51">
        <v>37974</v>
      </c>
      <c r="I51">
        <v>41037.1</v>
      </c>
      <c r="J51">
        <v>117665.4</v>
      </c>
      <c r="K51">
        <f t="shared" si="1"/>
        <v>137524.5</v>
      </c>
      <c r="M51" s="30">
        <f>[8]ChainQtyIndexes!EF339</f>
        <v>263136.66467999999</v>
      </c>
      <c r="N51" s="3">
        <f>[8]ChainQtyIndexes!EG339</f>
        <v>140162.10615000001</v>
      </c>
      <c r="O51" s="3">
        <f>[8]ChainQtyIndexes!EH339</f>
        <v>117180.03469</v>
      </c>
      <c r="Q51">
        <f t="shared" si="2"/>
        <v>0.85206661133107187</v>
      </c>
    </row>
    <row r="52" spans="5:17" x14ac:dyDescent="0.2">
      <c r="E52">
        <f t="shared" si="3"/>
        <v>2009</v>
      </c>
      <c r="F52">
        <v>278010.40000000002</v>
      </c>
      <c r="G52">
        <v>50887.4</v>
      </c>
      <c r="H52">
        <v>40915.699999999997</v>
      </c>
      <c r="I52">
        <v>33449.4</v>
      </c>
      <c r="J52">
        <v>83463</v>
      </c>
      <c r="K52">
        <f t="shared" si="1"/>
        <v>125252.5</v>
      </c>
      <c r="M52" s="30">
        <f>[8]ChainQtyIndexes!EF340</f>
        <v>286067.15064000007</v>
      </c>
      <c r="N52" s="3">
        <f>[8]ChainQtyIndexes!EG340</f>
        <v>125216.0193</v>
      </c>
      <c r="O52" s="3">
        <f>[8]ChainQtyIndexes!EH340</f>
        <v>80579.740590000001</v>
      </c>
      <c r="Q52">
        <f t="shared" si="2"/>
        <v>0.6433383811899962</v>
      </c>
    </row>
    <row r="53" spans="5:17" x14ac:dyDescent="0.2">
      <c r="E53">
        <f t="shared" si="3"/>
        <v>2010</v>
      </c>
      <c r="F53">
        <v>296416.8</v>
      </c>
      <c r="G53">
        <v>52086.400000000001</v>
      </c>
      <c r="H53">
        <v>35807.300000000003</v>
      </c>
      <c r="I53">
        <v>35608.699999999997</v>
      </c>
      <c r="J53">
        <v>94868.9</v>
      </c>
      <c r="K53">
        <f t="shared" si="1"/>
        <v>123502.40000000001</v>
      </c>
      <c r="M53" s="30">
        <f>[8]ChainQtyIndexes!EF341</f>
        <v>297113.53055999998</v>
      </c>
      <c r="N53" s="3">
        <f>[8]ChainQtyIndexes!EG341</f>
        <v>123287.45174999999</v>
      </c>
      <c r="O53" s="3">
        <f>[8]ChainQtyIndexes!EH341</f>
        <v>89468.922290000002</v>
      </c>
      <c r="Q53">
        <f t="shared" si="2"/>
        <v>0.72443063689450571</v>
      </c>
    </row>
    <row r="54" spans="5:17" x14ac:dyDescent="0.2">
      <c r="E54">
        <f t="shared" si="3"/>
        <v>2011</v>
      </c>
      <c r="F54">
        <v>341802.4</v>
      </c>
      <c r="G54">
        <v>60402.2</v>
      </c>
      <c r="H54">
        <v>36301.9</v>
      </c>
      <c r="I54">
        <v>38369.300000000003</v>
      </c>
      <c r="J54">
        <v>106756</v>
      </c>
      <c r="K54">
        <f t="shared" si="1"/>
        <v>135073.40000000002</v>
      </c>
      <c r="M54" s="30">
        <f>[8]ChainQtyIndexes!EF342</f>
        <v>326850.99456000002</v>
      </c>
      <c r="N54" s="3">
        <f>[8]ChainQtyIndexes!EG342</f>
        <v>130474.38900000001</v>
      </c>
      <c r="O54" s="3">
        <f>[8]ChainQtyIndexes!EH342</f>
        <v>101565.5018</v>
      </c>
      <c r="Q54">
        <f t="shared" si="2"/>
        <v>0.75192822420994798</v>
      </c>
    </row>
    <row r="55" spans="5:17" x14ac:dyDescent="0.2">
      <c r="E55">
        <v>2012</v>
      </c>
      <c r="F55">
        <v>362651</v>
      </c>
      <c r="G55">
        <v>54424.3</v>
      </c>
      <c r="H55">
        <v>36413.300000000003</v>
      </c>
      <c r="I55">
        <v>33829.4</v>
      </c>
      <c r="J55">
        <v>125732</v>
      </c>
      <c r="K55">
        <f t="shared" si="1"/>
        <v>124667</v>
      </c>
      <c r="M55" s="3">
        <f>[8]ChainQtyIndexes!EF343</f>
        <v>362652</v>
      </c>
      <c r="N55" s="3">
        <f>[8]ChainQtyIndexes!EG343</f>
        <v>124665</v>
      </c>
      <c r="O55" s="3">
        <f>[8]ChainQtyIndexes!EH343</f>
        <v>125731</v>
      </c>
      <c r="Q55">
        <f t="shared" si="2"/>
        <v>1.0085347365381376</v>
      </c>
    </row>
    <row r="56" spans="5:17" x14ac:dyDescent="0.2">
      <c r="E56">
        <v>2013</v>
      </c>
      <c r="F56">
        <v>365585.4</v>
      </c>
      <c r="G56">
        <v>46871.7</v>
      </c>
      <c r="H56">
        <v>38102.5</v>
      </c>
      <c r="I56">
        <v>30541.9</v>
      </c>
      <c r="J56">
        <v>121777</v>
      </c>
      <c r="K56">
        <f t="shared" si="1"/>
        <v>115516.1</v>
      </c>
      <c r="M56" s="3">
        <f>[8]ChainQtyIndexes!EF344</f>
        <v>399758.55264000001</v>
      </c>
      <c r="N56" s="3">
        <f>[8]ChainQtyIndexes!EG344</f>
        <v>120529.86195000001</v>
      </c>
      <c r="O56" s="3">
        <f>[8]ChainQtyIndexes!EH344</f>
        <v>119830.44417</v>
      </c>
      <c r="Q56">
        <f t="shared" si="2"/>
        <v>1.0373484230336723</v>
      </c>
    </row>
    <row r="57" spans="5:17" x14ac:dyDescent="0.2">
      <c r="E57">
        <v>2014</v>
      </c>
      <c r="F57">
        <v>395206.2</v>
      </c>
      <c r="G57">
        <v>51497.7</v>
      </c>
      <c r="H57">
        <v>40821.1</v>
      </c>
      <c r="I57">
        <v>29905.599999999999</v>
      </c>
      <c r="J57">
        <v>133818.29999999999</v>
      </c>
      <c r="K57">
        <f t="shared" si="1"/>
        <v>122224.4</v>
      </c>
      <c r="M57" s="3">
        <f>[8]ChainQtyIndexes!EF345</f>
        <v>451073.81064000004</v>
      </c>
      <c r="N57" s="3">
        <f>[8]ChainQtyIndexes!EG345</f>
        <v>125770.77855</v>
      </c>
      <c r="O57" s="3">
        <f>[8]ChainQtyIndexes!EH345</f>
        <v>146982.05361999999</v>
      </c>
      <c r="Q57">
        <f t="shared" si="2"/>
        <v>1.2025590112939806</v>
      </c>
    </row>
    <row r="58" spans="5:17" x14ac:dyDescent="0.2">
      <c r="E58">
        <v>2015</v>
      </c>
      <c r="F58">
        <v>409657.3</v>
      </c>
      <c r="G58">
        <v>49311.4</v>
      </c>
      <c r="H58">
        <v>41256.800000000003</v>
      </c>
      <c r="I58">
        <v>27609.5</v>
      </c>
      <c r="J58">
        <v>103575</v>
      </c>
      <c r="K58">
        <f t="shared" si="1"/>
        <v>118177.70000000001</v>
      </c>
      <c r="M58" s="3">
        <f>[8]ChainQtyIndexes!EF346</f>
        <v>442203.34272000002</v>
      </c>
      <c r="N58" s="3">
        <f>[8]ChainQtyIndexes!EG346</f>
        <v>118489.09590000001</v>
      </c>
      <c r="O58" s="3">
        <f>[8]ChainQtyIndexes!EH346</f>
        <v>116156.58435</v>
      </c>
      <c r="Q58">
        <f t="shared" si="2"/>
        <v>0.9828976562414059</v>
      </c>
    </row>
    <row r="59" spans="5:17" x14ac:dyDescent="0.2">
      <c r="E59">
        <v>2016</v>
      </c>
      <c r="F59">
        <v>387770.2</v>
      </c>
      <c r="G59">
        <v>45160.5</v>
      </c>
      <c r="H59">
        <v>37321.199999999997</v>
      </c>
      <c r="I59">
        <v>26235.5</v>
      </c>
      <c r="J59">
        <v>54172.9</v>
      </c>
      <c r="K59">
        <f t="shared" si="1"/>
        <v>108717.2</v>
      </c>
      <c r="M59" s="3">
        <f>[8]ChainQtyIndexes!EF347</f>
        <v>423998.21231999999</v>
      </c>
      <c r="N59" s="3">
        <f>[8]ChainQtyIndexes!EG347</f>
        <v>106046.28225</v>
      </c>
      <c r="O59" s="3">
        <f>[8]ChainQtyIndexes!EH347</f>
        <v>59814.008629999997</v>
      </c>
      <c r="Q59">
        <f t="shared" si="2"/>
        <v>0.55017981175011865</v>
      </c>
    </row>
    <row r="60" spans="5:17" x14ac:dyDescent="0.2">
      <c r="E60">
        <v>2017</v>
      </c>
      <c r="F60">
        <v>433056.5</v>
      </c>
      <c r="G60">
        <v>43535.4</v>
      </c>
      <c r="H60">
        <v>35659.4</v>
      </c>
      <c r="I60">
        <v>26555.4</v>
      </c>
      <c r="J60">
        <v>76414.100000000006</v>
      </c>
      <c r="K60">
        <f t="shared" si="1"/>
        <v>105750.20000000001</v>
      </c>
      <c r="M60" s="3">
        <f>[8]ChainQtyIndexes!EF348</f>
        <v>456952.39955999999</v>
      </c>
      <c r="N60" s="3">
        <f>[8]ChainQtyIndexes!EG348</f>
        <v>110363.43120000001</v>
      </c>
      <c r="O60" s="3">
        <f>[8]ChainQtyIndexes!EH348</f>
        <v>84870.93961999999</v>
      </c>
      <c r="Q60">
        <f t="shared" si="2"/>
        <v>0.80256055893984102</v>
      </c>
    </row>
    <row r="61" spans="5:17" x14ac:dyDescent="0.2">
      <c r="E61">
        <v>2018</v>
      </c>
      <c r="F61">
        <v>466007.4</v>
      </c>
      <c r="G61">
        <v>44385.8</v>
      </c>
      <c r="H61">
        <v>42597.599999999999</v>
      </c>
      <c r="I61">
        <v>26196.5</v>
      </c>
      <c r="J61">
        <v>65379.4</v>
      </c>
      <c r="K61">
        <f t="shared" si="1"/>
        <v>113179.9</v>
      </c>
      <c r="M61" s="3">
        <f>[8]ChainQtyIndexes!EF349</f>
        <v>528278.79492000001</v>
      </c>
      <c r="N61" s="3">
        <f>[8]ChainQtyIndexes!EG349</f>
        <v>110200.12005000001</v>
      </c>
      <c r="O61" s="3">
        <f>[8]ChainQtyIndexes!EH349</f>
        <v>99273.425669999997</v>
      </c>
      <c r="Q61">
        <f t="shared" si="2"/>
        <v>0.87712946972033023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AD74"/>
  <sheetViews>
    <sheetView topLeftCell="G36" workbookViewId="0">
      <selection activeCell="W38" sqref="W38"/>
    </sheetView>
  </sheetViews>
  <sheetFormatPr defaultRowHeight="12.75" x14ac:dyDescent="0.2"/>
  <cols>
    <col min="2" max="2" width="29.42578125" customWidth="1"/>
  </cols>
  <sheetData>
    <row r="3" spans="2:30" x14ac:dyDescent="0.2">
      <c r="B3" s="108" t="s">
        <v>383</v>
      </c>
    </row>
    <row r="4" spans="2:30" x14ac:dyDescent="0.2">
      <c r="C4">
        <v>1958</v>
      </c>
      <c r="D4">
        <f>C4+1</f>
        <v>1959</v>
      </c>
      <c r="E4">
        <f t="shared" ref="E4:AD4" si="0">D4+1</f>
        <v>1960</v>
      </c>
      <c r="F4">
        <f t="shared" si="0"/>
        <v>1961</v>
      </c>
      <c r="G4">
        <f t="shared" si="0"/>
        <v>1962</v>
      </c>
      <c r="H4">
        <f t="shared" si="0"/>
        <v>1963</v>
      </c>
      <c r="I4">
        <f t="shared" si="0"/>
        <v>1964</v>
      </c>
      <c r="J4">
        <f t="shared" si="0"/>
        <v>1965</v>
      </c>
      <c r="K4">
        <f t="shared" si="0"/>
        <v>1966</v>
      </c>
      <c r="L4">
        <f t="shared" si="0"/>
        <v>1967</v>
      </c>
      <c r="M4">
        <f t="shared" si="0"/>
        <v>1968</v>
      </c>
      <c r="N4">
        <f t="shared" si="0"/>
        <v>1969</v>
      </c>
      <c r="O4">
        <f t="shared" si="0"/>
        <v>1970</v>
      </c>
      <c r="P4">
        <f t="shared" si="0"/>
        <v>1971</v>
      </c>
      <c r="Q4">
        <f t="shared" si="0"/>
        <v>1972</v>
      </c>
      <c r="R4">
        <f t="shared" si="0"/>
        <v>1973</v>
      </c>
      <c r="S4">
        <f t="shared" si="0"/>
        <v>1974</v>
      </c>
      <c r="T4">
        <f t="shared" si="0"/>
        <v>1975</v>
      </c>
      <c r="U4">
        <f t="shared" si="0"/>
        <v>1976</v>
      </c>
      <c r="V4">
        <f t="shared" si="0"/>
        <v>1977</v>
      </c>
      <c r="W4">
        <f t="shared" si="0"/>
        <v>1978</v>
      </c>
      <c r="X4">
        <f t="shared" si="0"/>
        <v>1979</v>
      </c>
      <c r="Y4">
        <f t="shared" si="0"/>
        <v>1980</v>
      </c>
      <c r="Z4">
        <f t="shared" si="0"/>
        <v>1981</v>
      </c>
      <c r="AA4">
        <f t="shared" si="0"/>
        <v>1982</v>
      </c>
      <c r="AB4">
        <f t="shared" si="0"/>
        <v>1983</v>
      </c>
      <c r="AC4">
        <f t="shared" si="0"/>
        <v>1984</v>
      </c>
      <c r="AD4">
        <f t="shared" si="0"/>
        <v>1985</v>
      </c>
    </row>
    <row r="5" spans="2:30" x14ac:dyDescent="0.2">
      <c r="B5" s="108" t="s">
        <v>370</v>
      </c>
      <c r="C5">
        <f>[9]ALLFOS!B5</f>
        <v>35.573</v>
      </c>
      <c r="D5">
        <f>[9]ALLFOS!C5</f>
        <v>34.944000000000003</v>
      </c>
      <c r="E5">
        <f>[9]ALLFOS!D5</f>
        <v>52.655000000000001</v>
      </c>
      <c r="F5">
        <f>[9]ALLFOS!E5</f>
        <v>49.118000000000002</v>
      </c>
      <c r="G5">
        <f>[9]ALLFOS!F5</f>
        <v>48.795999999999999</v>
      </c>
      <c r="H5">
        <f>[9]ALLFOS!G5</f>
        <v>55.215000000000003</v>
      </c>
      <c r="I5">
        <f>[9]ALLFOS!H5</f>
        <v>65.194999999999993</v>
      </c>
      <c r="J5">
        <f>[9]ALLFOS!I5</f>
        <v>69.453999999999994</v>
      </c>
      <c r="K5">
        <f>[9]ALLFOS!J5</f>
        <v>77.468999999999994</v>
      </c>
      <c r="L5">
        <f>[9]ALLFOS!K5</f>
        <v>73.236999999999995</v>
      </c>
      <c r="M5">
        <f>[9]ALLFOS!L5</f>
        <v>76.831999999999994</v>
      </c>
      <c r="N5">
        <f>[9]ALLFOS!M5</f>
        <v>87.284999999999997</v>
      </c>
      <c r="O5">
        <f>[9]ALLFOS!N5</f>
        <v>88.350999999999999</v>
      </c>
      <c r="P5">
        <f>[9]ALLFOS!O5</f>
        <v>81.313999999999993</v>
      </c>
      <c r="Q5">
        <f>[9]ALLFOS!P5</f>
        <v>85.024000000000001</v>
      </c>
      <c r="R5">
        <f>[9]ALLFOS!Q5</f>
        <v>100.309</v>
      </c>
      <c r="S5">
        <f>[9]ALLFOS!R5</f>
        <v>93.531000000000006</v>
      </c>
      <c r="T5">
        <f>[9]ALLFOS!S5</f>
        <v>83.114000000000004</v>
      </c>
      <c r="U5">
        <f>[9]ALLFOS!T5</f>
        <v>85.602999999999994</v>
      </c>
      <c r="V5">
        <f>[9]ALLFOS!U5</f>
        <v>66.667000000000002</v>
      </c>
      <c r="W5">
        <f>[9]ALLFOS!V5</f>
        <v>88.278000000000006</v>
      </c>
      <c r="X5">
        <f>[9]ALLFOS!W5</f>
        <v>89.41</v>
      </c>
      <c r="Y5">
        <f>[9]ALLFOS!X5</f>
        <v>73.397999999999996</v>
      </c>
      <c r="Z5">
        <f>[9]ALLFOS!Y5</f>
        <v>68.914000000000001</v>
      </c>
      <c r="AA5">
        <f>[9]ALLFOS!Z5</f>
        <v>34.087000000000003</v>
      </c>
      <c r="AB5">
        <f>[9]ALLFOS!AA5</f>
        <v>36.314</v>
      </c>
      <c r="AC5">
        <f>[9]ALLFOS!AB5</f>
        <v>49.112000000000002</v>
      </c>
      <c r="AD5">
        <f>[9]ALLFOS!AC5</f>
        <v>45.786999999999999</v>
      </c>
    </row>
    <row r="6" spans="2:30" x14ac:dyDescent="0.2">
      <c r="B6" s="108" t="s">
        <v>371</v>
      </c>
      <c r="C6">
        <f>[9]ALLFOS!B6</f>
        <v>8.1859999999999999</v>
      </c>
      <c r="D6">
        <f>[9]ALLFOS!C6</f>
        <v>10.353</v>
      </c>
      <c r="E6">
        <f>[9]ALLFOS!D6</f>
        <v>10.8</v>
      </c>
      <c r="F6">
        <f>[9]ALLFOS!E6</f>
        <v>10.242000000000001</v>
      </c>
      <c r="G6">
        <f>[9]ALLFOS!F6</f>
        <v>8.8810000000000002</v>
      </c>
      <c r="H6">
        <f>[9]ALLFOS!G6</f>
        <v>7.3090000000000002</v>
      </c>
      <c r="I6">
        <f>[9]ALLFOS!H6</f>
        <v>6.9610000000000003</v>
      </c>
      <c r="J6">
        <f>[9]ALLFOS!I6</f>
        <v>5.2050000000000001</v>
      </c>
      <c r="K6">
        <f>[9]ALLFOS!J6</f>
        <v>5.0529999999999999</v>
      </c>
      <c r="L6">
        <f>[9]ALLFOS!K6</f>
        <v>5.5430000000000001</v>
      </c>
      <c r="M6">
        <f>[9]ALLFOS!L6</f>
        <v>6.5110000000000001</v>
      </c>
      <c r="N6">
        <f>[9]ALLFOS!M6</f>
        <v>6.4219999999999997</v>
      </c>
      <c r="O6">
        <f>[9]ALLFOS!N6</f>
        <v>6.7430000000000003</v>
      </c>
      <c r="P6">
        <f>[9]ALLFOS!O6</f>
        <v>6.7619999999999996</v>
      </c>
      <c r="Q6">
        <f>[9]ALLFOS!P6</f>
        <v>7.141</v>
      </c>
      <c r="R6">
        <f>[9]ALLFOS!Q6</f>
        <v>7.3049999999999997</v>
      </c>
      <c r="S6">
        <f>[9]ALLFOS!R6</f>
        <v>6.8</v>
      </c>
      <c r="T6">
        <f>[9]ALLFOS!S6</f>
        <v>7.0039999999999996</v>
      </c>
      <c r="U6">
        <f>[9]ALLFOS!T6</f>
        <v>7.9329999999999998</v>
      </c>
      <c r="V6">
        <f>[9]ALLFOS!U6</f>
        <v>9.6</v>
      </c>
      <c r="W6">
        <f>[9]ALLFOS!V6</f>
        <v>11.053000000000001</v>
      </c>
      <c r="X6">
        <f>[9]ALLFOS!W6</f>
        <v>10.571</v>
      </c>
      <c r="Y6">
        <f>[9]ALLFOS!X6</f>
        <v>11.577</v>
      </c>
      <c r="Z6">
        <f>[9]ALLFOS!Y6</f>
        <v>9.5739999999999998</v>
      </c>
      <c r="AA6">
        <f>[9]ALLFOS!Z6</f>
        <v>6.1559999999999997</v>
      </c>
      <c r="AB6">
        <f>[9]ALLFOS!AA6</f>
        <v>4.5679999999999996</v>
      </c>
      <c r="AC6">
        <f>[9]ALLFOS!AB6</f>
        <v>3.2879999999999998</v>
      </c>
      <c r="AD6">
        <f>[9]ALLFOS!AC6</f>
        <v>2.25</v>
      </c>
    </row>
    <row r="7" spans="2:30" x14ac:dyDescent="0.2">
      <c r="B7" s="108" t="s">
        <v>372</v>
      </c>
      <c r="C7">
        <f>[9]ALLFOS!B7</f>
        <v>36.893000000000001</v>
      </c>
      <c r="D7">
        <f>[9]ALLFOS!C7</f>
        <v>30.67</v>
      </c>
      <c r="E7">
        <f>[9]ALLFOS!D7</f>
        <v>33.015999999999998</v>
      </c>
      <c r="F7">
        <f>[9]ALLFOS!E7</f>
        <v>31.622</v>
      </c>
      <c r="G7">
        <f>[9]ALLFOS!F7</f>
        <v>29.895</v>
      </c>
      <c r="H7">
        <f>[9]ALLFOS!G7</f>
        <v>26.492999999999999</v>
      </c>
      <c r="I7">
        <f>[9]ALLFOS!H7</f>
        <v>28.367999999999999</v>
      </c>
      <c r="J7">
        <f>[9]ALLFOS!I7</f>
        <v>31.951000000000001</v>
      </c>
      <c r="K7">
        <f>[9]ALLFOS!J7</f>
        <v>34.131999999999998</v>
      </c>
      <c r="L7">
        <f>[9]ALLFOS!K7</f>
        <v>26.632999999999999</v>
      </c>
      <c r="M7">
        <f>[9]ALLFOS!L7</f>
        <v>31.513999999999999</v>
      </c>
      <c r="N7">
        <f>[9]ALLFOS!M7</f>
        <v>37.856000000000002</v>
      </c>
      <c r="O7">
        <f>[9]ALLFOS!N7</f>
        <v>42.697000000000003</v>
      </c>
      <c r="P7">
        <f>[9]ALLFOS!O7</f>
        <v>39.24</v>
      </c>
      <c r="Q7">
        <f>[9]ALLFOS!P7</f>
        <v>41.936</v>
      </c>
      <c r="R7">
        <f>[9]ALLFOS!Q7</f>
        <v>43.134</v>
      </c>
      <c r="S7">
        <f>[9]ALLFOS!R7</f>
        <v>43.067</v>
      </c>
      <c r="T7">
        <f>[9]ALLFOS!S7</f>
        <v>40.777000000000001</v>
      </c>
      <c r="U7">
        <f>[9]ALLFOS!T7</f>
        <v>45.871000000000002</v>
      </c>
      <c r="V7">
        <f>[9]ALLFOS!U7</f>
        <v>45.854999999999997</v>
      </c>
      <c r="W7">
        <f>[9]ALLFOS!V7</f>
        <v>40.081000000000003</v>
      </c>
      <c r="X7">
        <f>[9]ALLFOS!W7</f>
        <v>37.295000000000002</v>
      </c>
      <c r="Y7">
        <f>[9]ALLFOS!X7</f>
        <v>29.722999999999999</v>
      </c>
      <c r="Z7">
        <f>[9]ALLFOS!Y7</f>
        <v>32.796999999999997</v>
      </c>
      <c r="AA7">
        <f>[9]ALLFOS!Z7</f>
        <v>24.236999999999998</v>
      </c>
      <c r="AB7">
        <f>[9]ALLFOS!AA7</f>
        <v>21.797000000000001</v>
      </c>
      <c r="AC7">
        <f>[9]ALLFOS!AB7</f>
        <v>21.891999999999999</v>
      </c>
      <c r="AD7">
        <f>[9]ALLFOS!AC7</f>
        <v>19.489000000000001</v>
      </c>
    </row>
    <row r="8" spans="2:30" x14ac:dyDescent="0.2">
      <c r="B8" s="108" t="s">
        <v>373</v>
      </c>
      <c r="C8">
        <f>[9]ALLFOS!B8</f>
        <v>7.2670000000000003</v>
      </c>
      <c r="D8">
        <f>[9]ALLFOS!C8</f>
        <v>6.5229999999999997</v>
      </c>
      <c r="E8">
        <f>[9]ALLFOS!D8</f>
        <v>5.8869999999999996</v>
      </c>
      <c r="F8">
        <f>[9]ALLFOS!E8</f>
        <v>4.9749999999999996</v>
      </c>
      <c r="G8">
        <f>[9]ALLFOS!F8</f>
        <v>4.4619999999999997</v>
      </c>
      <c r="H8">
        <f>[9]ALLFOS!G8</f>
        <v>4.0019999999999998</v>
      </c>
      <c r="I8">
        <f>[9]ALLFOS!H8</f>
        <v>3.472</v>
      </c>
      <c r="J8">
        <f>[9]ALLFOS!I8</f>
        <v>3.8460000000000001</v>
      </c>
      <c r="K8">
        <f>[9]ALLFOS!J8</f>
        <v>3.6749999999999998</v>
      </c>
      <c r="L8">
        <f>[9]ALLFOS!K8</f>
        <v>3.46</v>
      </c>
      <c r="M8">
        <f>[9]ALLFOS!L8</f>
        <v>3.0619999999999998</v>
      </c>
      <c r="N8">
        <f>[9]ALLFOS!M8</f>
        <v>2.7919999999999998</v>
      </c>
      <c r="O8">
        <f>[9]ALLFOS!N8</f>
        <v>2.6179999999999999</v>
      </c>
      <c r="P8">
        <f>[9]ALLFOS!O8</f>
        <v>2.0529999999999999</v>
      </c>
      <c r="Q8">
        <f>[9]ALLFOS!P8</f>
        <v>1.8380000000000001</v>
      </c>
      <c r="R8">
        <f>[9]ALLFOS!Q8</f>
        <v>1.744</v>
      </c>
      <c r="S8">
        <f>[9]ALLFOS!R8</f>
        <v>1.6950000000000001</v>
      </c>
      <c r="T8">
        <f>[9]ALLFOS!S8</f>
        <v>1.7310000000000001</v>
      </c>
      <c r="U8">
        <f>[9]ALLFOS!T8</f>
        <v>1.7190000000000001</v>
      </c>
      <c r="V8">
        <f>[9]ALLFOS!U8</f>
        <v>1.6579999999999999</v>
      </c>
      <c r="W8">
        <f>[9]ALLFOS!V8</f>
        <v>1.548</v>
      </c>
      <c r="X8">
        <f>[9]ALLFOS!W8</f>
        <v>1.7609999999999999</v>
      </c>
      <c r="Y8">
        <f>[9]ALLFOS!X8</f>
        <v>1.8220000000000001</v>
      </c>
      <c r="Z8">
        <f>[9]ALLFOS!Y8</f>
        <v>1.748</v>
      </c>
      <c r="AA8">
        <f>[9]ALLFOS!Z8</f>
        <v>1.7470000000000001</v>
      </c>
      <c r="AB8">
        <f>[9]ALLFOS!AA8</f>
        <v>1.6319999999999999</v>
      </c>
      <c r="AC8">
        <f>[9]ALLFOS!AB8</f>
        <v>1.84</v>
      </c>
      <c r="AD8">
        <f>[9]ALLFOS!AC8</f>
        <v>1.8240000000000001</v>
      </c>
    </row>
    <row r="9" spans="2:30" x14ac:dyDescent="0.2">
      <c r="B9" s="108" t="s">
        <v>374</v>
      </c>
      <c r="C9">
        <f>[9]ALLFOS!B9</f>
        <v>22.36</v>
      </c>
      <c r="D9">
        <f>[9]ALLFOS!C9</f>
        <v>21.850999999999999</v>
      </c>
      <c r="E9">
        <f>[9]ALLFOS!D9</f>
        <v>21.582000000000001</v>
      </c>
      <c r="F9">
        <f>[9]ALLFOS!E9</f>
        <v>20.382999999999999</v>
      </c>
      <c r="G9">
        <f>[9]ALLFOS!F9</f>
        <v>20.864000000000001</v>
      </c>
      <c r="H9">
        <f>[9]ALLFOS!G9</f>
        <v>22.009</v>
      </c>
      <c r="I9">
        <f>[9]ALLFOS!H9</f>
        <v>20.66</v>
      </c>
      <c r="J9">
        <f>[9]ALLFOS!I9</f>
        <v>24.905999999999999</v>
      </c>
      <c r="K9">
        <f>[9]ALLFOS!J9</f>
        <v>26.152000000000001</v>
      </c>
      <c r="L9">
        <f>[9]ALLFOS!K9</f>
        <v>27.260999999999999</v>
      </c>
      <c r="M9">
        <f>[9]ALLFOS!L9</f>
        <v>29.242000000000001</v>
      </c>
      <c r="N9">
        <f>[9]ALLFOS!M9</f>
        <v>32.515999999999998</v>
      </c>
      <c r="O9">
        <f>[9]ALLFOS!N9</f>
        <v>37.567999999999998</v>
      </c>
      <c r="P9">
        <f>[9]ALLFOS!O9</f>
        <v>36.908999999999999</v>
      </c>
      <c r="Q9">
        <f>[9]ALLFOS!P9</f>
        <v>42.427999999999997</v>
      </c>
      <c r="R9">
        <f>[9]ALLFOS!Q9</f>
        <v>47.241</v>
      </c>
      <c r="S9">
        <f>[9]ALLFOS!R9</f>
        <v>53.465000000000003</v>
      </c>
      <c r="T9">
        <f>[9]ALLFOS!S9</f>
        <v>63.031999999999996</v>
      </c>
      <c r="U9">
        <f>[9]ALLFOS!T9</f>
        <v>71.847999999999999</v>
      </c>
      <c r="V9">
        <f>[9]ALLFOS!U9</f>
        <v>79.236999999999995</v>
      </c>
      <c r="W9">
        <f>[9]ALLFOS!V9</f>
        <v>75.381</v>
      </c>
      <c r="X9">
        <f>[9]ALLFOS!W9</f>
        <v>87.352000000000004</v>
      </c>
      <c r="Y9">
        <f>[9]ALLFOS!X9</f>
        <v>92.117000000000004</v>
      </c>
      <c r="Z9">
        <f>[9]ALLFOS!Y9</f>
        <v>90.197999999999993</v>
      </c>
      <c r="AA9">
        <f>[9]ALLFOS!Z9</f>
        <v>92.055999999999997</v>
      </c>
      <c r="AB9">
        <f>[9]ALLFOS!AA9</f>
        <v>85.209000000000003</v>
      </c>
      <c r="AC9">
        <f>[9]ALLFOS!AB9</f>
        <v>95.075999999999993</v>
      </c>
      <c r="AD9">
        <f>[9]ALLFOS!AC9</f>
        <v>93.287000000000006</v>
      </c>
    </row>
    <row r="10" spans="2:30" x14ac:dyDescent="0.2">
      <c r="B10" s="108" t="s">
        <v>375</v>
      </c>
      <c r="C10">
        <f>[9]ALLFOS!B10</f>
        <v>117.569</v>
      </c>
      <c r="D10">
        <f>[9]ALLFOS!C10</f>
        <v>118.708</v>
      </c>
      <c r="E10">
        <f>[9]ALLFOS!D10</f>
        <v>114.254</v>
      </c>
      <c r="F10">
        <f>[9]ALLFOS!E10</f>
        <v>111.38200000000001</v>
      </c>
      <c r="G10">
        <f>[9]ALLFOS!F10</f>
        <v>108.684</v>
      </c>
      <c r="H10">
        <f>[9]ALLFOS!G10</f>
        <v>105.852</v>
      </c>
      <c r="I10">
        <f>[9]ALLFOS!H10</f>
        <v>100.39400000000001</v>
      </c>
      <c r="J10">
        <f>[9]ALLFOS!I10</f>
        <v>95.45</v>
      </c>
      <c r="K10">
        <f>[9]ALLFOS!J10</f>
        <v>92.778000000000006</v>
      </c>
      <c r="L10">
        <f>[9]ALLFOS!K10</f>
        <v>92.194999999999993</v>
      </c>
      <c r="M10">
        <f>[9]ALLFOS!L10</f>
        <v>99.13</v>
      </c>
      <c r="N10">
        <f>[9]ALLFOS!M10</f>
        <v>104.52800000000001</v>
      </c>
      <c r="O10">
        <f>[9]ALLFOS!N10</f>
        <v>112.143</v>
      </c>
      <c r="P10">
        <f>[9]ALLFOS!O10</f>
        <v>113.79900000000001</v>
      </c>
      <c r="Q10">
        <f>[9]ALLFOS!P10</f>
        <v>118.20099999999999</v>
      </c>
      <c r="R10">
        <f>[9]ALLFOS!Q10</f>
        <v>129.50299999999999</v>
      </c>
      <c r="S10">
        <f>[9]ALLFOS!R10</f>
        <v>138.88499999999999</v>
      </c>
      <c r="T10">
        <f>[9]ALLFOS!S10</f>
        <v>146.559</v>
      </c>
      <c r="U10">
        <f>[9]ALLFOS!T10</f>
        <v>156.708</v>
      </c>
      <c r="V10">
        <f>[9]ALLFOS!U10</f>
        <v>171.52600000000001</v>
      </c>
      <c r="W10">
        <f>[9]ALLFOS!V10</f>
        <v>181.90600000000001</v>
      </c>
      <c r="X10">
        <f>[9]ALLFOS!W10</f>
        <v>180.214</v>
      </c>
      <c r="Y10">
        <f>[9]ALLFOS!X10</f>
        <v>183.346</v>
      </c>
      <c r="Z10">
        <f>[9]ALLFOS!Y10</f>
        <v>183.84800000000001</v>
      </c>
      <c r="AA10">
        <f>[9]ALLFOS!Z10</f>
        <v>185.279</v>
      </c>
      <c r="AB10">
        <f>[9]ALLFOS!AA10</f>
        <v>188.56399999999999</v>
      </c>
      <c r="AC10">
        <f>[9]ALLFOS!AB10</f>
        <v>184.21</v>
      </c>
      <c r="AD10">
        <f>[9]ALLFOS!AC10</f>
        <v>180.40899999999999</v>
      </c>
    </row>
    <row r="11" spans="2:30" x14ac:dyDescent="0.2">
      <c r="B11" s="108" t="s">
        <v>273</v>
      </c>
      <c r="C11">
        <f>[9]ALLFOS!B11</f>
        <v>3.1230000000000002</v>
      </c>
      <c r="D11">
        <f>[9]ALLFOS!C11</f>
        <v>5.3109999999999999</v>
      </c>
      <c r="E11">
        <f>[9]ALLFOS!D11</f>
        <v>7.6820000000000004</v>
      </c>
      <c r="F11">
        <f>[9]ALLFOS!E11</f>
        <v>10.093</v>
      </c>
      <c r="G11">
        <f>[9]ALLFOS!F11</f>
        <v>12.805999999999999</v>
      </c>
      <c r="H11">
        <f>[9]ALLFOS!G11</f>
        <v>15.885</v>
      </c>
      <c r="I11">
        <f>[9]ALLFOS!H11</f>
        <v>16.004999999999999</v>
      </c>
      <c r="J11">
        <f>[9]ALLFOS!I11</f>
        <v>15.983000000000001</v>
      </c>
      <c r="K11">
        <f>[9]ALLFOS!J11</f>
        <v>16.309000000000001</v>
      </c>
      <c r="L11">
        <f>[9]ALLFOS!K11</f>
        <v>16.446999999999999</v>
      </c>
      <c r="M11">
        <f>[9]ALLFOS!L11</f>
        <v>16.940000000000001</v>
      </c>
      <c r="N11">
        <f>[9]ALLFOS!M11</f>
        <v>17.606000000000002</v>
      </c>
      <c r="O11">
        <f>[9]ALLFOS!N11</f>
        <v>17.873999999999999</v>
      </c>
      <c r="P11">
        <f>[9]ALLFOS!O11</f>
        <v>17.664999999999999</v>
      </c>
      <c r="Q11">
        <f>[9]ALLFOS!P11</f>
        <v>17.119</v>
      </c>
      <c r="R11">
        <f>[9]ALLFOS!Q11</f>
        <v>19.783999999999999</v>
      </c>
      <c r="S11">
        <f>[9]ALLFOS!R11</f>
        <v>21.617000000000001</v>
      </c>
      <c r="T11">
        <f>[9]ALLFOS!S11</f>
        <v>22.56</v>
      </c>
      <c r="U11">
        <f>[9]ALLFOS!T11</f>
        <v>24.876000000000001</v>
      </c>
      <c r="V11">
        <f>[9]ALLFOS!U11</f>
        <v>27.375</v>
      </c>
      <c r="W11">
        <f>[9]ALLFOS!V11</f>
        <v>26.978999999999999</v>
      </c>
      <c r="X11">
        <f>[9]ALLFOS!W11</f>
        <v>27.591000000000001</v>
      </c>
      <c r="Y11">
        <f>[9]ALLFOS!X11</f>
        <v>27.141999999999999</v>
      </c>
      <c r="Z11">
        <f>[9]ALLFOS!Y11</f>
        <v>26.75</v>
      </c>
      <c r="AA11">
        <f>[9]ALLFOS!Z11</f>
        <v>24.518999999999998</v>
      </c>
      <c r="AB11">
        <f>[9]ALLFOS!AA11</f>
        <v>22.311</v>
      </c>
      <c r="AC11">
        <f>[9]ALLFOS!AB11</f>
        <v>22.431000000000001</v>
      </c>
      <c r="AD11">
        <f>[9]ALLFOS!AC11</f>
        <v>21.308</v>
      </c>
    </row>
    <row r="12" spans="2:30" x14ac:dyDescent="0.2">
      <c r="B12" s="108" t="s">
        <v>376</v>
      </c>
      <c r="C12">
        <f>[9]ALLFOS!B12</f>
        <v>34.085999999999999</v>
      </c>
      <c r="D12">
        <f>[9]ALLFOS!C12</f>
        <v>35.389000000000003</v>
      </c>
      <c r="E12">
        <f>[9]ALLFOS!D12</f>
        <v>35.728999999999999</v>
      </c>
      <c r="F12">
        <f>[9]ALLFOS!E12</f>
        <v>35.040999999999997</v>
      </c>
      <c r="G12">
        <f>[9]ALLFOS!F12</f>
        <v>34.572000000000003</v>
      </c>
      <c r="H12">
        <f>[9]ALLFOS!G12</f>
        <v>34.247999999999998</v>
      </c>
      <c r="I12">
        <f>[9]ALLFOS!H12</f>
        <v>37.270000000000003</v>
      </c>
      <c r="J12">
        <f>[9]ALLFOS!I12</f>
        <v>40.173999999999999</v>
      </c>
      <c r="K12">
        <f>[9]ALLFOS!J12</f>
        <v>44.311999999999998</v>
      </c>
      <c r="L12">
        <f>[9]ALLFOS!K12</f>
        <v>48.363999999999997</v>
      </c>
      <c r="M12">
        <f>[9]ALLFOS!L12</f>
        <v>53.087000000000003</v>
      </c>
      <c r="N12">
        <f>[9]ALLFOS!M12</f>
        <v>58.793999999999997</v>
      </c>
      <c r="O12">
        <f>[9]ALLFOS!N12</f>
        <v>63.64</v>
      </c>
      <c r="P12">
        <f>[9]ALLFOS!O12</f>
        <v>67.091999999999999</v>
      </c>
      <c r="Q12">
        <f>[9]ALLFOS!P12</f>
        <v>69.403999999999996</v>
      </c>
      <c r="R12">
        <f>[9]ALLFOS!Q12</f>
        <v>79.525999999999996</v>
      </c>
      <c r="S12">
        <f>[9]ALLFOS!R12</f>
        <v>86.566999999999993</v>
      </c>
      <c r="T12">
        <f>[9]ALLFOS!S12</f>
        <v>90.012</v>
      </c>
      <c r="U12">
        <f>[9]ALLFOS!T12</f>
        <v>98.984999999999999</v>
      </c>
      <c r="V12">
        <f>[9]ALLFOS!U12</f>
        <v>108.654</v>
      </c>
      <c r="W12">
        <f>[9]ALLFOS!V12</f>
        <v>109.03</v>
      </c>
      <c r="X12">
        <f>[9]ALLFOS!W12</f>
        <v>113.77200000000001</v>
      </c>
      <c r="Y12">
        <f>[9]ALLFOS!X12</f>
        <v>114.164</v>
      </c>
      <c r="Z12">
        <f>[9]ALLFOS!Y12</f>
        <v>114.627</v>
      </c>
      <c r="AA12">
        <f>[9]ALLFOS!Z12</f>
        <v>107.08799999999999</v>
      </c>
      <c r="AB12">
        <f>[9]ALLFOS!AA12</f>
        <v>100.245</v>
      </c>
      <c r="AC12">
        <f>[9]ALLFOS!AB12</f>
        <v>103.41500000000001</v>
      </c>
      <c r="AD12">
        <f>[9]ALLFOS!AC12</f>
        <v>101.361</v>
      </c>
    </row>
    <row r="13" spans="2:30" x14ac:dyDescent="0.2">
      <c r="B13" s="108" t="s">
        <v>377</v>
      </c>
      <c r="C13">
        <f>[9]ALLFOS!B13</f>
        <v>74.198999999999998</v>
      </c>
      <c r="D13">
        <f>[9]ALLFOS!C13</f>
        <v>81.831999999999994</v>
      </c>
      <c r="E13">
        <f>[9]ALLFOS!D13</f>
        <v>84.456999999999994</v>
      </c>
      <c r="F13">
        <f>[9]ALLFOS!E13</f>
        <v>87.203999999999994</v>
      </c>
      <c r="G13">
        <f>[9]ALLFOS!F13</f>
        <v>91.876999999999995</v>
      </c>
      <c r="H13">
        <f>[9]ALLFOS!G13</f>
        <v>97.847999999999999</v>
      </c>
      <c r="I13">
        <f>[9]ALLFOS!H13</f>
        <v>106.21299999999999</v>
      </c>
      <c r="J13">
        <f>[9]ALLFOS!I13</f>
        <v>114.967</v>
      </c>
      <c r="K13">
        <f>[9]ALLFOS!J13</f>
        <v>121.59</v>
      </c>
      <c r="L13">
        <f>[9]ALLFOS!K13</f>
        <v>120.123</v>
      </c>
      <c r="M13">
        <f>[9]ALLFOS!L13</f>
        <v>126.639</v>
      </c>
      <c r="N13">
        <f>[9]ALLFOS!M13</f>
        <v>131.41200000000001</v>
      </c>
      <c r="O13">
        <f>[9]ALLFOS!N13</f>
        <v>135.952</v>
      </c>
      <c r="P13">
        <f>[9]ALLFOS!O13</f>
        <v>138.83000000000001</v>
      </c>
      <c r="Q13">
        <f>[9]ALLFOS!P13</f>
        <v>145.71700000000001</v>
      </c>
      <c r="R13">
        <f>[9]ALLFOS!Q13</f>
        <v>155.13300000000001</v>
      </c>
      <c r="S13">
        <f>[9]ALLFOS!R13</f>
        <v>142.922</v>
      </c>
      <c r="T13">
        <f>[9]ALLFOS!S13</f>
        <v>117.669</v>
      </c>
      <c r="U13">
        <f>[9]ALLFOS!T13</f>
        <v>118.839</v>
      </c>
      <c r="V13">
        <f>[9]ALLFOS!U13</f>
        <v>119.595</v>
      </c>
      <c r="W13">
        <f>[9]ALLFOS!V13</f>
        <v>127.16500000000001</v>
      </c>
      <c r="X13">
        <f>[9]ALLFOS!W13</f>
        <v>127.313</v>
      </c>
      <c r="Y13">
        <f>[9]ALLFOS!X13</f>
        <v>108.6</v>
      </c>
      <c r="Z13">
        <f>[9]ALLFOS!Y13</f>
        <v>96.463999999999999</v>
      </c>
      <c r="AA13">
        <f>[9]ALLFOS!Z13</f>
        <v>83.456000000000003</v>
      </c>
      <c r="AB13">
        <f>[9]ALLFOS!AA13</f>
        <v>90.558000000000007</v>
      </c>
      <c r="AC13">
        <f>[9]ALLFOS!AB13</f>
        <v>82.628</v>
      </c>
      <c r="AD13">
        <f>[9]ALLFOS!AC13</f>
        <v>85.91</v>
      </c>
    </row>
    <row r="14" spans="2:30" x14ac:dyDescent="0.2">
      <c r="B14" s="108" t="s">
        <v>378</v>
      </c>
      <c r="C14">
        <f>[9]ALLFOS!B14</f>
        <v>79.652000000000001</v>
      </c>
      <c r="D14">
        <f>[9]ALLFOS!C14</f>
        <v>85.908000000000001</v>
      </c>
      <c r="E14">
        <f>[9]ALLFOS!D14</f>
        <v>85.16</v>
      </c>
      <c r="F14">
        <f>[9]ALLFOS!E14</f>
        <v>82.954999999999998</v>
      </c>
      <c r="G14">
        <f>[9]ALLFOS!F14</f>
        <v>80.287999999999997</v>
      </c>
      <c r="H14">
        <f>[9]ALLFOS!G14</f>
        <v>81.013999999999996</v>
      </c>
      <c r="I14">
        <f>[9]ALLFOS!H14</f>
        <v>91.245000000000005</v>
      </c>
      <c r="J14">
        <f>[9]ALLFOS!I14</f>
        <v>103.22799999999999</v>
      </c>
      <c r="K14">
        <f>[9]ALLFOS!J14</f>
        <v>115.15300000000001</v>
      </c>
      <c r="L14">
        <f>[9]ALLFOS!K14</f>
        <v>117.154</v>
      </c>
      <c r="M14">
        <f>[9]ALLFOS!L14</f>
        <v>111.848</v>
      </c>
      <c r="N14">
        <f>[9]ALLFOS!M14</f>
        <v>110.461</v>
      </c>
      <c r="O14">
        <f>[9]ALLFOS!N14</f>
        <v>111.354</v>
      </c>
      <c r="P14">
        <f>[9]ALLFOS!O14</f>
        <v>110.047</v>
      </c>
      <c r="Q14">
        <f>[9]ALLFOS!P14</f>
        <v>116.25</v>
      </c>
      <c r="R14">
        <f>[9]ALLFOS!Q14</f>
        <v>122.468</v>
      </c>
      <c r="S14">
        <f>[9]ALLFOS!R14</f>
        <v>132.81399999999999</v>
      </c>
      <c r="T14">
        <f>[9]ALLFOS!S14</f>
        <v>133.697</v>
      </c>
      <c r="U14">
        <f>[9]ALLFOS!T14</f>
        <v>143.12200000000001</v>
      </c>
      <c r="V14">
        <f>[9]ALLFOS!U14</f>
        <v>157.32900000000001</v>
      </c>
      <c r="W14">
        <f>[9]ALLFOS!V14</f>
        <v>159.34899999999999</v>
      </c>
      <c r="X14">
        <f>[9]ALLFOS!W14</f>
        <v>178.60499999999999</v>
      </c>
      <c r="Y14">
        <f>[9]ALLFOS!X14</f>
        <v>178.22</v>
      </c>
      <c r="Z14">
        <f>[9]ALLFOS!Y14</f>
        <v>167.49799999999999</v>
      </c>
      <c r="AA14">
        <f>[9]ALLFOS!Z14</f>
        <v>131.285</v>
      </c>
      <c r="AB14">
        <f>[9]ALLFOS!AA14</f>
        <v>141.27099999999999</v>
      </c>
      <c r="AC14">
        <f>[9]ALLFOS!AB14</f>
        <v>145.61799999999999</v>
      </c>
      <c r="AD14">
        <f>[9]ALLFOS!AC14</f>
        <v>131.37700000000001</v>
      </c>
    </row>
    <row r="15" spans="2:30" x14ac:dyDescent="0.2">
      <c r="B15" s="108" t="s">
        <v>379</v>
      </c>
      <c r="C15">
        <f>[9]ALLFOS!B15</f>
        <v>117.773</v>
      </c>
      <c r="D15">
        <f>[9]ALLFOS!C15</f>
        <v>119.101</v>
      </c>
      <c r="E15">
        <f>[9]ALLFOS!D15</f>
        <v>109.735</v>
      </c>
      <c r="F15">
        <f>[9]ALLFOS!E15</f>
        <v>109.319</v>
      </c>
      <c r="G15">
        <f>[9]ALLFOS!F15</f>
        <v>112.58799999999999</v>
      </c>
      <c r="H15">
        <f>[9]ALLFOS!G15</f>
        <v>104.273</v>
      </c>
      <c r="I15">
        <f>[9]ALLFOS!H15</f>
        <v>106.011</v>
      </c>
      <c r="J15">
        <f>[9]ALLFOS!I15</f>
        <v>98.986999999999995</v>
      </c>
      <c r="K15">
        <f>[9]ALLFOS!J15</f>
        <v>88.599000000000004</v>
      </c>
      <c r="L15">
        <f>[9]ALLFOS!K15</f>
        <v>79.349000000000004</v>
      </c>
      <c r="M15">
        <f>[9]ALLFOS!L15</f>
        <v>80.274000000000001</v>
      </c>
      <c r="N15">
        <f>[9]ALLFOS!M15</f>
        <v>84.72</v>
      </c>
      <c r="O15">
        <f>[9]ALLFOS!N15</f>
        <v>79.72</v>
      </c>
      <c r="P15">
        <f>[9]ALLFOS!O15</f>
        <v>74.004000000000005</v>
      </c>
      <c r="Q15">
        <f>[9]ALLFOS!P15</f>
        <v>80.938000000000002</v>
      </c>
      <c r="R15">
        <f>[9]ALLFOS!Q15</f>
        <v>79.108000000000004</v>
      </c>
      <c r="S15">
        <f>[9]ALLFOS!R15</f>
        <v>85.676000000000002</v>
      </c>
      <c r="T15">
        <f>[9]ALLFOS!S15</f>
        <v>91.721999999999994</v>
      </c>
      <c r="U15">
        <f>[9]ALLFOS!T15</f>
        <v>88.751999999999995</v>
      </c>
      <c r="V15">
        <f>[9]ALLFOS!U15</f>
        <v>91.686000000000007</v>
      </c>
      <c r="W15">
        <f>[9]ALLFOS!V15</f>
        <v>100.07299999999999</v>
      </c>
      <c r="X15">
        <f>[9]ALLFOS!W15</f>
        <v>103.596</v>
      </c>
      <c r="Y15">
        <f>[9]ALLFOS!X15</f>
        <v>130.08000000000001</v>
      </c>
      <c r="Z15">
        <f>[9]ALLFOS!Y15</f>
        <v>169.196</v>
      </c>
      <c r="AA15">
        <f>[9]ALLFOS!Z15</f>
        <v>154.94300000000001</v>
      </c>
      <c r="AB15">
        <f>[9]ALLFOS!AA15</f>
        <v>137.453</v>
      </c>
      <c r="AC15">
        <f>[9]ALLFOS!AB15</f>
        <v>162.92400000000001</v>
      </c>
      <c r="AD15">
        <f>[9]ALLFOS!AC15</f>
        <v>145.072</v>
      </c>
    </row>
    <row r="17" spans="2:30" x14ac:dyDescent="0.2">
      <c r="B17" s="108" t="s">
        <v>380</v>
      </c>
      <c r="C17">
        <f>C10+C11+C12</f>
        <v>154.77800000000002</v>
      </c>
      <c r="D17">
        <f t="shared" ref="D17:AD17" si="1">D10+D11+D12</f>
        <v>159.40800000000002</v>
      </c>
      <c r="E17">
        <f t="shared" si="1"/>
        <v>157.66500000000002</v>
      </c>
      <c r="F17">
        <f t="shared" si="1"/>
        <v>156.51600000000002</v>
      </c>
      <c r="G17">
        <f t="shared" si="1"/>
        <v>156.06200000000001</v>
      </c>
      <c r="H17">
        <f t="shared" si="1"/>
        <v>155.98500000000001</v>
      </c>
      <c r="I17">
        <f t="shared" si="1"/>
        <v>153.66900000000001</v>
      </c>
      <c r="J17">
        <f t="shared" si="1"/>
        <v>151.607</v>
      </c>
      <c r="K17">
        <f t="shared" si="1"/>
        <v>153.399</v>
      </c>
      <c r="L17">
        <f t="shared" si="1"/>
        <v>157.006</v>
      </c>
      <c r="M17">
        <f t="shared" si="1"/>
        <v>169.15699999999998</v>
      </c>
      <c r="N17">
        <f t="shared" si="1"/>
        <v>180.928</v>
      </c>
      <c r="O17">
        <f t="shared" si="1"/>
        <v>193.65699999999998</v>
      </c>
      <c r="P17">
        <f t="shared" si="1"/>
        <v>198.55599999999998</v>
      </c>
      <c r="Q17">
        <f t="shared" si="1"/>
        <v>204.72399999999999</v>
      </c>
      <c r="R17">
        <f t="shared" si="1"/>
        <v>228.81299999999999</v>
      </c>
      <c r="S17">
        <f t="shared" si="1"/>
        <v>247.06899999999996</v>
      </c>
      <c r="T17">
        <f t="shared" si="1"/>
        <v>259.13099999999997</v>
      </c>
      <c r="U17">
        <f t="shared" si="1"/>
        <v>280.56900000000002</v>
      </c>
      <c r="V17">
        <f t="shared" si="1"/>
        <v>307.55500000000001</v>
      </c>
      <c r="W17">
        <f t="shared" si="1"/>
        <v>317.91499999999996</v>
      </c>
      <c r="X17">
        <f t="shared" si="1"/>
        <v>321.577</v>
      </c>
      <c r="Y17">
        <f t="shared" si="1"/>
        <v>324.65199999999999</v>
      </c>
      <c r="Z17">
        <f t="shared" si="1"/>
        <v>325.22500000000002</v>
      </c>
      <c r="AA17">
        <f t="shared" si="1"/>
        <v>316.88599999999997</v>
      </c>
      <c r="AB17">
        <f t="shared" si="1"/>
        <v>311.12</v>
      </c>
      <c r="AC17">
        <f t="shared" si="1"/>
        <v>310.05600000000004</v>
      </c>
      <c r="AD17">
        <f t="shared" si="1"/>
        <v>303.07799999999997</v>
      </c>
    </row>
    <row r="18" spans="2:30" x14ac:dyDescent="0.2">
      <c r="B18" s="108" t="s">
        <v>381</v>
      </c>
      <c r="C18">
        <f>C8+C9</f>
        <v>29.626999999999999</v>
      </c>
      <c r="D18">
        <f t="shared" ref="D18:AD18" si="2">D8+D9</f>
        <v>28.373999999999999</v>
      </c>
      <c r="E18">
        <f t="shared" si="2"/>
        <v>27.469000000000001</v>
      </c>
      <c r="F18">
        <f t="shared" si="2"/>
        <v>25.357999999999997</v>
      </c>
      <c r="G18">
        <f t="shared" si="2"/>
        <v>25.326000000000001</v>
      </c>
      <c r="H18">
        <f t="shared" si="2"/>
        <v>26.010999999999999</v>
      </c>
      <c r="I18">
        <f t="shared" si="2"/>
        <v>24.132000000000001</v>
      </c>
      <c r="J18">
        <f t="shared" si="2"/>
        <v>28.751999999999999</v>
      </c>
      <c r="K18">
        <f t="shared" si="2"/>
        <v>29.827000000000002</v>
      </c>
      <c r="L18">
        <f t="shared" si="2"/>
        <v>30.721</v>
      </c>
      <c r="M18">
        <f t="shared" si="2"/>
        <v>32.304000000000002</v>
      </c>
      <c r="N18">
        <f t="shared" si="2"/>
        <v>35.308</v>
      </c>
      <c r="O18">
        <f t="shared" si="2"/>
        <v>40.186</v>
      </c>
      <c r="P18">
        <f t="shared" si="2"/>
        <v>38.961999999999996</v>
      </c>
      <c r="Q18">
        <f t="shared" si="2"/>
        <v>44.265999999999998</v>
      </c>
      <c r="R18">
        <f t="shared" si="2"/>
        <v>48.984999999999999</v>
      </c>
      <c r="S18">
        <f t="shared" si="2"/>
        <v>55.160000000000004</v>
      </c>
      <c r="T18">
        <f t="shared" si="2"/>
        <v>64.762999999999991</v>
      </c>
      <c r="U18">
        <f t="shared" si="2"/>
        <v>73.566999999999993</v>
      </c>
      <c r="V18">
        <f t="shared" si="2"/>
        <v>80.894999999999996</v>
      </c>
      <c r="W18">
        <f t="shared" si="2"/>
        <v>76.929000000000002</v>
      </c>
      <c r="X18">
        <f t="shared" si="2"/>
        <v>89.113</v>
      </c>
      <c r="Y18">
        <f t="shared" si="2"/>
        <v>93.939000000000007</v>
      </c>
      <c r="Z18">
        <f t="shared" si="2"/>
        <v>91.945999999999998</v>
      </c>
      <c r="AA18">
        <f t="shared" si="2"/>
        <v>93.802999999999997</v>
      </c>
      <c r="AB18">
        <f t="shared" si="2"/>
        <v>86.841000000000008</v>
      </c>
      <c r="AC18">
        <f t="shared" si="2"/>
        <v>96.915999999999997</v>
      </c>
      <c r="AD18">
        <f t="shared" si="2"/>
        <v>95.111000000000004</v>
      </c>
    </row>
    <row r="19" spans="2:30" x14ac:dyDescent="0.2">
      <c r="B19" s="108" t="s">
        <v>367</v>
      </c>
      <c r="C19">
        <f>C5+C6+C7</f>
        <v>80.652000000000001</v>
      </c>
      <c r="D19">
        <f t="shared" ref="D19:AD19" si="3">D5+D6+D7</f>
        <v>75.967000000000013</v>
      </c>
      <c r="E19">
        <f t="shared" si="3"/>
        <v>96.471000000000004</v>
      </c>
      <c r="F19">
        <f t="shared" si="3"/>
        <v>90.981999999999999</v>
      </c>
      <c r="G19">
        <f t="shared" si="3"/>
        <v>87.572000000000003</v>
      </c>
      <c r="H19">
        <f t="shared" si="3"/>
        <v>89.016999999999996</v>
      </c>
      <c r="I19">
        <f t="shared" si="3"/>
        <v>100.52399999999999</v>
      </c>
      <c r="J19">
        <f t="shared" si="3"/>
        <v>106.60999999999999</v>
      </c>
      <c r="K19">
        <f t="shared" si="3"/>
        <v>116.654</v>
      </c>
      <c r="L19">
        <f t="shared" si="3"/>
        <v>105.413</v>
      </c>
      <c r="M19">
        <f t="shared" si="3"/>
        <v>114.85699999999999</v>
      </c>
      <c r="N19">
        <f t="shared" si="3"/>
        <v>131.56299999999999</v>
      </c>
      <c r="O19">
        <f t="shared" si="3"/>
        <v>137.791</v>
      </c>
      <c r="P19">
        <f t="shared" si="3"/>
        <v>127.316</v>
      </c>
      <c r="Q19">
        <f t="shared" si="3"/>
        <v>134.101</v>
      </c>
      <c r="R19">
        <f t="shared" si="3"/>
        <v>150.74799999999999</v>
      </c>
      <c r="S19">
        <f t="shared" si="3"/>
        <v>143.398</v>
      </c>
      <c r="T19">
        <f t="shared" si="3"/>
        <v>130.89500000000001</v>
      </c>
      <c r="U19">
        <f t="shared" si="3"/>
        <v>139.40700000000001</v>
      </c>
      <c r="V19">
        <f t="shared" si="3"/>
        <v>122.12199999999999</v>
      </c>
      <c r="W19">
        <f t="shared" si="3"/>
        <v>139.41200000000001</v>
      </c>
      <c r="X19">
        <f t="shared" si="3"/>
        <v>137.27600000000001</v>
      </c>
      <c r="Y19">
        <f t="shared" si="3"/>
        <v>114.69799999999999</v>
      </c>
      <c r="Z19">
        <f t="shared" si="3"/>
        <v>111.285</v>
      </c>
      <c r="AA19">
        <f t="shared" si="3"/>
        <v>64.48</v>
      </c>
      <c r="AB19">
        <f t="shared" si="3"/>
        <v>62.679000000000002</v>
      </c>
      <c r="AC19">
        <f t="shared" si="3"/>
        <v>74.292000000000002</v>
      </c>
      <c r="AD19">
        <f t="shared" si="3"/>
        <v>67.525999999999996</v>
      </c>
    </row>
    <row r="20" spans="2:30" x14ac:dyDescent="0.2">
      <c r="B20" s="108" t="s">
        <v>382</v>
      </c>
      <c r="C20">
        <f>C13+C14</f>
        <v>153.851</v>
      </c>
      <c r="D20">
        <f t="shared" ref="D20:AD20" si="4">D13+D14</f>
        <v>167.74</v>
      </c>
      <c r="E20">
        <f t="shared" si="4"/>
        <v>169.61699999999999</v>
      </c>
      <c r="F20">
        <f t="shared" si="4"/>
        <v>170.15899999999999</v>
      </c>
      <c r="G20">
        <f t="shared" si="4"/>
        <v>172.16499999999999</v>
      </c>
      <c r="H20">
        <f t="shared" si="4"/>
        <v>178.86199999999999</v>
      </c>
      <c r="I20">
        <f t="shared" si="4"/>
        <v>197.458</v>
      </c>
      <c r="J20">
        <f t="shared" si="4"/>
        <v>218.19499999999999</v>
      </c>
      <c r="K20">
        <f t="shared" si="4"/>
        <v>236.74299999999999</v>
      </c>
      <c r="L20">
        <f t="shared" si="4"/>
        <v>237.27699999999999</v>
      </c>
      <c r="M20">
        <f t="shared" si="4"/>
        <v>238.48699999999999</v>
      </c>
      <c r="N20">
        <f t="shared" si="4"/>
        <v>241.87299999999999</v>
      </c>
      <c r="O20">
        <f t="shared" si="4"/>
        <v>247.30599999999998</v>
      </c>
      <c r="P20">
        <f t="shared" si="4"/>
        <v>248.87700000000001</v>
      </c>
      <c r="Q20">
        <f t="shared" si="4"/>
        <v>261.96699999999998</v>
      </c>
      <c r="R20">
        <f t="shared" si="4"/>
        <v>277.601</v>
      </c>
      <c r="S20">
        <f t="shared" si="4"/>
        <v>275.73599999999999</v>
      </c>
      <c r="T20">
        <f t="shared" si="4"/>
        <v>251.36599999999999</v>
      </c>
      <c r="U20">
        <f t="shared" si="4"/>
        <v>261.96100000000001</v>
      </c>
      <c r="V20">
        <f t="shared" si="4"/>
        <v>276.92399999999998</v>
      </c>
      <c r="W20">
        <f t="shared" si="4"/>
        <v>286.51400000000001</v>
      </c>
      <c r="X20">
        <f t="shared" si="4"/>
        <v>305.91800000000001</v>
      </c>
      <c r="Y20">
        <f t="shared" si="4"/>
        <v>286.82</v>
      </c>
      <c r="Z20">
        <f t="shared" si="4"/>
        <v>263.96199999999999</v>
      </c>
      <c r="AA20">
        <f t="shared" si="4"/>
        <v>214.74099999999999</v>
      </c>
      <c r="AB20">
        <f t="shared" si="4"/>
        <v>231.82900000000001</v>
      </c>
      <c r="AC20">
        <f t="shared" si="4"/>
        <v>228.24599999999998</v>
      </c>
      <c r="AD20">
        <f t="shared" si="4"/>
        <v>217.28700000000001</v>
      </c>
    </row>
    <row r="21" spans="2:30" x14ac:dyDescent="0.2">
      <c r="B21" s="108" t="s">
        <v>379</v>
      </c>
      <c r="C21">
        <f>C15</f>
        <v>117.773</v>
      </c>
      <c r="D21">
        <f t="shared" ref="D21:AD21" si="5">D15</f>
        <v>119.101</v>
      </c>
      <c r="E21">
        <f t="shared" si="5"/>
        <v>109.735</v>
      </c>
      <c r="F21">
        <f t="shared" si="5"/>
        <v>109.319</v>
      </c>
      <c r="G21">
        <f t="shared" si="5"/>
        <v>112.58799999999999</v>
      </c>
      <c r="H21">
        <f t="shared" si="5"/>
        <v>104.273</v>
      </c>
      <c r="I21">
        <f t="shared" si="5"/>
        <v>106.011</v>
      </c>
      <c r="J21">
        <f t="shared" si="5"/>
        <v>98.986999999999995</v>
      </c>
      <c r="K21">
        <f t="shared" si="5"/>
        <v>88.599000000000004</v>
      </c>
      <c r="L21">
        <f t="shared" si="5"/>
        <v>79.349000000000004</v>
      </c>
      <c r="M21">
        <f t="shared" si="5"/>
        <v>80.274000000000001</v>
      </c>
      <c r="N21">
        <f t="shared" si="5"/>
        <v>84.72</v>
      </c>
      <c r="O21">
        <f t="shared" si="5"/>
        <v>79.72</v>
      </c>
      <c r="P21">
        <f t="shared" si="5"/>
        <v>74.004000000000005</v>
      </c>
      <c r="Q21">
        <f t="shared" si="5"/>
        <v>80.938000000000002</v>
      </c>
      <c r="R21">
        <f t="shared" si="5"/>
        <v>79.108000000000004</v>
      </c>
      <c r="S21">
        <f t="shared" si="5"/>
        <v>85.676000000000002</v>
      </c>
      <c r="T21">
        <f t="shared" si="5"/>
        <v>91.721999999999994</v>
      </c>
      <c r="U21">
        <f t="shared" si="5"/>
        <v>88.751999999999995</v>
      </c>
      <c r="V21">
        <f t="shared" si="5"/>
        <v>91.686000000000007</v>
      </c>
      <c r="W21">
        <f t="shared" si="5"/>
        <v>100.07299999999999</v>
      </c>
      <c r="X21">
        <f t="shared" si="5"/>
        <v>103.596</v>
      </c>
      <c r="Y21">
        <f t="shared" si="5"/>
        <v>130.08000000000001</v>
      </c>
      <c r="Z21">
        <f t="shared" si="5"/>
        <v>169.196</v>
      </c>
      <c r="AA21">
        <f t="shared" si="5"/>
        <v>154.94300000000001</v>
      </c>
      <c r="AB21">
        <f t="shared" si="5"/>
        <v>137.453</v>
      </c>
      <c r="AC21">
        <f t="shared" si="5"/>
        <v>162.92400000000001</v>
      </c>
      <c r="AD21">
        <f t="shared" si="5"/>
        <v>145.072</v>
      </c>
    </row>
    <row r="23" spans="2:30" x14ac:dyDescent="0.2">
      <c r="AD23">
        <f>SUM(AD17:AD22)</f>
        <v>828.07399999999996</v>
      </c>
    </row>
    <row r="26" spans="2:30" x14ac:dyDescent="0.2">
      <c r="B26" s="108" t="s">
        <v>58</v>
      </c>
    </row>
    <row r="28" spans="2:30" x14ac:dyDescent="0.2">
      <c r="B28" s="108" t="s">
        <v>370</v>
      </c>
      <c r="C28">
        <f>[10]ELECNEA!C6</f>
        <v>4.2240000000000002</v>
      </c>
      <c r="D28">
        <f>[10]ELECNEA!D6</f>
        <v>4.1139999999999999</v>
      </c>
      <c r="E28">
        <f>[10]ELECNEA!E6</f>
        <v>6.0439999999999996</v>
      </c>
      <c r="F28">
        <f>[10]ELECNEA!F6</f>
        <v>5.5780000000000003</v>
      </c>
      <c r="G28">
        <f>[10]ELECNEA!G6</f>
        <v>5.4889999999999999</v>
      </c>
      <c r="H28">
        <f>[10]ELECNEA!H6</f>
        <v>6.1689999999999996</v>
      </c>
      <c r="I28">
        <f>[10]ELECNEA!I6</f>
        <v>7.867</v>
      </c>
      <c r="J28">
        <f>[10]ELECNEA!J6</f>
        <v>8.93</v>
      </c>
      <c r="K28">
        <f>[10]ELECNEA!K6</f>
        <v>10.701000000000001</v>
      </c>
      <c r="L28">
        <f>[10]ELECNEA!L6</f>
        <v>10.694000000000001</v>
      </c>
      <c r="M28">
        <f>[10]ELECNEA!M6</f>
        <v>11.835000000000001</v>
      </c>
      <c r="N28">
        <f>[10]ELECNEA!N6</f>
        <v>14.067</v>
      </c>
      <c r="O28">
        <f>[10]ELECNEA!O6</f>
        <v>14.896000000000001</v>
      </c>
      <c r="P28">
        <f>[10]ELECNEA!P6</f>
        <v>14.148999999999999</v>
      </c>
      <c r="Q28">
        <f>[10]ELECNEA!Q6</f>
        <v>15.317</v>
      </c>
      <c r="R28">
        <f>[10]ELECNEA!R6</f>
        <v>20.552</v>
      </c>
      <c r="S28">
        <f>[10]ELECNEA!S6</f>
        <v>21.207999999999998</v>
      </c>
      <c r="T28">
        <f>[10]ELECNEA!T6</f>
        <v>20.768000000000001</v>
      </c>
      <c r="U28">
        <f>[10]ELECNEA!U6</f>
        <v>23.449000000000002</v>
      </c>
      <c r="V28">
        <f>[10]ELECNEA!V6</f>
        <v>19.725999999999999</v>
      </c>
      <c r="W28">
        <f>[10]ELECNEA!W6</f>
        <v>29.065000000000001</v>
      </c>
      <c r="X28">
        <f>[10]ELECNEA!X6</f>
        <v>31.96</v>
      </c>
      <c r="Y28">
        <f>[10]ELECNEA!Y6</f>
        <v>28.582999999999998</v>
      </c>
      <c r="Z28">
        <f>[10]ELECNEA!Z6</f>
        <v>29.181999999999999</v>
      </c>
      <c r="AA28">
        <f>[10]ELECNEA!AA6</f>
        <v>15.781000000000001</v>
      </c>
      <c r="AB28">
        <f>[10]ELECNEA!AB6</f>
        <v>18.039000000000001</v>
      </c>
      <c r="AC28">
        <f>[10]ELECNEA!AC6</f>
        <v>26.466999999999999</v>
      </c>
      <c r="AD28">
        <f>[10]ELECNEA!AD6</f>
        <v>26.812999999999999</v>
      </c>
    </row>
    <row r="29" spans="2:30" x14ac:dyDescent="0.2">
      <c r="B29" s="108" t="s">
        <v>371</v>
      </c>
      <c r="C29">
        <f>[10]ELECNEA!C7</f>
        <v>0.72299999999999998</v>
      </c>
      <c r="D29">
        <f>[10]ELECNEA!D7</f>
        <v>1.016</v>
      </c>
      <c r="E29">
        <f>[10]ELECNEA!E7</f>
        <v>1.1759999999999999</v>
      </c>
      <c r="F29">
        <f>[10]ELECNEA!F7</f>
        <v>1.242</v>
      </c>
      <c r="G29">
        <f>[10]ELECNEA!G7</f>
        <v>1.1990000000000001</v>
      </c>
      <c r="H29">
        <f>[10]ELECNEA!H7</f>
        <v>1.099</v>
      </c>
      <c r="I29">
        <f>[10]ELECNEA!I7</f>
        <v>1.0820000000000001</v>
      </c>
      <c r="J29">
        <f>[10]ELECNEA!J7</f>
        <v>0.83899999999999997</v>
      </c>
      <c r="K29">
        <f>[10]ELECNEA!K7</f>
        <v>0.84199999999999997</v>
      </c>
      <c r="L29">
        <f>[10]ELECNEA!L7</f>
        <v>0.95299999999999996</v>
      </c>
      <c r="M29">
        <f>[10]ELECNEA!M7</f>
        <v>1.135</v>
      </c>
      <c r="N29">
        <f>[10]ELECNEA!N7</f>
        <v>1.1359999999999999</v>
      </c>
      <c r="O29">
        <f>[10]ELECNEA!O7</f>
        <v>1.2090000000000001</v>
      </c>
      <c r="P29">
        <f>[10]ELECNEA!P7</f>
        <v>1.228</v>
      </c>
      <c r="Q29">
        <f>[10]ELECNEA!Q7</f>
        <v>1.3129999999999999</v>
      </c>
      <c r="R29">
        <f>[10]ELECNEA!R7</f>
        <v>1.474</v>
      </c>
      <c r="S29">
        <f>[10]ELECNEA!S7</f>
        <v>1.474</v>
      </c>
      <c r="T29">
        <f>[10]ELECNEA!T7</f>
        <v>1.62</v>
      </c>
      <c r="U29">
        <f>[10]ELECNEA!U7</f>
        <v>1.944</v>
      </c>
      <c r="V29">
        <f>[10]ELECNEA!V7</f>
        <v>2.468</v>
      </c>
      <c r="W29">
        <f>[10]ELECNEA!W7</f>
        <v>3.4060000000000001</v>
      </c>
      <c r="X29">
        <f>[10]ELECNEA!X7</f>
        <v>3.8140000000000001</v>
      </c>
      <c r="Y29">
        <f>[10]ELECNEA!Y7</f>
        <v>4.8620000000000001</v>
      </c>
      <c r="Z29">
        <f>[10]ELECNEA!Z7</f>
        <v>4.6589999999999998</v>
      </c>
      <c r="AA29">
        <f>[10]ELECNEA!AA7</f>
        <v>3.4670000000000001</v>
      </c>
      <c r="AB29">
        <f>[10]ELECNEA!AB7</f>
        <v>2.944</v>
      </c>
      <c r="AC29">
        <f>[10]ELECNEA!AC7</f>
        <v>2.4350000000000001</v>
      </c>
      <c r="AD29">
        <f>[10]ELECNEA!AD7</f>
        <v>1.913</v>
      </c>
    </row>
    <row r="30" spans="2:30" x14ac:dyDescent="0.2">
      <c r="B30" s="108" t="s">
        <v>372</v>
      </c>
      <c r="C30">
        <f>[10]ELECNEA!C8</f>
        <v>8.2780000000000005</v>
      </c>
      <c r="D30">
        <f>[10]ELECNEA!D8</f>
        <v>7.8739999999999997</v>
      </c>
      <c r="E30">
        <f>[10]ELECNEA!E8</f>
        <v>9.6630000000000003</v>
      </c>
      <c r="F30">
        <f>[10]ELECNEA!F8</f>
        <v>10.669</v>
      </c>
      <c r="G30">
        <f>[10]ELECNEA!G8</f>
        <v>11.69</v>
      </c>
      <c r="H30">
        <f>[10]ELECNEA!H8</f>
        <v>12.106</v>
      </c>
      <c r="I30">
        <f>[10]ELECNEA!I8</f>
        <v>12.888</v>
      </c>
      <c r="J30">
        <f>[10]ELECNEA!J8</f>
        <v>14.464</v>
      </c>
      <c r="K30">
        <f>[10]ELECNEA!K8</f>
        <v>15.503</v>
      </c>
      <c r="L30">
        <f>[10]ELECNEA!L8</f>
        <v>12.092000000000001</v>
      </c>
      <c r="M30">
        <f>[10]ELECNEA!M8</f>
        <v>14.707000000000001</v>
      </c>
      <c r="N30">
        <f>[10]ELECNEA!N8</f>
        <v>18.113</v>
      </c>
      <c r="O30">
        <f>[10]ELECNEA!O8</f>
        <v>20.933</v>
      </c>
      <c r="P30">
        <f>[10]ELECNEA!P8</f>
        <v>19.637</v>
      </c>
      <c r="Q30">
        <f>[10]ELECNEA!Q8</f>
        <v>21.419</v>
      </c>
      <c r="R30">
        <f>[10]ELECNEA!R8</f>
        <v>21.471</v>
      </c>
      <c r="S30">
        <f>[10]ELECNEA!S8</f>
        <v>20.765999999999998</v>
      </c>
      <c r="T30">
        <f>[10]ELECNEA!T8</f>
        <v>19.122</v>
      </c>
      <c r="U30">
        <f>[10]ELECNEA!U8</f>
        <v>20.960999999999999</v>
      </c>
      <c r="V30">
        <f>[10]ELECNEA!V8</f>
        <v>20.417000000000002</v>
      </c>
      <c r="W30">
        <f>[10]ELECNEA!W8</f>
        <v>20.190999999999999</v>
      </c>
      <c r="X30">
        <f>[10]ELECNEA!X8</f>
        <v>21.251999999999999</v>
      </c>
      <c r="Y30">
        <f>[10]ELECNEA!Y8</f>
        <v>19.306000000000001</v>
      </c>
      <c r="Z30">
        <f>[10]ELECNEA!Z8</f>
        <v>24.542000000000002</v>
      </c>
      <c r="AA30">
        <f>[10]ELECNEA!AA8</f>
        <v>21.181000000000001</v>
      </c>
      <c r="AB30">
        <f>[10]ELECNEA!AB8</f>
        <v>21.651</v>
      </c>
      <c r="AC30">
        <f>[10]ELECNEA!AC8</f>
        <v>25.047999999999998</v>
      </c>
      <c r="AD30">
        <f>[10]ELECNEA!AD8</f>
        <v>26.097000000000001</v>
      </c>
    </row>
    <row r="31" spans="2:30" x14ac:dyDescent="0.2">
      <c r="B31" s="108" t="s">
        <v>373</v>
      </c>
      <c r="C31">
        <f>[10]ELECNEA!C9</f>
        <v>1.9239999999999999</v>
      </c>
      <c r="D31">
        <f>[10]ELECNEA!D9</f>
        <v>1.7729999999999999</v>
      </c>
      <c r="E31">
        <f>[10]ELECNEA!E9</f>
        <v>1.633</v>
      </c>
      <c r="F31">
        <f>[10]ELECNEA!F9</f>
        <v>1.43</v>
      </c>
      <c r="G31">
        <f>[10]ELECNEA!G9</f>
        <v>1.343</v>
      </c>
      <c r="H31">
        <f>[10]ELECNEA!H9</f>
        <v>1.2829999999999999</v>
      </c>
      <c r="I31">
        <f>[10]ELECNEA!I9</f>
        <v>1.0629999999999999</v>
      </c>
      <c r="J31">
        <f>[10]ELECNEA!J9</f>
        <v>1.113</v>
      </c>
      <c r="K31">
        <f>[10]ELECNEA!K9</f>
        <v>0.999</v>
      </c>
      <c r="L31">
        <f>[10]ELECNEA!L9</f>
        <v>0.86399999999999999</v>
      </c>
      <c r="M31">
        <f>[10]ELECNEA!M9</f>
        <v>0.84499999999999997</v>
      </c>
      <c r="N31">
        <f>[10]ELECNEA!N9</f>
        <v>0.86199999999999999</v>
      </c>
      <c r="O31">
        <f>[10]ELECNEA!O9</f>
        <v>0.92</v>
      </c>
      <c r="P31">
        <f>[10]ELECNEA!P9</f>
        <v>0.83599999999999997</v>
      </c>
      <c r="Q31">
        <f>[10]ELECNEA!Q9</f>
        <v>0.89600000000000002</v>
      </c>
      <c r="R31">
        <f>[10]ELECNEA!R9</f>
        <v>0.82899999999999996</v>
      </c>
      <c r="S31">
        <f>[10]ELECNEA!S9</f>
        <v>0.78300000000000003</v>
      </c>
      <c r="T31">
        <f>[10]ELECNEA!T9</f>
        <v>0.77300000000000002</v>
      </c>
      <c r="U31">
        <f>[10]ELECNEA!U9</f>
        <v>0.74</v>
      </c>
      <c r="V31">
        <f>[10]ELECNEA!V9</f>
        <v>0.68100000000000005</v>
      </c>
      <c r="W31">
        <f>[10]ELECNEA!W9</f>
        <v>0.63200000000000001</v>
      </c>
      <c r="X31">
        <f>[10]ELECNEA!X9</f>
        <v>0.70699999999999996</v>
      </c>
      <c r="Y31">
        <f>[10]ELECNEA!Y9</f>
        <v>0.72</v>
      </c>
      <c r="Z31">
        <f>[10]ELECNEA!Z9</f>
        <v>0.67900000000000005</v>
      </c>
      <c r="AA31">
        <f>[10]ELECNEA!AA9</f>
        <v>0.66600000000000004</v>
      </c>
      <c r="AB31">
        <f>[10]ELECNEA!AB9</f>
        <v>0.58599999999999997</v>
      </c>
      <c r="AC31">
        <f>[10]ELECNEA!AC9</f>
        <v>0.62</v>
      </c>
      <c r="AD31">
        <f>[10]ELECNEA!AD9</f>
        <v>0.57399999999999995</v>
      </c>
    </row>
    <row r="32" spans="2:30" x14ac:dyDescent="0.2">
      <c r="B32" s="108" t="s">
        <v>374</v>
      </c>
      <c r="C32">
        <f>[10]ELECNEA!C10</f>
        <v>14.849</v>
      </c>
      <c r="D32">
        <f>[10]ELECNEA!D10</f>
        <v>14.976000000000001</v>
      </c>
      <c r="E32">
        <f>[10]ELECNEA!E10</f>
        <v>15.214</v>
      </c>
      <c r="F32">
        <f>[10]ELECNEA!F10</f>
        <v>14.833</v>
      </c>
      <c r="G32">
        <f>[10]ELECNEA!G10</f>
        <v>15.683</v>
      </c>
      <c r="H32">
        <f>[10]ELECNEA!H10</f>
        <v>17.108000000000001</v>
      </c>
      <c r="I32">
        <f>[10]ELECNEA!I10</f>
        <v>15.606</v>
      </c>
      <c r="J32">
        <f>[10]ELECNEA!J10</f>
        <v>18.251999999999999</v>
      </c>
      <c r="K32">
        <f>[10]ELECNEA!K10</f>
        <v>18.678999999999998</v>
      </c>
      <c r="L32">
        <f>[10]ELECNEA!L10</f>
        <v>18.922999999999998</v>
      </c>
      <c r="M32">
        <f>[10]ELECNEA!M10</f>
        <v>19.931000000000001</v>
      </c>
      <c r="N32">
        <f>[10]ELECNEA!N10</f>
        <v>21.789000000000001</v>
      </c>
      <c r="O32">
        <f>[10]ELECNEA!O10</f>
        <v>24.847999999999999</v>
      </c>
      <c r="P32">
        <f>[10]ELECNEA!P10</f>
        <v>24.05</v>
      </c>
      <c r="Q32">
        <f>[10]ELECNEA!Q10</f>
        <v>27.34</v>
      </c>
      <c r="R32">
        <f>[10]ELECNEA!R10</f>
        <v>27.669</v>
      </c>
      <c r="S32">
        <f>[10]ELECNEA!S10</f>
        <v>28.716000000000001</v>
      </c>
      <c r="T32">
        <f>[10]ELECNEA!T10</f>
        <v>31.367000000000001</v>
      </c>
      <c r="U32">
        <f>[10]ELECNEA!U10</f>
        <v>33.442</v>
      </c>
      <c r="V32">
        <f>[10]ELECNEA!V10</f>
        <v>34.584000000000003</v>
      </c>
      <c r="W32">
        <f>[10]ELECNEA!W10</f>
        <v>34.512</v>
      </c>
      <c r="X32">
        <f>[10]ELECNEA!X10</f>
        <v>41.639000000000003</v>
      </c>
      <c r="Y32">
        <f>[10]ELECNEA!Y10</f>
        <v>45.753999999999998</v>
      </c>
      <c r="Z32">
        <f>[10]ELECNEA!Z10</f>
        <v>46.622</v>
      </c>
      <c r="AA32">
        <f>[10]ELECNEA!AA10</f>
        <v>49.542999999999999</v>
      </c>
      <c r="AB32">
        <f>[10]ELECNEA!AB10</f>
        <v>47.357999999999997</v>
      </c>
      <c r="AC32">
        <f>[10]ELECNEA!AC10</f>
        <v>54.597999999999999</v>
      </c>
      <c r="AD32">
        <f>[10]ELECNEA!AD10</f>
        <v>55.32</v>
      </c>
    </row>
    <row r="33" spans="2:30" x14ac:dyDescent="0.2">
      <c r="B33" s="108" t="s">
        <v>375</v>
      </c>
      <c r="C33">
        <f>[10]ELECNEA!C11</f>
        <v>12.201000000000001</v>
      </c>
      <c r="D33">
        <f>[10]ELECNEA!D11</f>
        <v>13.724</v>
      </c>
      <c r="E33">
        <f>[10]ELECNEA!E11</f>
        <v>14.67</v>
      </c>
      <c r="F33">
        <f>[10]ELECNEA!F11</f>
        <v>15.901999999999999</v>
      </c>
      <c r="G33">
        <f>[10]ELECNEA!G11</f>
        <v>17.216999999999999</v>
      </c>
      <c r="H33">
        <f>[10]ELECNEA!H11</f>
        <v>18.561</v>
      </c>
      <c r="I33">
        <f>[10]ELECNEA!I11</f>
        <v>19.939</v>
      </c>
      <c r="J33">
        <f>[10]ELECNEA!J11</f>
        <v>20.542000000000002</v>
      </c>
      <c r="K33">
        <f>[10]ELECNEA!K11</f>
        <v>21.73</v>
      </c>
      <c r="L33">
        <f>[10]ELECNEA!L11</f>
        <v>27.184999999999999</v>
      </c>
      <c r="M33">
        <f>[10]ELECNEA!M11</f>
        <v>30.423999999999999</v>
      </c>
      <c r="N33">
        <f>[10]ELECNEA!N11</f>
        <v>33.26</v>
      </c>
      <c r="O33">
        <f>[10]ELECNEA!O11</f>
        <v>36.853000000000002</v>
      </c>
      <c r="P33">
        <f>[10]ELECNEA!P11</f>
        <v>38.485999999999997</v>
      </c>
      <c r="Q33">
        <f>[10]ELECNEA!Q11</f>
        <v>41.015000000000001</v>
      </c>
      <c r="R33">
        <f>[10]ELECNEA!R11</f>
        <v>44.404000000000003</v>
      </c>
      <c r="S33">
        <f>[10]ELECNEA!S11</f>
        <v>46.802</v>
      </c>
      <c r="T33">
        <f>[10]ELECNEA!T11</f>
        <v>48.825000000000003</v>
      </c>
      <c r="U33">
        <f>[10]ELECNEA!U11</f>
        <v>51.694000000000003</v>
      </c>
      <c r="V33">
        <f>[10]ELECNEA!V11</f>
        <v>56.15</v>
      </c>
      <c r="W33">
        <f>[10]ELECNEA!W11</f>
        <v>66.144000000000005</v>
      </c>
      <c r="X33">
        <f>[10]ELECNEA!X11</f>
        <v>71.668000000000006</v>
      </c>
      <c r="Y33">
        <f>[10]ELECNEA!Y11</f>
        <v>78.838999999999999</v>
      </c>
      <c r="Z33">
        <f>[10]ELECNEA!Z11</f>
        <v>85.031999999999996</v>
      </c>
      <c r="AA33">
        <f>[10]ELECNEA!AA11</f>
        <v>91.643000000000001</v>
      </c>
      <c r="AB33">
        <f>[10]ELECNEA!AB11</f>
        <v>98.902000000000001</v>
      </c>
      <c r="AC33">
        <f>[10]ELECNEA!AC11</f>
        <v>102.271</v>
      </c>
      <c r="AD33">
        <f>[10]ELECNEA!AD11</f>
        <v>106.288</v>
      </c>
    </row>
    <row r="34" spans="2:30" x14ac:dyDescent="0.2">
      <c r="B34" s="108" t="s">
        <v>273</v>
      </c>
      <c r="C34">
        <f>[10]ELECNEA!C12</f>
        <v>0.28000000000000003</v>
      </c>
      <c r="D34">
        <f>[10]ELECNEA!D12</f>
        <v>0.35099999999999998</v>
      </c>
      <c r="E34">
        <f>[10]ELECNEA!E12</f>
        <v>0.42099999999999999</v>
      </c>
      <c r="F34">
        <f>[10]ELECNEA!F12</f>
        <v>0.48799999999999999</v>
      </c>
      <c r="G34">
        <f>[10]ELECNEA!G12</f>
        <v>0.56499999999999995</v>
      </c>
      <c r="H34">
        <f>[10]ELECNEA!H12</f>
        <v>0.65200000000000002</v>
      </c>
      <c r="I34">
        <f>[10]ELECNEA!I12</f>
        <v>0.79</v>
      </c>
      <c r="J34">
        <f>[10]ELECNEA!J12</f>
        <v>0.93799999999999994</v>
      </c>
      <c r="K34">
        <f>[10]ELECNEA!K12</f>
        <v>1.1220000000000001</v>
      </c>
      <c r="L34">
        <f>[10]ELECNEA!L12</f>
        <v>1.3129999999999999</v>
      </c>
      <c r="M34">
        <f>[10]ELECNEA!M12</f>
        <v>1.389</v>
      </c>
      <c r="N34">
        <f>[10]ELECNEA!N12</f>
        <v>1.4850000000000001</v>
      </c>
      <c r="O34">
        <f>[10]ELECNEA!O12</f>
        <v>1.5509999999999999</v>
      </c>
      <c r="P34">
        <f>[10]ELECNEA!P12</f>
        <v>1.58</v>
      </c>
      <c r="Q34">
        <f>[10]ELECNEA!Q12</f>
        <v>1.579</v>
      </c>
      <c r="R34">
        <f>[10]ELECNEA!R12</f>
        <v>1.752</v>
      </c>
      <c r="S34">
        <f>[10]ELECNEA!S12</f>
        <v>1.8360000000000001</v>
      </c>
      <c r="T34">
        <f>[10]ELECNEA!T12</f>
        <v>1.859</v>
      </c>
      <c r="U34">
        <f>[10]ELECNEA!U12</f>
        <v>1.996</v>
      </c>
      <c r="V34">
        <f>[10]ELECNEA!V12</f>
        <v>2.1520000000000001</v>
      </c>
      <c r="W34">
        <f>[10]ELECNEA!W12</f>
        <v>2.4540000000000002</v>
      </c>
      <c r="X34">
        <f>[10]ELECNEA!X12</f>
        <v>2.839</v>
      </c>
      <c r="Y34">
        <f>[10]ELECNEA!Y12</f>
        <v>3.11</v>
      </c>
      <c r="Z34">
        <f>[10]ELECNEA!Z12</f>
        <v>3.3860000000000001</v>
      </c>
      <c r="AA34">
        <f>[10]ELECNEA!AA12</f>
        <v>3.399</v>
      </c>
      <c r="AB34">
        <f>[10]ELECNEA!AB12</f>
        <v>3.3519999999999999</v>
      </c>
      <c r="AC34">
        <f>[10]ELECNEA!AC12</f>
        <v>3.6429999999999998</v>
      </c>
      <c r="AD34">
        <f>[10]ELECNEA!AD12</f>
        <v>3.734</v>
      </c>
    </row>
    <row r="35" spans="2:30" x14ac:dyDescent="0.2">
      <c r="B35" s="108" t="s">
        <v>376</v>
      </c>
      <c r="C35">
        <f>[10]ELECNEA!C13</f>
        <v>1.488</v>
      </c>
      <c r="D35">
        <f>[10]ELECNEA!D13</f>
        <v>1.73</v>
      </c>
      <c r="E35">
        <f>[10]ELECNEA!E13</f>
        <v>1.9530000000000001</v>
      </c>
      <c r="F35">
        <f>[10]ELECNEA!F13</f>
        <v>2.15</v>
      </c>
      <c r="G35">
        <f>[10]ELECNEA!G13</f>
        <v>2.3809999999999998</v>
      </c>
      <c r="H35">
        <f>[10]ELECNEA!H13</f>
        <v>2.6440000000000001</v>
      </c>
      <c r="I35">
        <f>[10]ELECNEA!I13</f>
        <v>2.823</v>
      </c>
      <c r="J35">
        <f>[10]ELECNEA!J13</f>
        <v>3.008</v>
      </c>
      <c r="K35">
        <f>[10]ELECNEA!K13</f>
        <v>3.2719999999999998</v>
      </c>
      <c r="L35">
        <f>[10]ELECNEA!L13</f>
        <v>3.524</v>
      </c>
      <c r="M35">
        <f>[10]ELECNEA!M13</f>
        <v>3.7909999999999999</v>
      </c>
      <c r="N35">
        <f>[10]ELECNEA!N13</f>
        <v>4.1219999999999999</v>
      </c>
      <c r="O35">
        <f>[10]ELECNEA!O13</f>
        <v>4.3810000000000002</v>
      </c>
      <c r="P35">
        <f>[10]ELECNEA!P13</f>
        <v>4.5369999999999999</v>
      </c>
      <c r="Q35">
        <f>[10]ELECNEA!Q13</f>
        <v>4.6120000000000001</v>
      </c>
      <c r="R35">
        <f>[10]ELECNEA!R13</f>
        <v>5.3520000000000003</v>
      </c>
      <c r="S35">
        <f>[10]ELECNEA!S13</f>
        <v>5.81</v>
      </c>
      <c r="T35">
        <f>[10]ELECNEA!T13</f>
        <v>6.0519999999999996</v>
      </c>
      <c r="U35">
        <f>[10]ELECNEA!U13</f>
        <v>6.657</v>
      </c>
      <c r="V35">
        <f>[10]ELECNEA!V13</f>
        <v>7.319</v>
      </c>
      <c r="W35">
        <f>[10]ELECNEA!W13</f>
        <v>8.2959999999999994</v>
      </c>
      <c r="X35">
        <f>[10]ELECNEA!X13</f>
        <v>9.5470000000000006</v>
      </c>
      <c r="Y35">
        <f>[10]ELECNEA!Y13</f>
        <v>10.417</v>
      </c>
      <c r="Z35">
        <f>[10]ELECNEA!Z13</f>
        <v>11.305999999999999</v>
      </c>
      <c r="AA35">
        <f>[10]ELECNEA!AA13</f>
        <v>11.317</v>
      </c>
      <c r="AB35">
        <f>[10]ELECNEA!AB13</f>
        <v>11.137</v>
      </c>
      <c r="AC35">
        <f>[10]ELECNEA!AC13</f>
        <v>12.08</v>
      </c>
      <c r="AD35">
        <f>[10]ELECNEA!AD13</f>
        <v>12.361000000000001</v>
      </c>
    </row>
    <row r="36" spans="2:30" x14ac:dyDescent="0.2">
      <c r="B36" s="108" t="s">
        <v>377</v>
      </c>
      <c r="C36">
        <f>[10]ELECNEA!C14</f>
        <v>7.7279999999999998</v>
      </c>
      <c r="D36">
        <f>[10]ELECNEA!D14</f>
        <v>8.6159999999999997</v>
      </c>
      <c r="E36">
        <f>[10]ELECNEA!E14</f>
        <v>8.9290000000000003</v>
      </c>
      <c r="F36">
        <f>[10]ELECNEA!F14</f>
        <v>9.3070000000000004</v>
      </c>
      <c r="G36">
        <f>[10]ELECNEA!G14</f>
        <v>9.8930000000000007</v>
      </c>
      <c r="H36">
        <f>[10]ELECNEA!H14</f>
        <v>10.625</v>
      </c>
      <c r="I36">
        <f>[10]ELECNEA!I14</f>
        <v>11.557</v>
      </c>
      <c r="J36">
        <f>[10]ELECNEA!J14</f>
        <v>12.548999999999999</v>
      </c>
      <c r="K36">
        <f>[10]ELECNEA!K14</f>
        <v>13.372</v>
      </c>
      <c r="L36">
        <f>[10]ELECNEA!L14</f>
        <v>13.271000000000001</v>
      </c>
      <c r="M36">
        <f>[10]ELECNEA!M14</f>
        <v>14.346</v>
      </c>
      <c r="N36">
        <f>[10]ELECNEA!N14</f>
        <v>15.228999999999999</v>
      </c>
      <c r="O36">
        <f>[10]ELECNEA!O14</f>
        <v>16.119</v>
      </c>
      <c r="P36">
        <f>[10]ELECNEA!P14</f>
        <v>16.757000000000001</v>
      </c>
      <c r="Q36">
        <f>[10]ELECNEA!Q14</f>
        <v>17.925000000000001</v>
      </c>
      <c r="R36">
        <f>[10]ELECNEA!R14</f>
        <v>20.408999999999999</v>
      </c>
      <c r="S36">
        <f>[10]ELECNEA!S14</f>
        <v>19.940999999999999</v>
      </c>
      <c r="T36">
        <f>[10]ELECNEA!T14</f>
        <v>17.489000000000001</v>
      </c>
      <c r="U36">
        <f>[10]ELECNEA!U14</f>
        <v>18.866</v>
      </c>
      <c r="V36">
        <f>[10]ELECNEA!V14</f>
        <v>20.234000000000002</v>
      </c>
      <c r="W36">
        <f>[10]ELECNEA!W14</f>
        <v>23.465</v>
      </c>
      <c r="X36">
        <f>[10]ELECNEA!X14</f>
        <v>25.234999999999999</v>
      </c>
      <c r="Y36">
        <f>[10]ELECNEA!Y14</f>
        <v>23.076000000000001</v>
      </c>
      <c r="Z36">
        <f>[10]ELECNEA!Z14</f>
        <v>21.920999999999999</v>
      </c>
      <c r="AA36">
        <f>[10]ELECNEA!AA14</f>
        <v>20.27</v>
      </c>
      <c r="AB36">
        <f>[10]ELECNEA!AB14</f>
        <v>23.465</v>
      </c>
      <c r="AC36">
        <f>[10]ELECNEA!AC14</f>
        <v>22.902000000000001</v>
      </c>
      <c r="AD36">
        <f>[10]ELECNEA!AD14</f>
        <v>25.501999999999999</v>
      </c>
    </row>
    <row r="37" spans="2:30" x14ac:dyDescent="0.2">
      <c r="B37" s="108" t="s">
        <v>378</v>
      </c>
      <c r="C37">
        <f>[10]ELECNEA!C15</f>
        <v>3.62</v>
      </c>
      <c r="D37">
        <f>[10]ELECNEA!D15</f>
        <v>4.24</v>
      </c>
      <c r="E37">
        <f>[10]ELECNEA!E15</f>
        <v>4.556</v>
      </c>
      <c r="F37">
        <f>[10]ELECNEA!F15</f>
        <v>4.8330000000000002</v>
      </c>
      <c r="G37">
        <f>[10]ELECNEA!G15</f>
        <v>5.0919999999999996</v>
      </c>
      <c r="H37">
        <f>[10]ELECNEA!H15</f>
        <v>5.5890000000000004</v>
      </c>
      <c r="I37">
        <f>[10]ELECNEA!I15</f>
        <v>6.5960000000000001</v>
      </c>
      <c r="J37">
        <f>[10]ELECNEA!J15</f>
        <v>7.843</v>
      </c>
      <c r="K37">
        <f>[10]ELECNEA!K15</f>
        <v>9.18</v>
      </c>
      <c r="L37">
        <f>[10]ELECNEA!L15</f>
        <v>9.7729999999999997</v>
      </c>
      <c r="M37">
        <f>[10]ELECNEA!M15</f>
        <v>9.3960000000000008</v>
      </c>
      <c r="N37">
        <f>[10]ELECNEA!N15</f>
        <v>9.3469999999999995</v>
      </c>
      <c r="O37">
        <f>[10]ELECNEA!O15</f>
        <v>9.4949999999999992</v>
      </c>
      <c r="P37">
        <f>[10]ELECNEA!P15</f>
        <v>9.4380000000000006</v>
      </c>
      <c r="Q37">
        <f>[10]ELECNEA!Q15</f>
        <v>10.036</v>
      </c>
      <c r="R37">
        <f>[10]ELECNEA!R15</f>
        <v>10.726000000000001</v>
      </c>
      <c r="S37">
        <f>[10]ELECNEA!S15</f>
        <v>11.612</v>
      </c>
      <c r="T37">
        <f>[10]ELECNEA!T15</f>
        <v>11.711</v>
      </c>
      <c r="U37">
        <f>[10]ELECNEA!U15</f>
        <v>12.583</v>
      </c>
      <c r="V37">
        <f>[10]ELECNEA!V15</f>
        <v>13.755000000000001</v>
      </c>
      <c r="W37">
        <f>[10]ELECNEA!W15</f>
        <v>14.68</v>
      </c>
      <c r="X37">
        <f>[10]ELECNEA!X15</f>
        <v>16.84</v>
      </c>
      <c r="Y37">
        <f>[10]ELECNEA!Y15</f>
        <v>17.257999999999999</v>
      </c>
      <c r="Z37">
        <f>[10]ELECNEA!Z15</f>
        <v>16.623999999999999</v>
      </c>
      <c r="AA37">
        <f>[10]ELECNEA!AA15</f>
        <v>13.41</v>
      </c>
      <c r="AB37">
        <f>[10]ELECNEA!AB15</f>
        <v>14.53</v>
      </c>
      <c r="AC37">
        <f>[10]ELECNEA!AC15</f>
        <v>15.234999999999999</v>
      </c>
      <c r="AD37">
        <f>[10]ELECNEA!AD15</f>
        <v>13.965999999999999</v>
      </c>
    </row>
    <row r="38" spans="2:30" x14ac:dyDescent="0.2">
      <c r="B38" s="108" t="s">
        <v>379</v>
      </c>
      <c r="C38">
        <f>[10]ELECNEA!C16</f>
        <v>1.8140000000000001</v>
      </c>
      <c r="D38">
        <f>[10]ELECNEA!D16</f>
        <v>1.915</v>
      </c>
      <c r="E38">
        <f>[10]ELECNEA!E16</f>
        <v>1.841</v>
      </c>
      <c r="F38">
        <f>[10]ELECNEA!F16</f>
        <v>1.9159999999999999</v>
      </c>
      <c r="G38">
        <f>[10]ELECNEA!G16</f>
        <v>2.06</v>
      </c>
      <c r="H38">
        <f>[10]ELECNEA!H16</f>
        <v>1.988</v>
      </c>
      <c r="I38">
        <f>[10]ELECNEA!I16</f>
        <v>2.0270000000000001</v>
      </c>
      <c r="J38">
        <f>[10]ELECNEA!J16</f>
        <v>1.9039999999999999</v>
      </c>
      <c r="K38">
        <f>[10]ELECNEA!K16</f>
        <v>1.712</v>
      </c>
      <c r="L38">
        <f>[10]ELECNEA!L16</f>
        <v>1.542</v>
      </c>
      <c r="M38">
        <f>[10]ELECNEA!M16</f>
        <v>1.51</v>
      </c>
      <c r="N38">
        <f>[10]ELECNEA!N16</f>
        <v>1.542</v>
      </c>
      <c r="O38">
        <f>[10]ELECNEA!O16</f>
        <v>1.4039999999999999</v>
      </c>
      <c r="P38">
        <f>[10]ELECNEA!P16</f>
        <v>1.26</v>
      </c>
      <c r="Q38">
        <f>[10]ELECNEA!Q16</f>
        <v>1.331</v>
      </c>
      <c r="R38">
        <f>[10]ELECNEA!R16</f>
        <v>1.5029999999999999</v>
      </c>
      <c r="S38">
        <f>[10]ELECNEA!S16</f>
        <v>1.8779999999999999</v>
      </c>
      <c r="T38">
        <f>[10]ELECNEA!T16</f>
        <v>2.3319999999999999</v>
      </c>
      <c r="U38">
        <f>[10]ELECNEA!U16</f>
        <v>2.6360000000000001</v>
      </c>
      <c r="V38">
        <f>[10]ELECNEA!V16</f>
        <v>3.2090000000000001</v>
      </c>
      <c r="W38">
        <f>[10]ELECNEA!W16</f>
        <v>4.4349999999999996</v>
      </c>
      <c r="X38">
        <f>[10]ELECNEA!X16</f>
        <v>5.5510000000000002</v>
      </c>
      <c r="Y38">
        <f>[10]ELECNEA!Y16</f>
        <v>8.1649999999999991</v>
      </c>
      <c r="Z38">
        <f>[10]ELECNEA!Z16</f>
        <v>12.17</v>
      </c>
      <c r="AA38">
        <f>[10]ELECNEA!AA16</f>
        <v>12.565</v>
      </c>
      <c r="AB38">
        <f>[10]ELECNEA!AB16</f>
        <v>12.388</v>
      </c>
      <c r="AC38">
        <f>[10]ELECNEA!AC16</f>
        <v>16.158000000000001</v>
      </c>
      <c r="AD38">
        <f>[10]ELECNEA!AD16</f>
        <v>15.741</v>
      </c>
    </row>
    <row r="40" spans="2:30" x14ac:dyDescent="0.2">
      <c r="B40" s="108" t="s">
        <v>380</v>
      </c>
      <c r="C40">
        <f>C33+C34+C35</f>
        <v>13.968999999999999</v>
      </c>
      <c r="D40">
        <f t="shared" ref="D40:AD40" si="6">D33+D34+D35</f>
        <v>15.805</v>
      </c>
      <c r="E40">
        <f t="shared" si="6"/>
        <v>17.044</v>
      </c>
      <c r="F40">
        <f t="shared" si="6"/>
        <v>18.54</v>
      </c>
      <c r="G40">
        <f t="shared" si="6"/>
        <v>20.163</v>
      </c>
      <c r="H40">
        <f t="shared" si="6"/>
        <v>21.856999999999999</v>
      </c>
      <c r="I40">
        <f t="shared" si="6"/>
        <v>23.552</v>
      </c>
      <c r="J40">
        <f t="shared" si="6"/>
        <v>24.488</v>
      </c>
      <c r="K40">
        <f t="shared" si="6"/>
        <v>26.123999999999999</v>
      </c>
      <c r="L40">
        <f t="shared" si="6"/>
        <v>32.021999999999998</v>
      </c>
      <c r="M40">
        <f t="shared" si="6"/>
        <v>35.603999999999999</v>
      </c>
      <c r="N40">
        <f t="shared" si="6"/>
        <v>38.866999999999997</v>
      </c>
      <c r="O40">
        <f t="shared" si="6"/>
        <v>42.785000000000004</v>
      </c>
      <c r="P40">
        <f t="shared" si="6"/>
        <v>44.602999999999994</v>
      </c>
      <c r="Q40">
        <f t="shared" si="6"/>
        <v>47.206000000000003</v>
      </c>
      <c r="R40">
        <f t="shared" si="6"/>
        <v>51.50800000000001</v>
      </c>
      <c r="S40">
        <f t="shared" si="6"/>
        <v>54.448</v>
      </c>
      <c r="T40">
        <f t="shared" si="6"/>
        <v>56.736000000000004</v>
      </c>
      <c r="U40">
        <f t="shared" si="6"/>
        <v>60.347000000000008</v>
      </c>
      <c r="V40">
        <f t="shared" si="6"/>
        <v>65.620999999999995</v>
      </c>
      <c r="W40">
        <f t="shared" si="6"/>
        <v>76.894000000000005</v>
      </c>
      <c r="X40">
        <f t="shared" si="6"/>
        <v>84.054000000000002</v>
      </c>
      <c r="Y40">
        <f t="shared" si="6"/>
        <v>92.366</v>
      </c>
      <c r="Z40">
        <f t="shared" si="6"/>
        <v>99.72399999999999</v>
      </c>
      <c r="AA40">
        <f t="shared" si="6"/>
        <v>106.35900000000001</v>
      </c>
      <c r="AB40">
        <f t="shared" si="6"/>
        <v>113.39100000000001</v>
      </c>
      <c r="AC40">
        <f t="shared" si="6"/>
        <v>117.994</v>
      </c>
      <c r="AD40">
        <f t="shared" si="6"/>
        <v>122.383</v>
      </c>
    </row>
    <row r="41" spans="2:30" x14ac:dyDescent="0.2">
      <c r="B41" s="108" t="s">
        <v>381</v>
      </c>
      <c r="C41">
        <f>C31+C32</f>
        <v>16.773</v>
      </c>
      <c r="D41">
        <f t="shared" ref="D41:AD41" si="7">D31+D32</f>
        <v>16.749000000000002</v>
      </c>
      <c r="E41">
        <f t="shared" si="7"/>
        <v>16.847000000000001</v>
      </c>
      <c r="F41">
        <f t="shared" si="7"/>
        <v>16.263000000000002</v>
      </c>
      <c r="G41">
        <f t="shared" si="7"/>
        <v>17.026</v>
      </c>
      <c r="H41">
        <f t="shared" si="7"/>
        <v>18.391000000000002</v>
      </c>
      <c r="I41">
        <f t="shared" si="7"/>
        <v>16.669</v>
      </c>
      <c r="J41">
        <f t="shared" si="7"/>
        <v>19.364999999999998</v>
      </c>
      <c r="K41">
        <f t="shared" si="7"/>
        <v>19.677999999999997</v>
      </c>
      <c r="L41">
        <f t="shared" si="7"/>
        <v>19.786999999999999</v>
      </c>
      <c r="M41">
        <f t="shared" si="7"/>
        <v>20.776</v>
      </c>
      <c r="N41">
        <f t="shared" si="7"/>
        <v>22.651</v>
      </c>
      <c r="O41">
        <f t="shared" si="7"/>
        <v>25.768000000000001</v>
      </c>
      <c r="P41">
        <f t="shared" si="7"/>
        <v>24.885999999999999</v>
      </c>
      <c r="Q41">
        <f t="shared" si="7"/>
        <v>28.236000000000001</v>
      </c>
      <c r="R41">
        <f t="shared" si="7"/>
        <v>28.498000000000001</v>
      </c>
      <c r="S41">
        <f t="shared" si="7"/>
        <v>29.499000000000002</v>
      </c>
      <c r="T41">
        <f t="shared" si="7"/>
        <v>32.14</v>
      </c>
      <c r="U41">
        <f t="shared" si="7"/>
        <v>34.182000000000002</v>
      </c>
      <c r="V41">
        <f t="shared" si="7"/>
        <v>35.265000000000001</v>
      </c>
      <c r="W41">
        <f t="shared" si="7"/>
        <v>35.143999999999998</v>
      </c>
      <c r="X41">
        <f t="shared" si="7"/>
        <v>42.346000000000004</v>
      </c>
      <c r="Y41">
        <f t="shared" si="7"/>
        <v>46.473999999999997</v>
      </c>
      <c r="Z41">
        <f t="shared" si="7"/>
        <v>47.301000000000002</v>
      </c>
      <c r="AA41">
        <f t="shared" si="7"/>
        <v>50.208999999999996</v>
      </c>
      <c r="AB41">
        <f t="shared" si="7"/>
        <v>47.943999999999996</v>
      </c>
      <c r="AC41">
        <f t="shared" si="7"/>
        <v>55.217999999999996</v>
      </c>
      <c r="AD41">
        <f t="shared" si="7"/>
        <v>55.893999999999998</v>
      </c>
    </row>
    <row r="42" spans="2:30" x14ac:dyDescent="0.2">
      <c r="B42" s="108" t="s">
        <v>367</v>
      </c>
      <c r="C42">
        <f>C28+C29+C30</f>
        <v>13.225000000000001</v>
      </c>
      <c r="D42">
        <f t="shared" ref="D42:AD42" si="8">D28+D29+D30</f>
        <v>13.004</v>
      </c>
      <c r="E42">
        <f t="shared" si="8"/>
        <v>16.882999999999999</v>
      </c>
      <c r="F42">
        <f t="shared" si="8"/>
        <v>17.489000000000001</v>
      </c>
      <c r="G42">
        <f t="shared" si="8"/>
        <v>18.378</v>
      </c>
      <c r="H42">
        <f t="shared" si="8"/>
        <v>19.373999999999999</v>
      </c>
      <c r="I42">
        <f t="shared" si="8"/>
        <v>21.837</v>
      </c>
      <c r="J42">
        <f t="shared" si="8"/>
        <v>24.233000000000001</v>
      </c>
      <c r="K42">
        <f t="shared" si="8"/>
        <v>27.045999999999999</v>
      </c>
      <c r="L42">
        <f t="shared" si="8"/>
        <v>23.739000000000001</v>
      </c>
      <c r="M42">
        <f t="shared" si="8"/>
        <v>27.677</v>
      </c>
      <c r="N42">
        <f t="shared" si="8"/>
        <v>33.316000000000003</v>
      </c>
      <c r="O42">
        <f t="shared" si="8"/>
        <v>37.037999999999997</v>
      </c>
      <c r="P42">
        <f t="shared" si="8"/>
        <v>35.013999999999996</v>
      </c>
      <c r="Q42">
        <f t="shared" si="8"/>
        <v>38.048999999999999</v>
      </c>
      <c r="R42">
        <f t="shared" si="8"/>
        <v>43.497</v>
      </c>
      <c r="S42">
        <f t="shared" si="8"/>
        <v>43.447999999999993</v>
      </c>
      <c r="T42">
        <f t="shared" si="8"/>
        <v>41.510000000000005</v>
      </c>
      <c r="U42">
        <f t="shared" si="8"/>
        <v>46.353999999999999</v>
      </c>
      <c r="V42">
        <f t="shared" si="8"/>
        <v>42.611000000000004</v>
      </c>
      <c r="W42">
        <f t="shared" si="8"/>
        <v>52.662000000000006</v>
      </c>
      <c r="X42">
        <f t="shared" si="8"/>
        <v>57.025999999999996</v>
      </c>
      <c r="Y42">
        <f t="shared" si="8"/>
        <v>52.751000000000005</v>
      </c>
      <c r="Z42">
        <f t="shared" si="8"/>
        <v>58.383000000000003</v>
      </c>
      <c r="AA42">
        <f t="shared" si="8"/>
        <v>40.429000000000002</v>
      </c>
      <c r="AB42">
        <f t="shared" si="8"/>
        <v>42.634</v>
      </c>
      <c r="AC42">
        <f t="shared" si="8"/>
        <v>53.949999999999996</v>
      </c>
      <c r="AD42">
        <f t="shared" si="8"/>
        <v>54.823</v>
      </c>
    </row>
    <row r="43" spans="2:30" x14ac:dyDescent="0.2">
      <c r="B43" s="108" t="s">
        <v>382</v>
      </c>
      <c r="C43">
        <f>C36+C37</f>
        <v>11.347999999999999</v>
      </c>
      <c r="D43">
        <f t="shared" ref="D43:AD43" si="9">D36+D37</f>
        <v>12.856</v>
      </c>
      <c r="E43">
        <f t="shared" si="9"/>
        <v>13.484999999999999</v>
      </c>
      <c r="F43">
        <f t="shared" si="9"/>
        <v>14.14</v>
      </c>
      <c r="G43">
        <f t="shared" si="9"/>
        <v>14.984999999999999</v>
      </c>
      <c r="H43">
        <f t="shared" si="9"/>
        <v>16.213999999999999</v>
      </c>
      <c r="I43">
        <f t="shared" si="9"/>
        <v>18.152999999999999</v>
      </c>
      <c r="J43">
        <f t="shared" si="9"/>
        <v>20.391999999999999</v>
      </c>
      <c r="K43">
        <f t="shared" si="9"/>
        <v>22.552</v>
      </c>
      <c r="L43">
        <f t="shared" si="9"/>
        <v>23.044</v>
      </c>
      <c r="M43">
        <f t="shared" si="9"/>
        <v>23.742000000000001</v>
      </c>
      <c r="N43">
        <f t="shared" si="9"/>
        <v>24.576000000000001</v>
      </c>
      <c r="O43">
        <f t="shared" si="9"/>
        <v>25.613999999999997</v>
      </c>
      <c r="P43">
        <f t="shared" si="9"/>
        <v>26.195</v>
      </c>
      <c r="Q43">
        <f t="shared" si="9"/>
        <v>27.960999999999999</v>
      </c>
      <c r="R43">
        <f t="shared" si="9"/>
        <v>31.134999999999998</v>
      </c>
      <c r="S43">
        <f t="shared" si="9"/>
        <v>31.552999999999997</v>
      </c>
      <c r="T43">
        <f t="shared" si="9"/>
        <v>29.200000000000003</v>
      </c>
      <c r="U43">
        <f t="shared" si="9"/>
        <v>31.448999999999998</v>
      </c>
      <c r="V43">
        <f t="shared" si="9"/>
        <v>33.989000000000004</v>
      </c>
      <c r="W43">
        <f t="shared" si="9"/>
        <v>38.144999999999996</v>
      </c>
      <c r="X43">
        <f t="shared" si="9"/>
        <v>42.075000000000003</v>
      </c>
      <c r="Y43">
        <f t="shared" si="9"/>
        <v>40.334000000000003</v>
      </c>
      <c r="Z43">
        <f t="shared" si="9"/>
        <v>38.545000000000002</v>
      </c>
      <c r="AA43">
        <f t="shared" si="9"/>
        <v>33.68</v>
      </c>
      <c r="AB43">
        <f t="shared" si="9"/>
        <v>37.994999999999997</v>
      </c>
      <c r="AC43">
        <f t="shared" si="9"/>
        <v>38.137</v>
      </c>
      <c r="AD43">
        <f t="shared" si="9"/>
        <v>39.467999999999996</v>
      </c>
    </row>
    <row r="44" spans="2:30" x14ac:dyDescent="0.2">
      <c r="B44" s="108" t="s">
        <v>379</v>
      </c>
      <c r="C44">
        <f>C38</f>
        <v>1.8140000000000001</v>
      </c>
      <c r="D44">
        <f t="shared" ref="D44:AD44" si="10">D38</f>
        <v>1.915</v>
      </c>
      <c r="E44">
        <f t="shared" si="10"/>
        <v>1.841</v>
      </c>
      <c r="F44">
        <f t="shared" si="10"/>
        <v>1.9159999999999999</v>
      </c>
      <c r="G44">
        <f t="shared" si="10"/>
        <v>2.06</v>
      </c>
      <c r="H44">
        <f t="shared" si="10"/>
        <v>1.988</v>
      </c>
      <c r="I44">
        <f t="shared" si="10"/>
        <v>2.0270000000000001</v>
      </c>
      <c r="J44">
        <f t="shared" si="10"/>
        <v>1.9039999999999999</v>
      </c>
      <c r="K44">
        <f t="shared" si="10"/>
        <v>1.712</v>
      </c>
      <c r="L44">
        <f t="shared" si="10"/>
        <v>1.542</v>
      </c>
      <c r="M44">
        <f t="shared" si="10"/>
        <v>1.51</v>
      </c>
      <c r="N44">
        <f t="shared" si="10"/>
        <v>1.542</v>
      </c>
      <c r="O44">
        <f t="shared" si="10"/>
        <v>1.4039999999999999</v>
      </c>
      <c r="P44">
        <f t="shared" si="10"/>
        <v>1.26</v>
      </c>
      <c r="Q44">
        <f t="shared" si="10"/>
        <v>1.331</v>
      </c>
      <c r="R44">
        <f t="shared" si="10"/>
        <v>1.5029999999999999</v>
      </c>
      <c r="S44">
        <f t="shared" si="10"/>
        <v>1.8779999999999999</v>
      </c>
      <c r="T44">
        <f t="shared" si="10"/>
        <v>2.3319999999999999</v>
      </c>
      <c r="U44">
        <f t="shared" si="10"/>
        <v>2.6360000000000001</v>
      </c>
      <c r="V44">
        <f t="shared" si="10"/>
        <v>3.2090000000000001</v>
      </c>
      <c r="W44">
        <f t="shared" si="10"/>
        <v>4.4349999999999996</v>
      </c>
      <c r="X44">
        <f t="shared" si="10"/>
        <v>5.5510000000000002</v>
      </c>
      <c r="Y44">
        <f t="shared" si="10"/>
        <v>8.1649999999999991</v>
      </c>
      <c r="Z44">
        <f t="shared" si="10"/>
        <v>12.17</v>
      </c>
      <c r="AA44">
        <f t="shared" si="10"/>
        <v>12.565</v>
      </c>
      <c r="AB44">
        <f t="shared" si="10"/>
        <v>12.388</v>
      </c>
      <c r="AC44">
        <f t="shared" si="10"/>
        <v>16.158000000000001</v>
      </c>
      <c r="AD44">
        <f t="shared" si="10"/>
        <v>15.741</v>
      </c>
    </row>
    <row r="46" spans="2:30" x14ac:dyDescent="0.2">
      <c r="C46" s="108" t="s">
        <v>58</v>
      </c>
      <c r="I46" s="108" t="s">
        <v>356</v>
      </c>
      <c r="AD46">
        <f>SUM(AD40:AD45)</f>
        <v>288.30899999999997</v>
      </c>
    </row>
    <row r="47" spans="2:30" x14ac:dyDescent="0.2">
      <c r="B47">
        <f>1958</f>
        <v>1958</v>
      </c>
      <c r="C47">
        <f t="array" ref="C47:G74">TRANSPOSE(C40:AD44)</f>
        <v>13.968999999999999</v>
      </c>
      <c r="D47">
        <v>16.773</v>
      </c>
      <c r="E47">
        <v>13.225000000000001</v>
      </c>
      <c r="F47">
        <v>11.347999999999999</v>
      </c>
      <c r="G47">
        <v>1.8140000000000001</v>
      </c>
      <c r="I47">
        <f t="array" ref="I47:M74">TRANSPOSE(C17:AD21)</f>
        <v>154.77800000000002</v>
      </c>
      <c r="J47">
        <v>29.626999999999999</v>
      </c>
      <c r="K47">
        <v>80.652000000000001</v>
      </c>
      <c r="L47">
        <v>153.851</v>
      </c>
      <c r="M47">
        <v>117.773</v>
      </c>
    </row>
    <row r="48" spans="2:30" x14ac:dyDescent="0.2">
      <c r="B48">
        <f>B47+1</f>
        <v>1959</v>
      </c>
      <c r="C48">
        <v>15.805</v>
      </c>
      <c r="D48">
        <v>16.749000000000002</v>
      </c>
      <c r="E48">
        <v>13.004</v>
      </c>
      <c r="F48">
        <v>12.856</v>
      </c>
      <c r="G48">
        <v>1.915</v>
      </c>
      <c r="I48">
        <v>159.40800000000002</v>
      </c>
      <c r="J48">
        <v>28.373999999999999</v>
      </c>
      <c r="K48">
        <v>75.967000000000013</v>
      </c>
      <c r="L48">
        <v>167.74</v>
      </c>
      <c r="M48">
        <v>119.101</v>
      </c>
    </row>
    <row r="49" spans="2:13" x14ac:dyDescent="0.2">
      <c r="B49">
        <f t="shared" ref="B49:B74" si="11">B48+1</f>
        <v>1960</v>
      </c>
      <c r="C49">
        <v>17.044</v>
      </c>
      <c r="D49">
        <v>16.847000000000001</v>
      </c>
      <c r="E49">
        <v>16.882999999999999</v>
      </c>
      <c r="F49">
        <v>13.484999999999999</v>
      </c>
      <c r="G49">
        <v>1.841</v>
      </c>
      <c r="I49">
        <v>157.66500000000002</v>
      </c>
      <c r="J49">
        <v>27.469000000000001</v>
      </c>
      <c r="K49">
        <v>96.471000000000004</v>
      </c>
      <c r="L49">
        <v>169.61699999999999</v>
      </c>
      <c r="M49">
        <v>109.735</v>
      </c>
    </row>
    <row r="50" spans="2:13" x14ac:dyDescent="0.2">
      <c r="B50">
        <f t="shared" si="11"/>
        <v>1961</v>
      </c>
      <c r="C50">
        <v>18.54</v>
      </c>
      <c r="D50">
        <v>16.263000000000002</v>
      </c>
      <c r="E50">
        <v>17.489000000000001</v>
      </c>
      <c r="F50">
        <v>14.14</v>
      </c>
      <c r="G50">
        <v>1.9159999999999999</v>
      </c>
      <c r="I50">
        <v>156.51600000000002</v>
      </c>
      <c r="J50">
        <v>25.357999999999997</v>
      </c>
      <c r="K50">
        <v>90.981999999999999</v>
      </c>
      <c r="L50">
        <v>170.15899999999999</v>
      </c>
      <c r="M50">
        <v>109.319</v>
      </c>
    </row>
    <row r="51" spans="2:13" x14ac:dyDescent="0.2">
      <c r="B51">
        <f t="shared" si="11"/>
        <v>1962</v>
      </c>
      <c r="C51">
        <v>20.163</v>
      </c>
      <c r="D51">
        <v>17.026</v>
      </c>
      <c r="E51">
        <v>18.378</v>
      </c>
      <c r="F51">
        <v>14.984999999999999</v>
      </c>
      <c r="G51">
        <v>2.06</v>
      </c>
      <c r="I51">
        <v>156.06200000000001</v>
      </c>
      <c r="J51">
        <v>25.326000000000001</v>
      </c>
      <c r="K51">
        <v>87.572000000000003</v>
      </c>
      <c r="L51">
        <v>172.16499999999999</v>
      </c>
      <c r="M51">
        <v>112.58799999999999</v>
      </c>
    </row>
    <row r="52" spans="2:13" x14ac:dyDescent="0.2">
      <c r="B52">
        <f t="shared" si="11"/>
        <v>1963</v>
      </c>
      <c r="C52">
        <v>21.856999999999999</v>
      </c>
      <c r="D52">
        <v>18.391000000000002</v>
      </c>
      <c r="E52">
        <v>19.373999999999999</v>
      </c>
      <c r="F52">
        <v>16.213999999999999</v>
      </c>
      <c r="G52">
        <v>1.988</v>
      </c>
      <c r="I52">
        <v>155.98500000000001</v>
      </c>
      <c r="J52">
        <v>26.010999999999999</v>
      </c>
      <c r="K52">
        <v>89.016999999999996</v>
      </c>
      <c r="L52">
        <v>178.86199999999999</v>
      </c>
      <c r="M52">
        <v>104.273</v>
      </c>
    </row>
    <row r="53" spans="2:13" x14ac:dyDescent="0.2">
      <c r="B53">
        <f t="shared" si="11"/>
        <v>1964</v>
      </c>
      <c r="C53">
        <v>23.552</v>
      </c>
      <c r="D53">
        <v>16.669</v>
      </c>
      <c r="E53">
        <v>21.837</v>
      </c>
      <c r="F53">
        <v>18.152999999999999</v>
      </c>
      <c r="G53">
        <v>2.0270000000000001</v>
      </c>
      <c r="I53">
        <v>153.66900000000001</v>
      </c>
      <c r="J53">
        <v>24.132000000000001</v>
      </c>
      <c r="K53">
        <v>100.52399999999999</v>
      </c>
      <c r="L53">
        <v>197.458</v>
      </c>
      <c r="M53">
        <v>106.011</v>
      </c>
    </row>
    <row r="54" spans="2:13" x14ac:dyDescent="0.2">
      <c r="B54">
        <f t="shared" si="11"/>
        <v>1965</v>
      </c>
      <c r="C54">
        <v>24.488</v>
      </c>
      <c r="D54">
        <v>19.364999999999998</v>
      </c>
      <c r="E54">
        <v>24.233000000000001</v>
      </c>
      <c r="F54">
        <v>20.391999999999999</v>
      </c>
      <c r="G54">
        <v>1.9039999999999999</v>
      </c>
      <c r="I54">
        <v>151.607</v>
      </c>
      <c r="J54">
        <v>28.751999999999999</v>
      </c>
      <c r="K54">
        <v>106.60999999999999</v>
      </c>
      <c r="L54">
        <v>218.19499999999999</v>
      </c>
      <c r="M54">
        <v>98.986999999999995</v>
      </c>
    </row>
    <row r="55" spans="2:13" x14ac:dyDescent="0.2">
      <c r="B55">
        <f t="shared" si="11"/>
        <v>1966</v>
      </c>
      <c r="C55">
        <v>26.123999999999999</v>
      </c>
      <c r="D55">
        <v>19.677999999999997</v>
      </c>
      <c r="E55">
        <v>27.045999999999999</v>
      </c>
      <c r="F55">
        <v>22.552</v>
      </c>
      <c r="G55">
        <v>1.712</v>
      </c>
      <c r="I55">
        <v>153.399</v>
      </c>
      <c r="J55">
        <v>29.827000000000002</v>
      </c>
      <c r="K55">
        <v>116.654</v>
      </c>
      <c r="L55">
        <v>236.74299999999999</v>
      </c>
      <c r="M55">
        <v>88.599000000000004</v>
      </c>
    </row>
    <row r="56" spans="2:13" x14ac:dyDescent="0.2">
      <c r="B56">
        <f t="shared" si="11"/>
        <v>1967</v>
      </c>
      <c r="C56">
        <v>32.021999999999998</v>
      </c>
      <c r="D56">
        <v>19.786999999999999</v>
      </c>
      <c r="E56">
        <v>23.739000000000001</v>
      </c>
      <c r="F56">
        <v>23.044</v>
      </c>
      <c r="G56">
        <v>1.542</v>
      </c>
      <c r="I56">
        <v>157.006</v>
      </c>
      <c r="J56">
        <v>30.721</v>
      </c>
      <c r="K56">
        <v>105.413</v>
      </c>
      <c r="L56">
        <v>237.27699999999999</v>
      </c>
      <c r="M56">
        <v>79.349000000000004</v>
      </c>
    </row>
    <row r="57" spans="2:13" x14ac:dyDescent="0.2">
      <c r="B57">
        <f t="shared" si="11"/>
        <v>1968</v>
      </c>
      <c r="C57">
        <v>35.603999999999999</v>
      </c>
      <c r="D57">
        <v>20.776</v>
      </c>
      <c r="E57">
        <v>27.677</v>
      </c>
      <c r="F57">
        <v>23.742000000000001</v>
      </c>
      <c r="G57">
        <v>1.51</v>
      </c>
      <c r="I57">
        <v>169.15699999999998</v>
      </c>
      <c r="J57">
        <v>32.304000000000002</v>
      </c>
      <c r="K57">
        <v>114.85699999999999</v>
      </c>
      <c r="L57">
        <v>238.48699999999999</v>
      </c>
      <c r="M57">
        <v>80.274000000000001</v>
      </c>
    </row>
    <row r="58" spans="2:13" x14ac:dyDescent="0.2">
      <c r="B58">
        <f t="shared" si="11"/>
        <v>1969</v>
      </c>
      <c r="C58">
        <v>38.866999999999997</v>
      </c>
      <c r="D58">
        <v>22.651</v>
      </c>
      <c r="E58">
        <v>33.316000000000003</v>
      </c>
      <c r="F58">
        <v>24.576000000000001</v>
      </c>
      <c r="G58">
        <v>1.542</v>
      </c>
      <c r="I58">
        <v>180.928</v>
      </c>
      <c r="J58">
        <v>35.308</v>
      </c>
      <c r="K58">
        <v>131.56299999999999</v>
      </c>
      <c r="L58">
        <v>241.87299999999999</v>
      </c>
      <c r="M58">
        <v>84.72</v>
      </c>
    </row>
    <row r="59" spans="2:13" x14ac:dyDescent="0.2">
      <c r="B59">
        <f t="shared" si="11"/>
        <v>1970</v>
      </c>
      <c r="C59">
        <v>42.785000000000004</v>
      </c>
      <c r="D59">
        <v>25.768000000000001</v>
      </c>
      <c r="E59">
        <v>37.037999999999997</v>
      </c>
      <c r="F59">
        <v>25.613999999999997</v>
      </c>
      <c r="G59">
        <v>1.4039999999999999</v>
      </c>
      <c r="I59">
        <v>193.65699999999998</v>
      </c>
      <c r="J59">
        <v>40.186</v>
      </c>
      <c r="K59">
        <v>137.791</v>
      </c>
      <c r="L59">
        <v>247.30599999999998</v>
      </c>
      <c r="M59">
        <v>79.72</v>
      </c>
    </row>
    <row r="60" spans="2:13" x14ac:dyDescent="0.2">
      <c r="B60">
        <f t="shared" si="11"/>
        <v>1971</v>
      </c>
      <c r="C60">
        <v>44.602999999999994</v>
      </c>
      <c r="D60">
        <v>24.885999999999999</v>
      </c>
      <c r="E60">
        <v>35.013999999999996</v>
      </c>
      <c r="F60">
        <v>26.195</v>
      </c>
      <c r="G60">
        <v>1.26</v>
      </c>
      <c r="I60">
        <v>198.55599999999998</v>
      </c>
      <c r="J60">
        <v>38.961999999999996</v>
      </c>
      <c r="K60">
        <v>127.316</v>
      </c>
      <c r="L60">
        <v>248.87700000000001</v>
      </c>
      <c r="M60">
        <v>74.004000000000005</v>
      </c>
    </row>
    <row r="61" spans="2:13" x14ac:dyDescent="0.2">
      <c r="B61">
        <f t="shared" si="11"/>
        <v>1972</v>
      </c>
      <c r="C61">
        <v>47.206000000000003</v>
      </c>
      <c r="D61">
        <v>28.236000000000001</v>
      </c>
      <c r="E61">
        <v>38.048999999999999</v>
      </c>
      <c r="F61">
        <v>27.960999999999999</v>
      </c>
      <c r="G61">
        <v>1.331</v>
      </c>
      <c r="I61">
        <v>204.72399999999999</v>
      </c>
      <c r="J61">
        <v>44.265999999999998</v>
      </c>
      <c r="K61">
        <v>134.101</v>
      </c>
      <c r="L61">
        <v>261.96699999999998</v>
      </c>
      <c r="M61">
        <v>80.938000000000002</v>
      </c>
    </row>
    <row r="62" spans="2:13" x14ac:dyDescent="0.2">
      <c r="B62">
        <f t="shared" si="11"/>
        <v>1973</v>
      </c>
      <c r="C62">
        <v>51.50800000000001</v>
      </c>
      <c r="D62">
        <v>28.498000000000001</v>
      </c>
      <c r="E62">
        <v>43.497</v>
      </c>
      <c r="F62">
        <v>31.134999999999998</v>
      </c>
      <c r="G62">
        <v>1.5029999999999999</v>
      </c>
      <c r="I62">
        <v>228.81299999999999</v>
      </c>
      <c r="J62">
        <v>48.984999999999999</v>
      </c>
      <c r="K62">
        <v>150.74799999999999</v>
      </c>
      <c r="L62">
        <v>277.601</v>
      </c>
      <c r="M62">
        <v>79.108000000000004</v>
      </c>
    </row>
    <row r="63" spans="2:13" x14ac:dyDescent="0.2">
      <c r="B63">
        <f t="shared" si="11"/>
        <v>1974</v>
      </c>
      <c r="C63">
        <v>54.448</v>
      </c>
      <c r="D63">
        <v>29.499000000000002</v>
      </c>
      <c r="E63">
        <v>43.447999999999993</v>
      </c>
      <c r="F63">
        <v>31.552999999999997</v>
      </c>
      <c r="G63">
        <v>1.8779999999999999</v>
      </c>
      <c r="I63">
        <v>247.06899999999996</v>
      </c>
      <c r="J63">
        <v>55.160000000000004</v>
      </c>
      <c r="K63">
        <v>143.398</v>
      </c>
      <c r="L63">
        <v>275.73599999999999</v>
      </c>
      <c r="M63">
        <v>85.676000000000002</v>
      </c>
    </row>
    <row r="64" spans="2:13" x14ac:dyDescent="0.2">
      <c r="B64">
        <f t="shared" si="11"/>
        <v>1975</v>
      </c>
      <c r="C64">
        <v>56.736000000000004</v>
      </c>
      <c r="D64">
        <v>32.14</v>
      </c>
      <c r="E64">
        <v>41.510000000000005</v>
      </c>
      <c r="F64">
        <v>29.200000000000003</v>
      </c>
      <c r="G64">
        <v>2.3319999999999999</v>
      </c>
      <c r="I64">
        <v>259.13099999999997</v>
      </c>
      <c r="J64">
        <v>64.762999999999991</v>
      </c>
      <c r="K64">
        <v>130.89500000000001</v>
      </c>
      <c r="L64">
        <v>251.36599999999999</v>
      </c>
      <c r="M64">
        <v>91.721999999999994</v>
      </c>
    </row>
    <row r="65" spans="2:13" x14ac:dyDescent="0.2">
      <c r="B65">
        <f t="shared" si="11"/>
        <v>1976</v>
      </c>
      <c r="C65">
        <v>60.347000000000008</v>
      </c>
      <c r="D65">
        <v>34.182000000000002</v>
      </c>
      <c r="E65">
        <v>46.353999999999999</v>
      </c>
      <c r="F65">
        <v>31.448999999999998</v>
      </c>
      <c r="G65">
        <v>2.6360000000000001</v>
      </c>
      <c r="I65">
        <v>280.56900000000002</v>
      </c>
      <c r="J65">
        <v>73.566999999999993</v>
      </c>
      <c r="K65">
        <v>139.40700000000001</v>
      </c>
      <c r="L65">
        <v>261.96100000000001</v>
      </c>
      <c r="M65">
        <v>88.751999999999995</v>
      </c>
    </row>
    <row r="66" spans="2:13" x14ac:dyDescent="0.2">
      <c r="B66">
        <f t="shared" si="11"/>
        <v>1977</v>
      </c>
      <c r="C66">
        <v>65.620999999999995</v>
      </c>
      <c r="D66">
        <v>35.265000000000001</v>
      </c>
      <c r="E66">
        <v>42.611000000000004</v>
      </c>
      <c r="F66">
        <v>33.989000000000004</v>
      </c>
      <c r="G66">
        <v>3.2090000000000001</v>
      </c>
      <c r="I66">
        <v>307.55500000000001</v>
      </c>
      <c r="J66">
        <v>80.894999999999996</v>
      </c>
      <c r="K66">
        <v>122.12199999999999</v>
      </c>
      <c r="L66">
        <v>276.92399999999998</v>
      </c>
      <c r="M66">
        <v>91.686000000000007</v>
      </c>
    </row>
    <row r="67" spans="2:13" x14ac:dyDescent="0.2">
      <c r="B67">
        <f t="shared" si="11"/>
        <v>1978</v>
      </c>
      <c r="C67">
        <v>76.894000000000005</v>
      </c>
      <c r="D67">
        <v>35.143999999999998</v>
      </c>
      <c r="E67">
        <v>52.662000000000006</v>
      </c>
      <c r="F67">
        <v>38.144999999999996</v>
      </c>
      <c r="G67">
        <v>4.4349999999999996</v>
      </c>
      <c r="I67">
        <v>317.91499999999996</v>
      </c>
      <c r="J67">
        <v>76.929000000000002</v>
      </c>
      <c r="K67">
        <v>139.41200000000001</v>
      </c>
      <c r="L67">
        <v>286.51400000000001</v>
      </c>
      <c r="M67">
        <v>100.07299999999999</v>
      </c>
    </row>
    <row r="68" spans="2:13" x14ac:dyDescent="0.2">
      <c r="B68">
        <f t="shared" si="11"/>
        <v>1979</v>
      </c>
      <c r="C68">
        <v>84.054000000000002</v>
      </c>
      <c r="D68">
        <v>42.346000000000004</v>
      </c>
      <c r="E68">
        <v>57.025999999999996</v>
      </c>
      <c r="F68">
        <v>42.075000000000003</v>
      </c>
      <c r="G68">
        <v>5.5510000000000002</v>
      </c>
      <c r="I68">
        <v>321.577</v>
      </c>
      <c r="J68">
        <v>89.113</v>
      </c>
      <c r="K68">
        <v>137.27600000000001</v>
      </c>
      <c r="L68">
        <v>305.91800000000001</v>
      </c>
      <c r="M68">
        <v>103.596</v>
      </c>
    </row>
    <row r="69" spans="2:13" x14ac:dyDescent="0.2">
      <c r="B69">
        <f t="shared" si="11"/>
        <v>1980</v>
      </c>
      <c r="C69">
        <v>92.366</v>
      </c>
      <c r="D69">
        <v>46.473999999999997</v>
      </c>
      <c r="E69">
        <v>52.751000000000005</v>
      </c>
      <c r="F69">
        <v>40.334000000000003</v>
      </c>
      <c r="G69">
        <v>8.1649999999999991</v>
      </c>
      <c r="I69">
        <v>324.65199999999999</v>
      </c>
      <c r="J69">
        <v>93.939000000000007</v>
      </c>
      <c r="K69">
        <v>114.69799999999999</v>
      </c>
      <c r="L69">
        <v>286.82</v>
      </c>
      <c r="M69">
        <v>130.08000000000001</v>
      </c>
    </row>
    <row r="70" spans="2:13" x14ac:dyDescent="0.2">
      <c r="B70">
        <f t="shared" si="11"/>
        <v>1981</v>
      </c>
      <c r="C70">
        <v>99.72399999999999</v>
      </c>
      <c r="D70">
        <v>47.301000000000002</v>
      </c>
      <c r="E70">
        <v>58.383000000000003</v>
      </c>
      <c r="F70">
        <v>38.545000000000002</v>
      </c>
      <c r="G70">
        <v>12.17</v>
      </c>
      <c r="I70">
        <v>325.22500000000002</v>
      </c>
      <c r="J70">
        <v>91.945999999999998</v>
      </c>
      <c r="K70">
        <v>111.285</v>
      </c>
      <c r="L70">
        <v>263.96199999999999</v>
      </c>
      <c r="M70">
        <v>169.196</v>
      </c>
    </row>
    <row r="71" spans="2:13" x14ac:dyDescent="0.2">
      <c r="B71">
        <f t="shared" si="11"/>
        <v>1982</v>
      </c>
      <c r="C71">
        <v>106.35900000000001</v>
      </c>
      <c r="D71">
        <v>50.208999999999996</v>
      </c>
      <c r="E71">
        <v>40.429000000000002</v>
      </c>
      <c r="F71">
        <v>33.68</v>
      </c>
      <c r="G71">
        <v>12.565</v>
      </c>
      <c r="I71">
        <v>316.88599999999997</v>
      </c>
      <c r="J71">
        <v>93.802999999999997</v>
      </c>
      <c r="K71">
        <v>64.48</v>
      </c>
      <c r="L71">
        <v>214.74099999999999</v>
      </c>
      <c r="M71">
        <v>154.94300000000001</v>
      </c>
    </row>
    <row r="72" spans="2:13" x14ac:dyDescent="0.2">
      <c r="B72">
        <f t="shared" si="11"/>
        <v>1983</v>
      </c>
      <c r="C72">
        <v>113.39100000000001</v>
      </c>
      <c r="D72">
        <v>47.943999999999996</v>
      </c>
      <c r="E72">
        <v>42.634</v>
      </c>
      <c r="F72">
        <v>37.994999999999997</v>
      </c>
      <c r="G72">
        <v>12.388</v>
      </c>
      <c r="I72">
        <v>311.12</v>
      </c>
      <c r="J72">
        <v>86.841000000000008</v>
      </c>
      <c r="K72">
        <v>62.679000000000002</v>
      </c>
      <c r="L72">
        <v>231.82900000000001</v>
      </c>
      <c r="M72">
        <v>137.453</v>
      </c>
    </row>
    <row r="73" spans="2:13" x14ac:dyDescent="0.2">
      <c r="B73">
        <f t="shared" si="11"/>
        <v>1984</v>
      </c>
      <c r="C73">
        <v>117.994</v>
      </c>
      <c r="D73">
        <v>55.217999999999996</v>
      </c>
      <c r="E73">
        <v>53.949999999999996</v>
      </c>
      <c r="F73">
        <v>38.137</v>
      </c>
      <c r="G73">
        <v>16.158000000000001</v>
      </c>
      <c r="I73">
        <v>310.05600000000004</v>
      </c>
      <c r="J73">
        <v>96.915999999999997</v>
      </c>
      <c r="K73">
        <v>74.292000000000002</v>
      </c>
      <c r="L73">
        <v>228.24599999999998</v>
      </c>
      <c r="M73">
        <v>162.92400000000001</v>
      </c>
    </row>
    <row r="74" spans="2:13" x14ac:dyDescent="0.2">
      <c r="B74">
        <f t="shared" si="11"/>
        <v>1985</v>
      </c>
      <c r="C74">
        <v>122.383</v>
      </c>
      <c r="D74">
        <v>55.893999999999998</v>
      </c>
      <c r="E74">
        <v>54.823</v>
      </c>
      <c r="F74">
        <v>39.467999999999996</v>
      </c>
      <c r="G74">
        <v>15.741</v>
      </c>
      <c r="I74">
        <v>303.07799999999997</v>
      </c>
      <c r="J74">
        <v>95.111000000000004</v>
      </c>
      <c r="K74">
        <v>67.525999999999996</v>
      </c>
      <c r="L74">
        <v>217.28700000000001</v>
      </c>
      <c r="M74">
        <v>145.072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D3:V40"/>
  <sheetViews>
    <sheetView workbookViewId="0">
      <selection activeCell="B20" sqref="B20"/>
    </sheetView>
  </sheetViews>
  <sheetFormatPr defaultRowHeight="12.75" x14ac:dyDescent="0.2"/>
  <cols>
    <col min="5" max="5" width="10.42578125" customWidth="1"/>
    <col min="6" max="6" width="12.85546875" customWidth="1"/>
    <col min="8" max="8" width="12.85546875" customWidth="1"/>
    <col min="10" max="10" width="11.5703125" customWidth="1"/>
    <col min="12" max="12" width="11.28515625" customWidth="1"/>
    <col min="13" max="13" width="10.85546875" customWidth="1"/>
    <col min="14" max="15" width="11.42578125" customWidth="1"/>
  </cols>
  <sheetData>
    <row r="3" spans="4:22" x14ac:dyDescent="0.2">
      <c r="T3" s="60" t="s">
        <v>209</v>
      </c>
    </row>
    <row r="4" spans="4:22" x14ac:dyDescent="0.2">
      <c r="E4" s="60" t="s">
        <v>2</v>
      </c>
      <c r="G4" s="60" t="s">
        <v>11</v>
      </c>
      <c r="I4" s="60" t="s">
        <v>6</v>
      </c>
      <c r="K4" s="60" t="s">
        <v>40</v>
      </c>
      <c r="M4" s="60" t="s">
        <v>273</v>
      </c>
      <c r="O4" s="60" t="s">
        <v>312</v>
      </c>
    </row>
    <row r="5" spans="4:22" x14ac:dyDescent="0.2">
      <c r="E5" s="60" t="s">
        <v>207</v>
      </c>
      <c r="F5" s="60" t="s">
        <v>208</v>
      </c>
      <c r="G5" s="60" t="s">
        <v>212</v>
      </c>
      <c r="H5" s="60" t="s">
        <v>208</v>
      </c>
      <c r="J5" s="60" t="s">
        <v>208</v>
      </c>
      <c r="L5" s="60" t="s">
        <v>208</v>
      </c>
      <c r="M5" s="60" t="s">
        <v>314</v>
      </c>
      <c r="N5" s="60" t="s">
        <v>208</v>
      </c>
      <c r="O5" s="60" t="s">
        <v>313</v>
      </c>
      <c r="P5" s="60" t="s">
        <v>208</v>
      </c>
      <c r="Q5" s="60"/>
      <c r="T5" s="60" t="s">
        <v>11</v>
      </c>
      <c r="U5" s="60" t="s">
        <v>210</v>
      </c>
      <c r="V5" s="60" t="s">
        <v>211</v>
      </c>
    </row>
    <row r="6" spans="4:22" x14ac:dyDescent="0.2">
      <c r="D6">
        <v>1977</v>
      </c>
      <c r="E6">
        <f>'stb0709'!$B$33</f>
        <v>20.59</v>
      </c>
      <c r="G6" s="79">
        <f>T6</f>
        <v>0.40410071942446046</v>
      </c>
      <c r="I6" s="79">
        <f>U6</f>
        <v>0.27941058655221745</v>
      </c>
      <c r="K6" s="79">
        <f>V6</f>
        <v>0.3302241379310345</v>
      </c>
      <c r="M6">
        <f>'stb0608'!$N$17</f>
        <v>1.5</v>
      </c>
      <c r="S6">
        <v>1977</v>
      </c>
      <c r="T6" s="79">
        <f>[11]Petroleum_prices!E5</f>
        <v>0.40410071942446046</v>
      </c>
      <c r="U6" s="79">
        <f>[11]Petroleum_prices!J5</f>
        <v>0.27941058655221745</v>
      </c>
      <c r="V6" s="79">
        <f>[11]Petroleum_prices!AA5</f>
        <v>0.3302241379310345</v>
      </c>
    </row>
    <row r="7" spans="4:22" x14ac:dyDescent="0.2">
      <c r="D7">
        <v>1982</v>
      </c>
      <c r="E7">
        <f>'stb0709'!$B$38</f>
        <v>32.15</v>
      </c>
      <c r="F7" s="13">
        <f>E7/E6</f>
        <v>1.5614375910636231</v>
      </c>
      <c r="G7" s="79">
        <f>T11</f>
        <v>0.7983453237410072</v>
      </c>
      <c r="H7" s="13">
        <f>G7/G6</f>
        <v>1.9756097560975607</v>
      </c>
      <c r="I7" s="79">
        <f>U11</f>
        <v>0.69897567954220319</v>
      </c>
      <c r="J7" s="13">
        <f>I7/I6</f>
        <v>2.501607717041801</v>
      </c>
      <c r="K7" s="79">
        <f>V11</f>
        <v>0.71754310344827588</v>
      </c>
      <c r="L7" s="13">
        <f>K7/K6</f>
        <v>2.1728971962616823</v>
      </c>
      <c r="M7">
        <f>'stb0608'!$N$22</f>
        <v>3.87</v>
      </c>
      <c r="N7" s="13">
        <f>M7/M6</f>
        <v>2.58</v>
      </c>
      <c r="P7" s="13" t="e">
        <f>O7/O6</f>
        <v>#DIV/0!</v>
      </c>
      <c r="Q7" s="13"/>
      <c r="S7">
        <f>S6+1</f>
        <v>1978</v>
      </c>
      <c r="T7" s="79">
        <f>[11]Petroleum_prices!E6</f>
        <v>0.41272482014388495</v>
      </c>
      <c r="U7" s="79">
        <f>[11]Petroleum_prices!J6</f>
        <v>0.29288698140200281</v>
      </c>
      <c r="V7" s="79">
        <f>[11]Petroleum_prices!AA6</f>
        <v>0.32096551724137934</v>
      </c>
    </row>
    <row r="8" spans="4:22" x14ac:dyDescent="0.2">
      <c r="D8">
        <v>1987</v>
      </c>
      <c r="E8">
        <f>'stb0709'!$B$43</f>
        <v>28.19</v>
      </c>
      <c r="F8" s="13">
        <f t="shared" ref="F8:H14" si="0">E8/E7</f>
        <v>0.87682737169517888</v>
      </c>
      <c r="G8" s="79">
        <f>T16</f>
        <v>0.58397482014388491</v>
      </c>
      <c r="H8" s="13">
        <f t="shared" si="0"/>
        <v>0.73148148148148151</v>
      </c>
      <c r="I8" s="79">
        <f>U16</f>
        <v>0.53636051502145921</v>
      </c>
      <c r="J8" s="13">
        <f>I8/I7</f>
        <v>0.76735218508997427</v>
      </c>
      <c r="K8" s="79">
        <f>V16</f>
        <v>0.44132758620689655</v>
      </c>
      <c r="L8" s="13">
        <f>K8/K7</f>
        <v>0.61505376344086016</v>
      </c>
      <c r="M8">
        <f>'stb0608'!$N$27</f>
        <v>2.94</v>
      </c>
      <c r="N8" s="13">
        <f>M8/M7</f>
        <v>0.75968992248062017</v>
      </c>
      <c r="P8" s="13" t="e">
        <f>O8/O7</f>
        <v>#DIV/0!</v>
      </c>
      <c r="Q8" s="13"/>
      <c r="S8">
        <f t="shared" ref="S8:S39" si="1">S7+1</f>
        <v>1979</v>
      </c>
      <c r="T8" s="79">
        <f>[11]Petroleum_prices!E7</f>
        <v>0.55625449640287772</v>
      </c>
      <c r="U8" s="79">
        <f>[11]Petroleum_prices!J7</f>
        <v>0.42136194563662377</v>
      </c>
      <c r="V8" s="79">
        <f>[11]Petroleum_prices!AA7</f>
        <v>0.43669827586206894</v>
      </c>
    </row>
    <row r="9" spans="4:22" x14ac:dyDescent="0.2">
      <c r="D9">
        <v>1992</v>
      </c>
      <c r="E9">
        <f>'stb0709'!$B$48</f>
        <v>26.78</v>
      </c>
      <c r="F9" s="13">
        <f t="shared" si="0"/>
        <v>0.94998226321390566</v>
      </c>
      <c r="G9" s="79">
        <f>T21</f>
        <v>0.69424010791366897</v>
      </c>
      <c r="H9" s="13">
        <f t="shared" si="0"/>
        <v>1.1888185654008436</v>
      </c>
      <c r="I9" s="79">
        <f>U21</f>
        <v>0.63698426323319024</v>
      </c>
      <c r="J9" s="13">
        <f>I9/I8</f>
        <v>1.187604690117253</v>
      </c>
      <c r="K9" s="79">
        <f>V21</f>
        <v>0.35182758620689653</v>
      </c>
      <c r="L9" s="13">
        <f>K9/K8</f>
        <v>0.79720279720279719</v>
      </c>
      <c r="M9">
        <f>'stb0608'!$N$32</f>
        <v>2.84</v>
      </c>
      <c r="N9" s="13">
        <f>M9/M8</f>
        <v>0.96598639455782309</v>
      </c>
      <c r="P9" s="13" t="e">
        <f>O9/O8</f>
        <v>#DIV/0!</v>
      </c>
      <c r="Q9" s="13"/>
      <c r="S9">
        <f t="shared" si="1"/>
        <v>1980</v>
      </c>
      <c r="T9" s="79">
        <f>[11]Petroleum_prices!E8</f>
        <v>0.76692895683453244</v>
      </c>
      <c r="U9" s="79">
        <f>[11]Petroleum_prices!J8</f>
        <v>0.60194563662374823</v>
      </c>
      <c r="V9" s="79">
        <f>[11]Petroleum_prices!AA8</f>
        <v>0.59872413793103452</v>
      </c>
    </row>
    <row r="10" spans="4:22" x14ac:dyDescent="0.2">
      <c r="D10">
        <v>1997</v>
      </c>
      <c r="E10">
        <f>'stb0709'!$B$53</f>
        <v>24.64</v>
      </c>
      <c r="F10" s="13">
        <f t="shared" si="0"/>
        <v>0.92008961911874532</v>
      </c>
      <c r="G10" s="79">
        <f>T26</f>
        <v>0.78500000000000003</v>
      </c>
      <c r="H10" s="13">
        <f t="shared" si="0"/>
        <v>1.1307327119994302</v>
      </c>
      <c r="I10" s="79">
        <f>U26</f>
        <v>0.71399999999999997</v>
      </c>
      <c r="J10" s="13">
        <f>I10/I9</f>
        <v>1.1209068123220109</v>
      </c>
      <c r="K10" s="79">
        <f>V26</f>
        <v>0.42899999999999999</v>
      </c>
      <c r="L10" s="13">
        <f>K10/K9</f>
        <v>1.2193472508085859</v>
      </c>
      <c r="M10">
        <f>'stb0608'!$N$37</f>
        <v>3.59</v>
      </c>
      <c r="N10" s="13">
        <f>M10/M9</f>
        <v>1.2640845070422535</v>
      </c>
      <c r="O10">
        <f>'stb0523'!$E$51</f>
        <v>0.878</v>
      </c>
      <c r="P10" s="13" t="e">
        <f>O10/O9</f>
        <v>#DIV/0!</v>
      </c>
      <c r="Q10" s="13"/>
      <c r="S10">
        <f t="shared" si="1"/>
        <v>1981</v>
      </c>
      <c r="T10" s="79">
        <f>[11]Petroleum_prices!E9</f>
        <v>0.84885791366906471</v>
      </c>
      <c r="U10" s="79">
        <f>[11]Petroleum_prices!J9</f>
        <v>0.72143633762517878</v>
      </c>
      <c r="V10" s="79">
        <f>[11]Petroleum_prices!AA9</f>
        <v>0.75766379310344834</v>
      </c>
    </row>
    <row r="11" spans="4:22" x14ac:dyDescent="0.2">
      <c r="D11">
        <v>2002</v>
      </c>
      <c r="E11">
        <f>'stb0709'!$B$58</f>
        <v>26.57</v>
      </c>
      <c r="F11" s="13">
        <f t="shared" si="0"/>
        <v>1.0783279220779221</v>
      </c>
      <c r="G11" s="79">
        <f>T31</f>
        <v>0.90100000000000002</v>
      </c>
      <c r="H11" s="13">
        <f t="shared" si="0"/>
        <v>1.1477707006369426</v>
      </c>
      <c r="I11" s="79">
        <f>U31</f>
        <v>0.83699999999999997</v>
      </c>
      <c r="J11" s="13">
        <f>I11/I10</f>
        <v>1.1722689075630253</v>
      </c>
      <c r="K11" s="79">
        <f>V31</f>
        <v>0.56100000000000005</v>
      </c>
      <c r="L11" s="13">
        <f>K11/K10</f>
        <v>1.3076923076923079</v>
      </c>
      <c r="M11">
        <f>'stb0608'!$N$42</f>
        <v>4.0199999999999996</v>
      </c>
      <c r="N11" s="13">
        <f>M11/M10</f>
        <v>1.1197771587743732</v>
      </c>
      <c r="O11">
        <f>'stb0523'!$J$51</f>
        <v>0.95799999999999996</v>
      </c>
      <c r="P11" s="13">
        <f>O11/O10</f>
        <v>1.0911161731207288</v>
      </c>
      <c r="Q11" s="13"/>
      <c r="S11">
        <f t="shared" si="1"/>
        <v>1982</v>
      </c>
      <c r="T11" s="79">
        <f>[11]Petroleum_prices!E10</f>
        <v>0.7983453237410072</v>
      </c>
      <c r="U11" s="79">
        <f>[11]Petroleum_prices!J10</f>
        <v>0.69897567954220319</v>
      </c>
      <c r="V11" s="79">
        <f>[11]Petroleum_prices!AA10</f>
        <v>0.71754310344827588</v>
      </c>
    </row>
    <row r="12" spans="4:22" x14ac:dyDescent="0.2">
      <c r="D12">
        <v>2007</v>
      </c>
      <c r="E12">
        <f>'stb0709'!$B$63</f>
        <v>40.799999999999997</v>
      </c>
      <c r="F12" s="13">
        <f t="shared" si="0"/>
        <v>1.5355664283025967</v>
      </c>
      <c r="G12" s="79">
        <f>T36</f>
        <v>2.2970000000000002</v>
      </c>
      <c r="H12" s="13">
        <f t="shared" si="0"/>
        <v>2.5493895671476139</v>
      </c>
      <c r="I12" s="79">
        <f>U36</f>
        <v>2.3479999999999999</v>
      </c>
      <c r="J12" s="13">
        <f t="shared" ref="J12:L14" si="2">I12/I11</f>
        <v>2.8052568697729989</v>
      </c>
      <c r="K12" s="79">
        <f>V36</f>
        <v>1.3759999999999999</v>
      </c>
      <c r="L12" s="13">
        <f t="shared" si="2"/>
        <v>2.4527629233511581</v>
      </c>
      <c r="M12">
        <f>'stb0608'!$N$47</f>
        <v>7.68</v>
      </c>
      <c r="N12" s="13">
        <f t="shared" ref="N12:P14" si="3">M12/M11</f>
        <v>1.91044776119403</v>
      </c>
      <c r="O12">
        <f>'stb0523'!$O$51</f>
        <v>1.8879999999999999</v>
      </c>
      <c r="P12" s="13">
        <f t="shared" si="3"/>
        <v>1.9707724425887265</v>
      </c>
      <c r="Q12" s="13"/>
      <c r="S12">
        <f t="shared" si="1"/>
        <v>1983</v>
      </c>
      <c r="T12" s="79">
        <f>[11]Petroleum_prices!E11</f>
        <v>0.76446492805755406</v>
      </c>
      <c r="U12" s="79">
        <f>[11]Petroleum_prices!J11</f>
        <v>0.65764806866952796</v>
      </c>
      <c r="V12" s="79">
        <f>[11]Petroleum_prices!AA11</f>
        <v>0.69439655172413794</v>
      </c>
    </row>
    <row r="13" spans="4:22" x14ac:dyDescent="0.2">
      <c r="D13">
        <v>2012</v>
      </c>
      <c r="E13">
        <f>[12]Prices!$F$32</f>
        <v>66.040000000000006</v>
      </c>
      <c r="F13" s="13">
        <f t="shared" si="0"/>
        <v>1.6186274509803924</v>
      </c>
      <c r="G13" s="79">
        <f>(3.154/2.345)*G12</f>
        <v>3.0894405117270787</v>
      </c>
      <c r="H13" s="13">
        <f t="shared" si="0"/>
        <v>1.3449893390191896</v>
      </c>
      <c r="I13" s="79">
        <f>[12]Prices!$L$32</f>
        <v>3.2857116165718931</v>
      </c>
      <c r="J13" s="13">
        <f t="shared" si="2"/>
        <v>1.3993661058653719</v>
      </c>
      <c r="K13" s="79">
        <f>[12]Prices!$M$32</f>
        <v>2.6162101576182137</v>
      </c>
      <c r="L13" s="13">
        <f t="shared" si="2"/>
        <v>1.9013155215248647</v>
      </c>
      <c r="M13">
        <f>[12]Prices!$X$32</f>
        <v>3.88</v>
      </c>
      <c r="N13" s="13">
        <f t="shared" si="3"/>
        <v>0.50520833333333337</v>
      </c>
      <c r="O13" s="13">
        <f>(1.139/1.489)*O12</f>
        <v>1.4442122229684351</v>
      </c>
      <c r="P13" s="13">
        <f t="shared" si="3"/>
        <v>0.76494291470785758</v>
      </c>
      <c r="S13">
        <f t="shared" si="1"/>
        <v>1984</v>
      </c>
      <c r="T13" s="79">
        <f>[11]Petroleum_prices!E12</f>
        <v>0.74660071942446038</v>
      </c>
      <c r="U13" s="79">
        <f>[11]Petroleum_prices!J12</f>
        <v>0.66214020028612308</v>
      </c>
      <c r="V13" s="79">
        <f>[11]Petroleum_prices!AA12</f>
        <v>0.7329741379310345</v>
      </c>
    </row>
    <row r="14" spans="4:22" x14ac:dyDescent="0.2">
      <c r="D14">
        <v>2017</v>
      </c>
      <c r="E14">
        <f>[12]Prices!$F$37</f>
        <v>55.6</v>
      </c>
      <c r="F14" s="13">
        <f t="shared" si="0"/>
        <v>0.84191399152029067</v>
      </c>
      <c r="G14" s="79">
        <f>(1.976/3.154)*G13</f>
        <v>1.9355530916844348</v>
      </c>
      <c r="H14" s="13">
        <f t="shared" si="0"/>
        <v>0.62650602409638556</v>
      </c>
      <c r="I14" s="79">
        <f>[12]Prices!$L$37</f>
        <v>1.966730300568643</v>
      </c>
      <c r="J14" s="13">
        <f t="shared" si="2"/>
        <v>0.59857057772483602</v>
      </c>
      <c r="K14" s="79">
        <f>[12]Prices!$M$37</f>
        <v>1.2990210157618214</v>
      </c>
      <c r="L14" s="13">
        <f t="shared" si="2"/>
        <v>0.49652777777777779</v>
      </c>
      <c r="M14">
        <f>[12]Prices!$X$37</f>
        <v>4.08</v>
      </c>
      <c r="N14" s="13">
        <f t="shared" si="3"/>
        <v>1.0515463917525774</v>
      </c>
      <c r="O14" s="13">
        <f>(0.772/1.139)*O13</f>
        <v>0.9788690396239087</v>
      </c>
      <c r="P14" s="13">
        <f t="shared" si="3"/>
        <v>0.67778753292361726</v>
      </c>
      <c r="S14">
        <f t="shared" si="1"/>
        <v>1985</v>
      </c>
      <c r="T14" s="79">
        <f>[11]Petroleum_prices!E13</f>
        <v>0.74044064748201444</v>
      </c>
      <c r="U14" s="79">
        <f>[11]Petroleum_prices!J13</f>
        <v>0.6486638054363375</v>
      </c>
      <c r="V14" s="79">
        <f>[11]Petroleum_prices!AA13</f>
        <v>0.6635344827586207</v>
      </c>
    </row>
    <row r="15" spans="4:22" x14ac:dyDescent="0.2">
      <c r="S15">
        <f t="shared" si="1"/>
        <v>1986</v>
      </c>
      <c r="T15" s="79">
        <f>[11]Petroleum_prices!E14</f>
        <v>0.57103866906474821</v>
      </c>
      <c r="U15" s="79">
        <f>[11]Petroleum_prices!J14</f>
        <v>0.51030615164520743</v>
      </c>
      <c r="V15" s="79">
        <f>[11]Petroleum_prices!AA14</f>
        <v>0.3657155172413793</v>
      </c>
    </row>
    <row r="16" spans="4:22" x14ac:dyDescent="0.2">
      <c r="E16" s="60" t="s">
        <v>315</v>
      </c>
      <c r="S16">
        <f t="shared" si="1"/>
        <v>1987</v>
      </c>
      <c r="T16" s="79">
        <f>[11]Petroleum_prices!E15</f>
        <v>0.58397482014388491</v>
      </c>
      <c r="U16" s="79">
        <f>[11]Petroleum_prices!J15</f>
        <v>0.53636051502145921</v>
      </c>
      <c r="V16" s="79">
        <f>[11]Petroleum_prices!AA15</f>
        <v>0.44132758620689655</v>
      </c>
    </row>
    <row r="17" spans="4:22" x14ac:dyDescent="0.2">
      <c r="E17">
        <v>22.5</v>
      </c>
      <c r="G17">
        <v>5.23</v>
      </c>
      <c r="I17">
        <v>5.8250000000000002</v>
      </c>
      <c r="K17">
        <v>6.2869999999999999</v>
      </c>
      <c r="M17" s="60">
        <v>1.028</v>
      </c>
      <c r="O17">
        <v>3.8359999999999999</v>
      </c>
      <c r="S17">
        <f t="shared" si="1"/>
        <v>1988</v>
      </c>
      <c r="T17" s="79">
        <f>[11]Petroleum_prices!E16</f>
        <v>0.58274280575539572</v>
      </c>
      <c r="U17" s="79">
        <f>[11]Petroleum_prices!J16</f>
        <v>0.5237825464949929</v>
      </c>
      <c r="V17" s="79">
        <f>[11]Petroleum_prices!AA16</f>
        <v>0.36262931034482759</v>
      </c>
    </row>
    <row r="18" spans="4:22" x14ac:dyDescent="0.2">
      <c r="S18">
        <f t="shared" si="1"/>
        <v>1989</v>
      </c>
      <c r="T18" s="79">
        <f>[11]Petroleum_prices!E17</f>
        <v>0.62894334532374097</v>
      </c>
      <c r="U18" s="79">
        <f>[11]Petroleum_prices!J17</f>
        <v>0.57768812589413443</v>
      </c>
      <c r="V18" s="79">
        <f>[11]Petroleum_prices!AA17</f>
        <v>0.41972413793103452</v>
      </c>
    </row>
    <row r="19" spans="4:22" x14ac:dyDescent="0.2">
      <c r="D19" s="108" t="s">
        <v>417</v>
      </c>
      <c r="S19">
        <f t="shared" si="1"/>
        <v>1990</v>
      </c>
      <c r="T19" s="79">
        <f>[11]Petroleum_prices!E18</f>
        <v>0.71703237410071941</v>
      </c>
      <c r="U19" s="79">
        <f>[11]Petroleum_prices!J18</f>
        <v>0.68999141630901284</v>
      </c>
      <c r="V19" s="79">
        <f>[11]Petroleum_prices!AA18</f>
        <v>0.48916379310344826</v>
      </c>
    </row>
    <row r="20" spans="4:22" x14ac:dyDescent="0.2">
      <c r="D20">
        <f t="shared" ref="D20:D26" si="4">D6</f>
        <v>1977</v>
      </c>
      <c r="E20">
        <f t="shared" ref="E20:E28" si="5">E6/E$17</f>
        <v>0.9151111111111111</v>
      </c>
      <c r="G20" s="79">
        <f t="shared" ref="G20:G28" si="6">G6/G$17*42</f>
        <v>3.2451683013054184</v>
      </c>
      <c r="I20" s="79">
        <f t="shared" ref="I20:I28" si="7">I6/I$17*42</f>
        <v>2.0146342721361599</v>
      </c>
      <c r="K20" s="79">
        <f t="shared" ref="K20:K28" si="8">K6/K$17*42</f>
        <v>2.2060464121367027</v>
      </c>
      <c r="M20" s="79">
        <f t="shared" ref="M20:M28" si="9">M6/M$17</f>
        <v>1.4591439688715953</v>
      </c>
      <c r="O20" s="79">
        <f>O21/N7</f>
        <v>4.0166317630075437</v>
      </c>
      <c r="S20">
        <f t="shared" si="1"/>
        <v>1991</v>
      </c>
      <c r="T20" s="79">
        <f>[11]Petroleum_prices!E19</f>
        <v>0.70224820143884892</v>
      </c>
      <c r="U20" s="79">
        <f>[11]Petroleum_prices!J19</f>
        <v>0.65495278969957083</v>
      </c>
      <c r="V20" s="79">
        <f>[11]Petroleum_prices!AA19</f>
        <v>0.4042931034482759</v>
      </c>
    </row>
    <row r="21" spans="4:22" x14ac:dyDescent="0.2">
      <c r="D21">
        <f t="shared" si="4"/>
        <v>1982</v>
      </c>
      <c r="E21" s="79">
        <f t="shared" si="5"/>
        <v>1.4288888888888889</v>
      </c>
      <c r="G21" s="79">
        <f t="shared" si="6"/>
        <v>6.411186156237533</v>
      </c>
      <c r="I21" s="79">
        <f t="shared" si="7"/>
        <v>5.0398246421927091</v>
      </c>
      <c r="K21" s="79">
        <f t="shared" si="8"/>
        <v>4.7935120637549851</v>
      </c>
      <c r="M21" s="79">
        <f t="shared" si="9"/>
        <v>3.7645914396887159</v>
      </c>
      <c r="O21" s="79">
        <f>O22/N8</f>
        <v>10.362909948559462</v>
      </c>
      <c r="S21">
        <f t="shared" si="1"/>
        <v>1992</v>
      </c>
      <c r="T21" s="79">
        <f>[11]Petroleum_prices!E20</f>
        <v>0.69424010791366897</v>
      </c>
      <c r="U21" s="79">
        <f>[11]Petroleum_prices!J20</f>
        <v>0.63698426323319024</v>
      </c>
      <c r="V21" s="79">
        <f>[11]Petroleum_prices!AA20</f>
        <v>0.35182758620689653</v>
      </c>
    </row>
    <row r="22" spans="4:22" x14ac:dyDescent="0.2">
      <c r="D22">
        <f t="shared" si="4"/>
        <v>1987</v>
      </c>
      <c r="E22" s="79">
        <f t="shared" si="5"/>
        <v>1.2528888888888889</v>
      </c>
      <c r="G22" s="79">
        <f t="shared" si="6"/>
        <v>4.6896639476181958</v>
      </c>
      <c r="I22" s="79">
        <f t="shared" si="7"/>
        <v>3.8673204516568735</v>
      </c>
      <c r="K22" s="79">
        <f t="shared" si="8"/>
        <v>2.9482676349116681</v>
      </c>
      <c r="M22" s="79">
        <f t="shared" si="9"/>
        <v>2.8599221789883269</v>
      </c>
      <c r="O22" s="79">
        <f>O23/N9</f>
        <v>7.8725982554947853</v>
      </c>
      <c r="S22">
        <f t="shared" si="1"/>
        <v>1993</v>
      </c>
      <c r="T22" s="79">
        <f>[11]Petroleum_prices!E21</f>
        <v>0.68253597122302168</v>
      </c>
      <c r="U22" s="79">
        <f>[11]Petroleum_prices!J21</f>
        <v>0.6360858369098713</v>
      </c>
      <c r="V22" s="79">
        <f>[11]Petroleum_prices!AA21</f>
        <v>0.34874137931034482</v>
      </c>
    </row>
    <row r="23" spans="4:22" x14ac:dyDescent="0.2">
      <c r="D23">
        <f t="shared" si="4"/>
        <v>1992</v>
      </c>
      <c r="E23" s="79">
        <f t="shared" si="5"/>
        <v>1.1902222222222223</v>
      </c>
      <c r="G23" s="79">
        <f t="shared" si="6"/>
        <v>5.5751595664195213</v>
      </c>
      <c r="I23" s="79">
        <f t="shared" si="7"/>
        <v>4.5928479065740753</v>
      </c>
      <c r="K23" s="79">
        <f t="shared" si="8"/>
        <v>2.3503672054540568</v>
      </c>
      <c r="M23" s="79">
        <f t="shared" si="9"/>
        <v>2.7626459143968871</v>
      </c>
      <c r="O23" s="79">
        <f>O24/N10</f>
        <v>7.6048228046276156</v>
      </c>
      <c r="S23">
        <f t="shared" si="1"/>
        <v>1994</v>
      </c>
      <c r="T23" s="79">
        <f>[11]Petroleum_prices!E22</f>
        <v>0.68500000000000005</v>
      </c>
      <c r="U23" s="79">
        <f>[11]Petroleum_prices!J22</f>
        <v>0.628</v>
      </c>
      <c r="V23" s="79">
        <f>[11]Petroleum_prices!AA22</f>
        <v>0.35799999999999998</v>
      </c>
    </row>
    <row r="24" spans="4:22" x14ac:dyDescent="0.2">
      <c r="D24">
        <f t="shared" si="4"/>
        <v>1997</v>
      </c>
      <c r="E24" s="79">
        <f t="shared" si="5"/>
        <v>1.0951111111111111</v>
      </c>
      <c r="G24" s="79">
        <f t="shared" si="6"/>
        <v>6.3040152963671128</v>
      </c>
      <c r="I24" s="79">
        <f t="shared" si="7"/>
        <v>5.1481545064377681</v>
      </c>
      <c r="K24" s="79">
        <f t="shared" si="8"/>
        <v>2.8659137903610628</v>
      </c>
      <c r="M24" s="79">
        <f t="shared" si="9"/>
        <v>3.4922178988326844</v>
      </c>
      <c r="O24" s="79">
        <f>O10/O$17*42</f>
        <v>9.6131386861313874</v>
      </c>
      <c r="S24">
        <f t="shared" si="1"/>
        <v>1995</v>
      </c>
      <c r="T24" s="79">
        <f>[11]Petroleum_prices!E23</f>
        <v>0.71399999999999997</v>
      </c>
      <c r="U24" s="79">
        <f>[11]Petroleum_prices!J23</f>
        <v>0.63600000000000001</v>
      </c>
      <c r="V24" s="79">
        <f>[11]Petroleum_prices!AA23</f>
        <v>0.39700000000000002</v>
      </c>
    </row>
    <row r="25" spans="4:22" x14ac:dyDescent="0.2">
      <c r="D25">
        <f t="shared" si="4"/>
        <v>2002</v>
      </c>
      <c r="E25" s="79">
        <f t="shared" si="5"/>
        <v>1.1808888888888889</v>
      </c>
      <c r="G25" s="79">
        <f t="shared" si="6"/>
        <v>7.235564053537284</v>
      </c>
      <c r="I25" s="79">
        <f t="shared" si="7"/>
        <v>6.035021459227468</v>
      </c>
      <c r="K25" s="79">
        <f t="shared" si="8"/>
        <v>3.7477334181644668</v>
      </c>
      <c r="M25" s="79">
        <f t="shared" si="9"/>
        <v>3.9105058365758749</v>
      </c>
      <c r="O25" s="79">
        <f>O11/O$17*42</f>
        <v>10.489051094890511</v>
      </c>
      <c r="S25">
        <f t="shared" si="1"/>
        <v>1996</v>
      </c>
      <c r="T25" s="79">
        <f>[11]Petroleum_prices!E24</f>
        <v>0.80100000000000005</v>
      </c>
      <c r="U25" s="79">
        <f>[11]Petroleum_prices!J24</f>
        <v>0.75700000000000001</v>
      </c>
      <c r="V25" s="79">
        <f>[11]Petroleum_prices!AA24</f>
        <v>0.46400000000000002</v>
      </c>
    </row>
    <row r="26" spans="4:22" x14ac:dyDescent="0.2">
      <c r="D26">
        <f t="shared" si="4"/>
        <v>2007</v>
      </c>
      <c r="E26" s="79">
        <f t="shared" si="5"/>
        <v>1.8133333333333332</v>
      </c>
      <c r="G26" s="79">
        <f t="shared" si="6"/>
        <v>18.446271510516254</v>
      </c>
      <c r="I26" s="79">
        <f t="shared" si="7"/>
        <v>16.929785407725319</v>
      </c>
      <c r="K26" s="79">
        <f t="shared" si="8"/>
        <v>9.1923015746779058</v>
      </c>
      <c r="M26" s="79">
        <f t="shared" si="9"/>
        <v>7.4708171206225673</v>
      </c>
      <c r="O26" s="79">
        <f>O12/O$17*42</f>
        <v>20.67153284671533</v>
      </c>
      <c r="S26">
        <f t="shared" si="1"/>
        <v>1997</v>
      </c>
      <c r="T26" s="79">
        <f>[11]Petroleum_prices!E25</f>
        <v>0.78500000000000003</v>
      </c>
      <c r="U26" s="79">
        <f>[11]Petroleum_prices!J25</f>
        <v>0.71399999999999997</v>
      </c>
      <c r="V26" s="79">
        <f>[11]Petroleum_prices!AA25</f>
        <v>0.42899999999999999</v>
      </c>
    </row>
    <row r="27" spans="4:22" x14ac:dyDescent="0.2">
      <c r="D27">
        <v>2012</v>
      </c>
      <c r="E27" s="79">
        <f t="shared" si="5"/>
        <v>2.9351111111111114</v>
      </c>
      <c r="G27" s="79">
        <f t="shared" si="6"/>
        <v>24.810038526297763</v>
      </c>
      <c r="I27" s="79">
        <f t="shared" si="7"/>
        <v>23.690967879144978</v>
      </c>
      <c r="K27" s="79">
        <f t="shared" si="8"/>
        <v>17.477465662472557</v>
      </c>
      <c r="M27" s="79">
        <f t="shared" si="9"/>
        <v>3.7743190661478598</v>
      </c>
      <c r="O27" s="79">
        <f>O13/O$17*42</f>
        <v>15.812542587245639</v>
      </c>
      <c r="S27">
        <f t="shared" si="1"/>
        <v>1998</v>
      </c>
      <c r="T27" s="79">
        <f>[11]Petroleum_prices!E26</f>
        <v>0.61</v>
      </c>
      <c r="U27" s="79">
        <f>[11]Petroleum_prices!J26</f>
        <v>0.56200000000000006</v>
      </c>
      <c r="V27" s="79">
        <f>[11]Petroleum_prices!AA26</f>
        <v>0.311</v>
      </c>
    </row>
    <row r="28" spans="4:22" x14ac:dyDescent="0.2">
      <c r="D28">
        <v>2017</v>
      </c>
      <c r="E28" s="79">
        <f t="shared" si="5"/>
        <v>2.471111111111111</v>
      </c>
      <c r="G28" s="79">
        <f t="shared" si="6"/>
        <v>15.543638594788959</v>
      </c>
      <c r="I28" s="79">
        <f t="shared" si="7"/>
        <v>14.180716330280344</v>
      </c>
      <c r="K28" s="79">
        <f t="shared" si="8"/>
        <v>8.6780471865749167</v>
      </c>
      <c r="M28" s="79">
        <f t="shared" si="9"/>
        <v>3.9688715953307394</v>
      </c>
      <c r="O28" s="79">
        <f>O14/O$17*42</f>
        <v>10.717544229458856</v>
      </c>
      <c r="S28">
        <f t="shared" si="1"/>
        <v>1999</v>
      </c>
      <c r="T28" s="79">
        <f>[11]Petroleum_prices!E27</f>
        <v>0.70799999999999996</v>
      </c>
      <c r="U28" s="79">
        <f>[11]Petroleum_prices!J27</f>
        <v>0.65400000000000003</v>
      </c>
      <c r="V28" s="79">
        <f>[11]Petroleum_prices!AA27</f>
        <v>0.378</v>
      </c>
    </row>
    <row r="29" spans="4:22" x14ac:dyDescent="0.2">
      <c r="S29">
        <f t="shared" si="1"/>
        <v>2000</v>
      </c>
      <c r="T29" s="79">
        <f>[11]Petroleum_prices!E28</f>
        <v>1.044</v>
      </c>
      <c r="U29" s="79">
        <f>[11]Petroleum_prices!J28</f>
        <v>1.006</v>
      </c>
      <c r="V29" s="79">
        <f>[11]Petroleum_prices!AA28</f>
        <v>0.60899999999999999</v>
      </c>
    </row>
    <row r="30" spans="4:22" x14ac:dyDescent="0.2">
      <c r="D30" s="60" t="s">
        <v>316</v>
      </c>
      <c r="S30">
        <f t="shared" si="1"/>
        <v>2001</v>
      </c>
      <c r="T30" s="79">
        <f>[11]Petroleum_prices!E29</f>
        <v>0.96799999999999997</v>
      </c>
      <c r="U30" s="79">
        <f>[11]Petroleum_prices!J29</f>
        <v>0.91200000000000003</v>
      </c>
      <c r="V30" s="79">
        <f>[11]Petroleum_prices!AA29</f>
        <v>0.53300000000000003</v>
      </c>
    </row>
    <row r="31" spans="4:22" x14ac:dyDescent="0.2">
      <c r="S31">
        <f t="shared" si="1"/>
        <v>2002</v>
      </c>
      <c r="T31" s="79">
        <f>[11]Petroleum_prices!E30</f>
        <v>0.90100000000000002</v>
      </c>
      <c r="U31" s="79">
        <f>[11]Petroleum_prices!J30</f>
        <v>0.83699999999999997</v>
      </c>
      <c r="V31" s="79">
        <f>[11]Petroleum_prices!AA30</f>
        <v>0.56100000000000005</v>
      </c>
    </row>
    <row r="32" spans="4:22" x14ac:dyDescent="0.2">
      <c r="D32">
        <f t="shared" ref="D32:D38" si="10">D6</f>
        <v>1977</v>
      </c>
      <c r="E32" s="13">
        <f t="shared" ref="E32:E40" si="11">1/E20</f>
        <v>1.0927634774162214</v>
      </c>
      <c r="G32" s="13">
        <f t="shared" ref="G32:G40" si="12">1/G20</f>
        <v>0.30815042769822903</v>
      </c>
      <c r="I32" s="13">
        <f t="shared" ref="I32:I40" si="13">1/I20</f>
        <v>0.49636800774747003</v>
      </c>
      <c r="K32" s="13">
        <f t="shared" ref="K32:K40" si="14">1/K20</f>
        <v>0.45329961985316231</v>
      </c>
      <c r="M32" s="13">
        <f t="shared" ref="M32:M40" si="15">1/M20</f>
        <v>0.68533333333333335</v>
      </c>
      <c r="O32" s="13">
        <f t="shared" ref="O32:O40" si="16">1/O20</f>
        <v>0.24896481903315615</v>
      </c>
      <c r="S32">
        <f t="shared" si="1"/>
        <v>2003</v>
      </c>
      <c r="T32" s="79">
        <f>[11]Petroleum_prices!E31</f>
        <v>1.0820000000000001</v>
      </c>
      <c r="U32" s="79">
        <f>[11]Petroleum_prices!J31</f>
        <v>1.008</v>
      </c>
      <c r="V32" s="79">
        <f>[11]Petroleum_prices!AA31</f>
        <v>0.69599999999999995</v>
      </c>
    </row>
    <row r="33" spans="4:22" x14ac:dyDescent="0.2">
      <c r="D33">
        <f t="shared" si="10"/>
        <v>1982</v>
      </c>
      <c r="E33" s="13">
        <f t="shared" si="11"/>
        <v>0.69984447900466562</v>
      </c>
      <c r="G33" s="13">
        <f t="shared" si="12"/>
        <v>0.15597737698305422</v>
      </c>
      <c r="I33" s="13">
        <f t="shared" si="13"/>
        <v>0.1984196020687187</v>
      </c>
      <c r="K33" s="13">
        <f t="shared" si="14"/>
        <v>0.20861530892167041</v>
      </c>
      <c r="M33" s="13">
        <f t="shared" si="15"/>
        <v>0.2656330749354005</v>
      </c>
      <c r="O33" s="13">
        <f t="shared" si="16"/>
        <v>9.6497991873316341E-2</v>
      </c>
      <c r="S33">
        <f t="shared" si="1"/>
        <v>2004</v>
      </c>
      <c r="T33" s="79">
        <f>[11]Petroleum_prices!E32</f>
        <v>1.373</v>
      </c>
      <c r="U33" s="79">
        <f>[11]Petroleum_prices!J32</f>
        <v>1.3160000000000001</v>
      </c>
      <c r="V33" s="79">
        <f>[11]Petroleum_prices!AA32</f>
        <v>0.72499999999999998</v>
      </c>
    </row>
    <row r="34" spans="4:22" x14ac:dyDescent="0.2">
      <c r="D34">
        <f t="shared" si="10"/>
        <v>1987</v>
      </c>
      <c r="E34" s="13">
        <f t="shared" si="11"/>
        <v>0.79815537424618654</v>
      </c>
      <c r="G34" s="13">
        <f t="shared" si="12"/>
        <v>0.2132348951160741</v>
      </c>
      <c r="I34" s="13">
        <f t="shared" si="13"/>
        <v>0.25857696886007225</v>
      </c>
      <c r="K34" s="13">
        <f t="shared" si="14"/>
        <v>0.33918223303698158</v>
      </c>
      <c r="M34" s="13">
        <f t="shared" si="15"/>
        <v>0.34965986394557824</v>
      </c>
      <c r="O34" s="13">
        <f t="shared" si="16"/>
        <v>0.12702286685365111</v>
      </c>
      <c r="S34">
        <f t="shared" si="1"/>
        <v>2005</v>
      </c>
      <c r="T34" s="79">
        <f>[11]Petroleum_prices!E33</f>
        <v>1.7889999999999999</v>
      </c>
      <c r="U34" s="79">
        <f>[11]Petroleum_prices!J33</f>
        <v>1.8859999999999999</v>
      </c>
      <c r="V34" s="79">
        <f>[11]Petroleum_prices!AA33</f>
        <v>1.0409999999999999</v>
      </c>
    </row>
    <row r="35" spans="4:22" x14ac:dyDescent="0.2">
      <c r="D35">
        <f t="shared" si="10"/>
        <v>1992</v>
      </c>
      <c r="E35" s="13">
        <f t="shared" si="11"/>
        <v>0.84017923823749063</v>
      </c>
      <c r="G35" s="13">
        <f t="shared" si="12"/>
        <v>0.17936706350491416</v>
      </c>
      <c r="I35" s="13">
        <f t="shared" si="13"/>
        <v>0.21772983132505383</v>
      </c>
      <c r="K35" s="13">
        <f t="shared" si="14"/>
        <v>0.42546543266919629</v>
      </c>
      <c r="M35" s="13">
        <f t="shared" si="15"/>
        <v>0.36197183098591551</v>
      </c>
      <c r="O35" s="13">
        <f t="shared" si="16"/>
        <v>0.13149550301046981</v>
      </c>
      <c r="S35">
        <f t="shared" si="1"/>
        <v>2006</v>
      </c>
      <c r="T35" s="79">
        <f>[11]Petroleum_prices!E34</f>
        <v>2.073</v>
      </c>
      <c r="U35" s="79">
        <f>[11]Petroleum_prices!J34</f>
        <v>2.165</v>
      </c>
      <c r="V35" s="79">
        <f>[11]Petroleum_prices!AA34</f>
        <v>1.212</v>
      </c>
    </row>
    <row r="36" spans="4:22" x14ac:dyDescent="0.2">
      <c r="D36">
        <f t="shared" si="10"/>
        <v>1997</v>
      </c>
      <c r="E36" s="13">
        <f t="shared" si="11"/>
        <v>0.91314935064935066</v>
      </c>
      <c r="G36" s="13">
        <f t="shared" si="12"/>
        <v>0.15862905671822869</v>
      </c>
      <c r="I36" s="13">
        <f t="shared" si="13"/>
        <v>0.19424436441243165</v>
      </c>
      <c r="K36" s="13">
        <f t="shared" si="14"/>
        <v>0.3489288489288489</v>
      </c>
      <c r="M36" s="13">
        <f t="shared" si="15"/>
        <v>0.28635097493036216</v>
      </c>
      <c r="O36" s="13">
        <f t="shared" si="16"/>
        <v>0.10402429764616553</v>
      </c>
      <c r="S36">
        <f t="shared" si="1"/>
        <v>2007</v>
      </c>
      <c r="T36" s="79">
        <f>[11]Petroleum_prices!E35</f>
        <v>2.2970000000000002</v>
      </c>
      <c r="U36" s="79">
        <f>[11]Petroleum_prices!J35</f>
        <v>2.3479999999999999</v>
      </c>
      <c r="V36" s="79">
        <f>[11]Petroleum_prices!AA35</f>
        <v>1.3759999999999999</v>
      </c>
    </row>
    <row r="37" spans="4:22" x14ac:dyDescent="0.2">
      <c r="D37">
        <f t="shared" si="10"/>
        <v>2002</v>
      </c>
      <c r="E37" s="13">
        <f t="shared" si="11"/>
        <v>0.84681972149040274</v>
      </c>
      <c r="G37" s="13">
        <f t="shared" si="12"/>
        <v>0.13820622588658107</v>
      </c>
      <c r="I37" s="13">
        <f t="shared" si="13"/>
        <v>0.1656994936564829</v>
      </c>
      <c r="K37" s="13">
        <f t="shared" si="14"/>
        <v>0.26682794329853149</v>
      </c>
      <c r="M37" s="13">
        <f t="shared" si="15"/>
        <v>0.25572139303482588</v>
      </c>
      <c r="O37" s="13">
        <f t="shared" si="16"/>
        <v>9.5337508698677798E-2</v>
      </c>
      <c r="S37">
        <f t="shared" si="1"/>
        <v>2008</v>
      </c>
      <c r="T37" s="79">
        <f>[11]Petroleum_prices!E36</f>
        <v>2.7309999999999999</v>
      </c>
      <c r="U37" s="79">
        <f>[11]Petroleum_prices!J36</f>
        <v>3.23</v>
      </c>
      <c r="V37" s="79">
        <f>[11]Petroleum_prices!AA36</f>
        <v>1.944</v>
      </c>
    </row>
    <row r="38" spans="4:22" x14ac:dyDescent="0.2">
      <c r="D38">
        <f t="shared" si="10"/>
        <v>2007</v>
      </c>
      <c r="E38" s="13">
        <f t="shared" si="11"/>
        <v>0.55147058823529416</v>
      </c>
      <c r="G38" s="13">
        <f t="shared" si="12"/>
        <v>5.421149739826274E-2</v>
      </c>
      <c r="I38" s="13">
        <f t="shared" si="13"/>
        <v>5.9067494118601453E-2</v>
      </c>
      <c r="K38" s="13">
        <f t="shared" si="14"/>
        <v>0.10878668327796236</v>
      </c>
      <c r="M38" s="13">
        <f t="shared" si="15"/>
        <v>0.13385416666666669</v>
      </c>
      <c r="O38" s="13">
        <f t="shared" si="16"/>
        <v>4.8375706214689264E-2</v>
      </c>
      <c r="S38">
        <f t="shared" si="1"/>
        <v>2009</v>
      </c>
      <c r="T38" s="79">
        <f>[11]Petroleum_prices!E37</f>
        <v>1.8420000000000001</v>
      </c>
      <c r="U38" s="79">
        <f>[11]Petroleum_prices!J37</f>
        <v>1.9179999999999999</v>
      </c>
      <c r="V38" s="79">
        <f>[11]Petroleum_prices!AA37</f>
        <v>1.34</v>
      </c>
    </row>
    <row r="39" spans="4:22" x14ac:dyDescent="0.2">
      <c r="D39">
        <v>2012</v>
      </c>
      <c r="E39" s="13">
        <f t="shared" si="11"/>
        <v>0.34070260448213202</v>
      </c>
      <c r="G39" s="13">
        <f t="shared" si="12"/>
        <v>4.0306265503781274E-2</v>
      </c>
      <c r="I39" s="13">
        <f t="shared" si="13"/>
        <v>4.2210179216877593E-2</v>
      </c>
      <c r="K39" s="13">
        <f t="shared" si="14"/>
        <v>5.7216533524490923E-2</v>
      </c>
      <c r="M39" s="13">
        <f t="shared" si="15"/>
        <v>0.26494845360824743</v>
      </c>
      <c r="O39" s="13">
        <f t="shared" si="16"/>
        <v>6.3240936394795721E-2</v>
      </c>
      <c r="S39">
        <f t="shared" si="1"/>
        <v>2010</v>
      </c>
      <c r="T39" s="79">
        <f>[11]Petroleum_prices!E38</f>
        <v>2.2669999999999999</v>
      </c>
      <c r="U39" s="79">
        <f>[11]Petroleum_prices!J38</f>
        <v>2.415</v>
      </c>
      <c r="V39" s="79">
        <f>[11]Petroleum_prices!AA38</f>
        <v>1.7290000000000001</v>
      </c>
    </row>
    <row r="40" spans="4:22" x14ac:dyDescent="0.2">
      <c r="D40">
        <v>2017</v>
      </c>
      <c r="E40" s="13">
        <f t="shared" si="11"/>
        <v>0.40467625899280579</v>
      </c>
      <c r="G40" s="13">
        <f t="shared" si="12"/>
        <v>6.4335000707958584E-2</v>
      </c>
      <c r="I40" s="13">
        <f t="shared" si="13"/>
        <v>7.0518299408097007E-2</v>
      </c>
      <c r="K40" s="13">
        <f t="shared" si="14"/>
        <v>0.1152332982870866</v>
      </c>
      <c r="M40" s="13">
        <f t="shared" si="15"/>
        <v>0.25196078431372548</v>
      </c>
      <c r="O40" s="13">
        <f t="shared" si="16"/>
        <v>9.3304956675741332E-2</v>
      </c>
    </row>
  </sheetData>
  <pageMargins left="0.7" right="0.7" top="0.75" bottom="0.75" header="0.3" footer="0.3"/>
  <pageSetup orientation="portrait" verticalDpi="0"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84"/>
  <sheetViews>
    <sheetView showGridLines="0" topLeftCell="A38" workbookViewId="0">
      <selection activeCell="D66" sqref="D66"/>
    </sheetView>
  </sheetViews>
  <sheetFormatPr defaultColWidth="9.140625" defaultRowHeight="15" x14ac:dyDescent="0.25"/>
  <cols>
    <col min="1" max="1" width="6.85546875" style="65" customWidth="1"/>
    <col min="2" max="2" width="8" style="65" customWidth="1"/>
    <col min="3" max="3" width="3.85546875" style="65" customWidth="1"/>
    <col min="4" max="4" width="6.85546875" style="65" customWidth="1"/>
    <col min="5" max="5" width="3.42578125" style="65" customWidth="1"/>
    <col min="6" max="6" width="8" style="65" customWidth="1"/>
    <col min="7" max="7" width="3.85546875" style="65" customWidth="1"/>
    <col min="8" max="8" width="8" style="65" customWidth="1"/>
    <col min="9" max="9" width="3.85546875" style="65" customWidth="1"/>
    <col min="10" max="10" width="8" style="65" customWidth="1"/>
    <col min="11" max="11" width="4.140625" style="65" customWidth="1"/>
    <col min="12" max="12" width="7.5703125" style="65" customWidth="1"/>
    <col min="13" max="13" width="3.5703125" style="65" customWidth="1"/>
    <col min="14" max="14" width="8.7109375" style="65" customWidth="1"/>
    <col min="15" max="15" width="4.140625" style="65" customWidth="1"/>
    <col min="16" max="16" width="7.5703125" style="65" customWidth="1"/>
    <col min="17" max="17" width="3.5703125" style="65" customWidth="1"/>
    <col min="18" max="18" width="8.7109375" style="65" customWidth="1"/>
    <col min="19" max="19" width="4.140625" style="65" customWidth="1"/>
    <col min="20" max="20" width="7.5703125" style="65" customWidth="1"/>
    <col min="21" max="21" width="3.5703125" style="65" customWidth="1"/>
    <col min="22" max="16384" width="9.140625" style="65"/>
  </cols>
  <sheetData>
    <row r="1" spans="1:21" ht="15.75" customHeight="1" x14ac:dyDescent="0.25">
      <c r="A1" s="260" t="s">
        <v>174</v>
      </c>
      <c r="B1" s="261"/>
      <c r="C1" s="261"/>
      <c r="D1" s="261"/>
      <c r="E1" s="261"/>
      <c r="F1" s="261"/>
      <c r="G1" s="261"/>
      <c r="H1" s="261"/>
      <c r="I1" s="261"/>
      <c r="J1" s="261"/>
      <c r="K1" s="261"/>
      <c r="L1" s="261"/>
      <c r="M1" s="261"/>
      <c r="N1" s="261"/>
      <c r="O1" s="261"/>
      <c r="P1" s="261"/>
      <c r="Q1" s="261"/>
      <c r="R1" s="261"/>
      <c r="S1" s="261"/>
      <c r="T1" s="261"/>
      <c r="U1" s="262"/>
    </row>
    <row r="2" spans="1:21" x14ac:dyDescent="0.25">
      <c r="A2" s="263" t="s">
        <v>175</v>
      </c>
      <c r="B2" s="264"/>
      <c r="C2" s="264"/>
      <c r="D2" s="264"/>
      <c r="E2" s="264"/>
      <c r="F2" s="264"/>
      <c r="G2" s="264"/>
      <c r="H2" s="264"/>
      <c r="I2" s="264"/>
      <c r="J2" s="264"/>
      <c r="K2" s="264"/>
      <c r="L2" s="264"/>
      <c r="M2" s="264"/>
      <c r="N2" s="264"/>
      <c r="O2" s="264"/>
      <c r="P2" s="264"/>
      <c r="Q2" s="264"/>
      <c r="R2" s="264"/>
      <c r="S2" s="264"/>
      <c r="T2" s="264"/>
      <c r="U2" s="265"/>
    </row>
    <row r="3" spans="1:21" x14ac:dyDescent="0.25">
      <c r="A3" s="266" t="s">
        <v>176</v>
      </c>
      <c r="B3" s="258" t="s">
        <v>177</v>
      </c>
      <c r="C3" s="268"/>
      <c r="D3" s="268"/>
      <c r="E3" s="259"/>
      <c r="F3" s="258" t="s">
        <v>178</v>
      </c>
      <c r="G3" s="268"/>
      <c r="H3" s="268"/>
      <c r="I3" s="259"/>
      <c r="J3" s="258" t="s">
        <v>179</v>
      </c>
      <c r="K3" s="268"/>
      <c r="L3" s="268"/>
      <c r="M3" s="259"/>
      <c r="N3" s="258" t="s">
        <v>16</v>
      </c>
      <c r="O3" s="268"/>
      <c r="P3" s="268"/>
      <c r="Q3" s="259"/>
      <c r="R3" s="258" t="s">
        <v>57</v>
      </c>
      <c r="S3" s="268"/>
      <c r="T3" s="268"/>
      <c r="U3" s="259"/>
    </row>
    <row r="4" spans="1:21" x14ac:dyDescent="0.25">
      <c r="A4" s="267"/>
      <c r="B4" s="258" t="s">
        <v>180</v>
      </c>
      <c r="C4" s="259"/>
      <c r="D4" s="258" t="s">
        <v>181</v>
      </c>
      <c r="E4" s="259"/>
      <c r="F4" s="258" t="s">
        <v>180</v>
      </c>
      <c r="G4" s="259"/>
      <c r="H4" s="258" t="s">
        <v>181</v>
      </c>
      <c r="I4" s="259"/>
      <c r="J4" s="258" t="s">
        <v>180</v>
      </c>
      <c r="K4" s="259"/>
      <c r="L4" s="258" t="s">
        <v>181</v>
      </c>
      <c r="M4" s="259"/>
      <c r="N4" s="258" t="s">
        <v>180</v>
      </c>
      <c r="O4" s="259"/>
      <c r="P4" s="258" t="s">
        <v>181</v>
      </c>
      <c r="Q4" s="259"/>
      <c r="R4" s="258" t="s">
        <v>180</v>
      </c>
      <c r="S4" s="259"/>
      <c r="T4" s="258" t="s">
        <v>181</v>
      </c>
      <c r="U4" s="259"/>
    </row>
    <row r="5" spans="1:21" x14ac:dyDescent="0.25">
      <c r="A5" s="69">
        <v>1949</v>
      </c>
      <c r="B5" s="77">
        <v>4.9000000000000004</v>
      </c>
      <c r="C5" s="76" t="s">
        <v>182</v>
      </c>
      <c r="D5" s="77">
        <v>33.83</v>
      </c>
      <c r="E5" s="76" t="s">
        <v>182</v>
      </c>
      <c r="F5" s="74"/>
      <c r="G5" s="76" t="s">
        <v>182</v>
      </c>
      <c r="H5" s="74"/>
      <c r="I5" s="76" t="s">
        <v>182</v>
      </c>
      <c r="J5" s="77">
        <v>2.37</v>
      </c>
      <c r="K5" s="75"/>
      <c r="L5" s="77">
        <v>16.36</v>
      </c>
      <c r="M5" s="75"/>
      <c r="N5" s="77">
        <v>8.9</v>
      </c>
      <c r="O5" s="75"/>
      <c r="P5" s="77">
        <v>61.44</v>
      </c>
      <c r="Q5" s="75"/>
      <c r="R5" s="77">
        <v>5.24</v>
      </c>
      <c r="S5" s="75"/>
      <c r="T5" s="77">
        <v>36.17</v>
      </c>
      <c r="U5" s="75"/>
    </row>
    <row r="6" spans="1:21" x14ac:dyDescent="0.25">
      <c r="A6" s="69">
        <v>1950</v>
      </c>
      <c r="B6" s="77">
        <v>4.8600000000000003</v>
      </c>
      <c r="C6" s="76" t="s">
        <v>182</v>
      </c>
      <c r="D6" s="77">
        <v>33.19</v>
      </c>
      <c r="E6" s="76" t="s">
        <v>182</v>
      </c>
      <c r="F6" s="74"/>
      <c r="G6" s="76" t="s">
        <v>182</v>
      </c>
      <c r="H6" s="74"/>
      <c r="I6" s="76" t="s">
        <v>182</v>
      </c>
      <c r="J6" s="77">
        <v>2.41</v>
      </c>
      <c r="K6" s="75"/>
      <c r="L6" s="77">
        <v>16.46</v>
      </c>
      <c r="M6" s="75"/>
      <c r="N6" s="77">
        <v>9.34</v>
      </c>
      <c r="O6" s="75"/>
      <c r="P6" s="77">
        <v>63.78</v>
      </c>
      <c r="Q6" s="75"/>
      <c r="R6" s="77">
        <v>5.19</v>
      </c>
      <c r="S6" s="75"/>
      <c r="T6" s="77">
        <v>35.44</v>
      </c>
      <c r="U6" s="75"/>
    </row>
    <row r="7" spans="1:21" x14ac:dyDescent="0.25">
      <c r="A7" s="73">
        <v>1951</v>
      </c>
      <c r="B7" s="72">
        <v>4.9400000000000004</v>
      </c>
      <c r="C7" s="71" t="s">
        <v>182</v>
      </c>
      <c r="D7" s="72">
        <v>31.47</v>
      </c>
      <c r="E7" s="71" t="s">
        <v>182</v>
      </c>
      <c r="F7" s="68"/>
      <c r="G7" s="71" t="s">
        <v>182</v>
      </c>
      <c r="H7" s="68"/>
      <c r="I7" s="71" t="s">
        <v>182</v>
      </c>
      <c r="J7" s="72">
        <v>2.44</v>
      </c>
      <c r="K7" s="70"/>
      <c r="L7" s="72">
        <v>15.54</v>
      </c>
      <c r="M7" s="70"/>
      <c r="N7" s="72">
        <v>9.94</v>
      </c>
      <c r="O7" s="70"/>
      <c r="P7" s="72">
        <v>63.32</v>
      </c>
      <c r="Q7" s="70"/>
      <c r="R7" s="72">
        <v>5.29</v>
      </c>
      <c r="S7" s="70"/>
      <c r="T7" s="72">
        <v>33.700000000000003</v>
      </c>
      <c r="U7" s="70"/>
    </row>
    <row r="8" spans="1:21" x14ac:dyDescent="0.25">
      <c r="A8" s="69">
        <v>1952</v>
      </c>
      <c r="B8" s="77">
        <v>4.92</v>
      </c>
      <c r="C8" s="76" t="s">
        <v>182</v>
      </c>
      <c r="D8" s="77">
        <v>30.81</v>
      </c>
      <c r="E8" s="76" t="s">
        <v>182</v>
      </c>
      <c r="F8" s="74"/>
      <c r="G8" s="76" t="s">
        <v>182</v>
      </c>
      <c r="H8" s="74"/>
      <c r="I8" s="76" t="s">
        <v>182</v>
      </c>
      <c r="J8" s="77">
        <v>2.39</v>
      </c>
      <c r="K8" s="75"/>
      <c r="L8" s="77">
        <v>14.97</v>
      </c>
      <c r="M8" s="75"/>
      <c r="N8" s="77">
        <v>9.58</v>
      </c>
      <c r="O8" s="75"/>
      <c r="P8" s="77">
        <v>59.99</v>
      </c>
      <c r="Q8" s="75"/>
      <c r="R8" s="77">
        <v>5.27</v>
      </c>
      <c r="S8" s="75"/>
      <c r="T8" s="77">
        <v>33</v>
      </c>
      <c r="U8" s="75"/>
    </row>
    <row r="9" spans="1:21" x14ac:dyDescent="0.25">
      <c r="A9" s="69">
        <v>1953</v>
      </c>
      <c r="B9" s="77">
        <v>4.9400000000000004</v>
      </c>
      <c r="C9" s="76" t="s">
        <v>182</v>
      </c>
      <c r="D9" s="77">
        <v>30.57</v>
      </c>
      <c r="E9" s="76" t="s">
        <v>182</v>
      </c>
      <c r="F9" s="74"/>
      <c r="G9" s="76" t="s">
        <v>182</v>
      </c>
      <c r="H9" s="74"/>
      <c r="I9" s="76" t="s">
        <v>182</v>
      </c>
      <c r="J9" s="77">
        <v>2.38</v>
      </c>
      <c r="K9" s="75"/>
      <c r="L9" s="77">
        <v>14.73</v>
      </c>
      <c r="M9" s="75"/>
      <c r="N9" s="77">
        <v>9.8699999999999992</v>
      </c>
      <c r="O9" s="75"/>
      <c r="P9" s="77">
        <v>61.07</v>
      </c>
      <c r="Q9" s="75"/>
      <c r="R9" s="77">
        <v>5.23</v>
      </c>
      <c r="S9" s="75"/>
      <c r="T9" s="77">
        <v>32.36</v>
      </c>
      <c r="U9" s="75"/>
    </row>
    <row r="10" spans="1:21" x14ac:dyDescent="0.25">
      <c r="A10" s="73">
        <v>1954</v>
      </c>
      <c r="B10" s="72">
        <v>4.54</v>
      </c>
      <c r="C10" s="71" t="s">
        <v>182</v>
      </c>
      <c r="D10" s="72">
        <v>27.84</v>
      </c>
      <c r="E10" s="71" t="s">
        <v>182</v>
      </c>
      <c r="F10" s="68"/>
      <c r="G10" s="71" t="s">
        <v>182</v>
      </c>
      <c r="H10" s="68"/>
      <c r="I10" s="71" t="s">
        <v>182</v>
      </c>
      <c r="J10" s="72">
        <v>2.4300000000000002</v>
      </c>
      <c r="K10" s="70"/>
      <c r="L10" s="72">
        <v>14.9</v>
      </c>
      <c r="M10" s="70"/>
      <c r="N10" s="72">
        <v>8.76</v>
      </c>
      <c r="O10" s="70"/>
      <c r="P10" s="72">
        <v>53.72</v>
      </c>
      <c r="Q10" s="70"/>
      <c r="R10" s="72">
        <v>4.8099999999999996</v>
      </c>
      <c r="S10" s="70"/>
      <c r="T10" s="72">
        <v>29.49</v>
      </c>
      <c r="U10" s="70"/>
    </row>
    <row r="11" spans="1:21" x14ac:dyDescent="0.25">
      <c r="A11" s="69">
        <v>1955</v>
      </c>
      <c r="B11" s="77">
        <v>4.51</v>
      </c>
      <c r="C11" s="76" t="s">
        <v>182</v>
      </c>
      <c r="D11" s="77">
        <v>27.19</v>
      </c>
      <c r="E11" s="76" t="s">
        <v>182</v>
      </c>
      <c r="F11" s="74"/>
      <c r="G11" s="76" t="s">
        <v>182</v>
      </c>
      <c r="H11" s="74"/>
      <c r="I11" s="76" t="s">
        <v>182</v>
      </c>
      <c r="J11" s="77">
        <v>2.38</v>
      </c>
      <c r="K11" s="75"/>
      <c r="L11" s="77">
        <v>14.35</v>
      </c>
      <c r="M11" s="75"/>
      <c r="N11" s="77">
        <v>8</v>
      </c>
      <c r="O11" s="75"/>
      <c r="P11" s="77">
        <v>48.23</v>
      </c>
      <c r="Q11" s="75"/>
      <c r="R11" s="77">
        <v>4.6900000000000004</v>
      </c>
      <c r="S11" s="75"/>
      <c r="T11" s="77">
        <v>28.28</v>
      </c>
      <c r="U11" s="75"/>
    </row>
    <row r="12" spans="1:21" x14ac:dyDescent="0.25">
      <c r="A12" s="69">
        <v>1956</v>
      </c>
      <c r="B12" s="77">
        <v>4.83</v>
      </c>
      <c r="C12" s="76" t="s">
        <v>182</v>
      </c>
      <c r="D12" s="77">
        <v>28.15</v>
      </c>
      <c r="E12" s="76" t="s">
        <v>182</v>
      </c>
      <c r="F12" s="74"/>
      <c r="G12" s="76" t="s">
        <v>182</v>
      </c>
      <c r="H12" s="74"/>
      <c r="I12" s="76" t="s">
        <v>182</v>
      </c>
      <c r="J12" s="77">
        <v>2.39</v>
      </c>
      <c r="K12" s="75"/>
      <c r="L12" s="77">
        <v>13.93</v>
      </c>
      <c r="M12" s="75"/>
      <c r="N12" s="77">
        <v>8.33</v>
      </c>
      <c r="O12" s="75"/>
      <c r="P12" s="77">
        <v>48.55</v>
      </c>
      <c r="Q12" s="75"/>
      <c r="R12" s="77">
        <v>5.01</v>
      </c>
      <c r="S12" s="75"/>
      <c r="T12" s="77">
        <v>29.2</v>
      </c>
      <c r="U12" s="75"/>
    </row>
    <row r="13" spans="1:21" x14ac:dyDescent="0.25">
      <c r="A13" s="73">
        <v>1957</v>
      </c>
      <c r="B13" s="72">
        <v>5.09</v>
      </c>
      <c r="C13" s="71" t="s">
        <v>182</v>
      </c>
      <c r="D13" s="72">
        <v>28.71</v>
      </c>
      <c r="E13" s="71" t="s">
        <v>182</v>
      </c>
      <c r="F13" s="68"/>
      <c r="G13" s="71" t="s">
        <v>182</v>
      </c>
      <c r="H13" s="68"/>
      <c r="I13" s="71" t="s">
        <v>182</v>
      </c>
      <c r="J13" s="72">
        <v>2.35</v>
      </c>
      <c r="K13" s="70"/>
      <c r="L13" s="72">
        <v>13.26</v>
      </c>
      <c r="M13" s="70"/>
      <c r="N13" s="72">
        <v>9.11</v>
      </c>
      <c r="O13" s="70"/>
      <c r="P13" s="72">
        <v>51.39</v>
      </c>
      <c r="Q13" s="70"/>
      <c r="R13" s="72">
        <v>5.28</v>
      </c>
      <c r="S13" s="70"/>
      <c r="T13" s="72">
        <v>29.79</v>
      </c>
      <c r="U13" s="70"/>
    </row>
    <row r="14" spans="1:21" x14ac:dyDescent="0.25">
      <c r="A14" s="69">
        <v>1958</v>
      </c>
      <c r="B14" s="77">
        <v>4.87</v>
      </c>
      <c r="C14" s="76" t="s">
        <v>182</v>
      </c>
      <c r="D14" s="77">
        <v>26.87</v>
      </c>
      <c r="E14" s="76" t="s">
        <v>182</v>
      </c>
      <c r="F14" s="74"/>
      <c r="G14" s="76" t="s">
        <v>182</v>
      </c>
      <c r="H14" s="74"/>
      <c r="I14" s="76" t="s">
        <v>182</v>
      </c>
      <c r="J14" s="77">
        <v>2.35</v>
      </c>
      <c r="K14" s="75"/>
      <c r="L14" s="77">
        <v>12.97</v>
      </c>
      <c r="M14" s="75"/>
      <c r="N14" s="77">
        <v>9.14</v>
      </c>
      <c r="O14" s="75"/>
      <c r="P14" s="77">
        <v>50.43</v>
      </c>
      <c r="Q14" s="75"/>
      <c r="R14" s="77">
        <v>5.07</v>
      </c>
      <c r="S14" s="75"/>
      <c r="T14" s="77">
        <v>27.97</v>
      </c>
      <c r="U14" s="75"/>
    </row>
    <row r="15" spans="1:21" x14ac:dyDescent="0.25">
      <c r="A15" s="69">
        <v>1959</v>
      </c>
      <c r="B15" s="77">
        <v>4.79</v>
      </c>
      <c r="C15" s="76" t="s">
        <v>182</v>
      </c>
      <c r="D15" s="77">
        <v>26.12</v>
      </c>
      <c r="E15" s="76" t="s">
        <v>182</v>
      </c>
      <c r="F15" s="74"/>
      <c r="G15" s="76" t="s">
        <v>182</v>
      </c>
      <c r="H15" s="74"/>
      <c r="I15" s="76" t="s">
        <v>182</v>
      </c>
      <c r="J15" s="77">
        <v>2.25</v>
      </c>
      <c r="K15" s="75"/>
      <c r="L15" s="77">
        <v>12.27</v>
      </c>
      <c r="M15" s="75"/>
      <c r="N15" s="77">
        <v>8.5500000000000007</v>
      </c>
      <c r="O15" s="75"/>
      <c r="P15" s="77">
        <v>46.62</v>
      </c>
      <c r="Q15" s="75"/>
      <c r="R15" s="77">
        <v>4.95</v>
      </c>
      <c r="S15" s="75"/>
      <c r="T15" s="77">
        <v>26.99</v>
      </c>
      <c r="U15" s="75"/>
    </row>
    <row r="16" spans="1:21" x14ac:dyDescent="0.25">
      <c r="A16" s="73">
        <v>1960</v>
      </c>
      <c r="B16" s="72">
        <v>4.71</v>
      </c>
      <c r="C16" s="71" t="s">
        <v>182</v>
      </c>
      <c r="D16" s="72">
        <v>25.33</v>
      </c>
      <c r="E16" s="71" t="s">
        <v>182</v>
      </c>
      <c r="F16" s="68"/>
      <c r="G16" s="71" t="s">
        <v>182</v>
      </c>
      <c r="H16" s="68"/>
      <c r="I16" s="71" t="s">
        <v>182</v>
      </c>
      <c r="J16" s="72">
        <v>2.29</v>
      </c>
      <c r="K16" s="70"/>
      <c r="L16" s="72">
        <v>12.31</v>
      </c>
      <c r="M16" s="70"/>
      <c r="N16" s="72">
        <v>8.01</v>
      </c>
      <c r="O16" s="70"/>
      <c r="P16" s="72">
        <v>43.07</v>
      </c>
      <c r="Q16" s="70"/>
      <c r="R16" s="72">
        <v>4.83</v>
      </c>
      <c r="S16" s="70"/>
      <c r="T16" s="72">
        <v>25.97</v>
      </c>
      <c r="U16" s="70"/>
    </row>
    <row r="17" spans="1:21" x14ac:dyDescent="0.25">
      <c r="A17" s="69">
        <v>1961</v>
      </c>
      <c r="B17" s="77">
        <v>4.5999999999999996</v>
      </c>
      <c r="C17" s="76" t="s">
        <v>182</v>
      </c>
      <c r="D17" s="77">
        <v>24.46</v>
      </c>
      <c r="E17" s="76" t="s">
        <v>182</v>
      </c>
      <c r="F17" s="74"/>
      <c r="G17" s="76" t="s">
        <v>182</v>
      </c>
      <c r="H17" s="74"/>
      <c r="I17" s="76" t="s">
        <v>182</v>
      </c>
      <c r="J17" s="77">
        <v>2.2400000000000002</v>
      </c>
      <c r="K17" s="75"/>
      <c r="L17" s="77">
        <v>11.91</v>
      </c>
      <c r="M17" s="75"/>
      <c r="N17" s="77">
        <v>8.26</v>
      </c>
      <c r="O17" s="75"/>
      <c r="P17" s="77">
        <v>43.92</v>
      </c>
      <c r="Q17" s="75"/>
      <c r="R17" s="77">
        <v>4.7300000000000004</v>
      </c>
      <c r="S17" s="75"/>
      <c r="T17" s="77">
        <v>25.15</v>
      </c>
      <c r="U17" s="75"/>
    </row>
    <row r="18" spans="1:21" x14ac:dyDescent="0.25">
      <c r="A18" s="69">
        <v>1962</v>
      </c>
      <c r="B18" s="77">
        <v>4.5</v>
      </c>
      <c r="C18" s="76" t="s">
        <v>182</v>
      </c>
      <c r="D18" s="77">
        <v>23.61</v>
      </c>
      <c r="E18" s="76" t="s">
        <v>182</v>
      </c>
      <c r="F18" s="74"/>
      <c r="G18" s="76" t="s">
        <v>182</v>
      </c>
      <c r="H18" s="74"/>
      <c r="I18" s="76" t="s">
        <v>182</v>
      </c>
      <c r="J18" s="77">
        <v>2.23</v>
      </c>
      <c r="K18" s="75"/>
      <c r="L18" s="77">
        <v>11.7</v>
      </c>
      <c r="M18" s="75"/>
      <c r="N18" s="77">
        <v>7.99</v>
      </c>
      <c r="O18" s="75"/>
      <c r="P18" s="77">
        <v>41.92</v>
      </c>
      <c r="Q18" s="75"/>
      <c r="R18" s="77">
        <v>4.62</v>
      </c>
      <c r="S18" s="75"/>
      <c r="T18" s="77">
        <v>24.24</v>
      </c>
      <c r="U18" s="75"/>
    </row>
    <row r="19" spans="1:21" x14ac:dyDescent="0.25">
      <c r="A19" s="73">
        <v>1963</v>
      </c>
      <c r="B19" s="72">
        <v>4.4000000000000004</v>
      </c>
      <c r="C19" s="71" t="s">
        <v>182</v>
      </c>
      <c r="D19" s="72">
        <v>22.84</v>
      </c>
      <c r="E19" s="71" t="s">
        <v>182</v>
      </c>
      <c r="F19" s="68"/>
      <c r="G19" s="71" t="s">
        <v>182</v>
      </c>
      <c r="H19" s="68"/>
      <c r="I19" s="71" t="s">
        <v>182</v>
      </c>
      <c r="J19" s="72">
        <v>2.17</v>
      </c>
      <c r="K19" s="70"/>
      <c r="L19" s="72">
        <v>11.26</v>
      </c>
      <c r="M19" s="70"/>
      <c r="N19" s="72">
        <v>8.64</v>
      </c>
      <c r="O19" s="70"/>
      <c r="P19" s="72">
        <v>44.85</v>
      </c>
      <c r="Q19" s="70"/>
      <c r="R19" s="72">
        <v>4.55</v>
      </c>
      <c r="S19" s="70"/>
      <c r="T19" s="72">
        <v>23.62</v>
      </c>
      <c r="U19" s="70"/>
    </row>
    <row r="20" spans="1:21" x14ac:dyDescent="0.25">
      <c r="A20" s="69">
        <v>1964</v>
      </c>
      <c r="B20" s="77">
        <v>4.46</v>
      </c>
      <c r="C20" s="76" t="s">
        <v>182</v>
      </c>
      <c r="D20" s="77">
        <v>22.8</v>
      </c>
      <c r="E20" s="76" t="s">
        <v>182</v>
      </c>
      <c r="F20" s="74"/>
      <c r="G20" s="76" t="s">
        <v>182</v>
      </c>
      <c r="H20" s="74"/>
      <c r="I20" s="76" t="s">
        <v>182</v>
      </c>
      <c r="J20" s="77">
        <v>2.14</v>
      </c>
      <c r="K20" s="75"/>
      <c r="L20" s="77">
        <v>10.94</v>
      </c>
      <c r="M20" s="75"/>
      <c r="N20" s="77">
        <v>8.93</v>
      </c>
      <c r="O20" s="75"/>
      <c r="P20" s="77">
        <v>45.65</v>
      </c>
      <c r="Q20" s="75"/>
      <c r="R20" s="77">
        <v>4.5999999999999996</v>
      </c>
      <c r="S20" s="75"/>
      <c r="T20" s="77">
        <v>23.51</v>
      </c>
      <c r="U20" s="75"/>
    </row>
    <row r="21" spans="1:21" x14ac:dyDescent="0.25">
      <c r="A21" s="69">
        <v>1965</v>
      </c>
      <c r="B21" s="77">
        <v>4.45</v>
      </c>
      <c r="C21" s="76" t="s">
        <v>182</v>
      </c>
      <c r="D21" s="77">
        <v>22.34</v>
      </c>
      <c r="E21" s="76" t="s">
        <v>182</v>
      </c>
      <c r="F21" s="74"/>
      <c r="G21" s="76" t="s">
        <v>182</v>
      </c>
      <c r="H21" s="74"/>
      <c r="I21" s="76" t="s">
        <v>182</v>
      </c>
      <c r="J21" s="77">
        <v>2.13</v>
      </c>
      <c r="K21" s="75"/>
      <c r="L21" s="77">
        <v>10.69</v>
      </c>
      <c r="M21" s="75"/>
      <c r="N21" s="77">
        <v>8.51</v>
      </c>
      <c r="O21" s="75"/>
      <c r="P21" s="77">
        <v>42.72</v>
      </c>
      <c r="Q21" s="75"/>
      <c r="R21" s="77">
        <v>4.55</v>
      </c>
      <c r="S21" s="75"/>
      <c r="T21" s="77">
        <v>22.84</v>
      </c>
      <c r="U21" s="75"/>
    </row>
    <row r="22" spans="1:21" x14ac:dyDescent="0.25">
      <c r="A22" s="73">
        <v>1966</v>
      </c>
      <c r="B22" s="72">
        <v>4.5599999999999996</v>
      </c>
      <c r="C22" s="71" t="s">
        <v>182</v>
      </c>
      <c r="D22" s="72">
        <v>22.26</v>
      </c>
      <c r="E22" s="71" t="s">
        <v>182</v>
      </c>
      <c r="F22" s="68"/>
      <c r="G22" s="71" t="s">
        <v>182</v>
      </c>
      <c r="H22" s="68"/>
      <c r="I22" s="71" t="s">
        <v>182</v>
      </c>
      <c r="J22" s="72">
        <v>1.98</v>
      </c>
      <c r="K22" s="70"/>
      <c r="L22" s="72">
        <v>9.67</v>
      </c>
      <c r="M22" s="70"/>
      <c r="N22" s="72">
        <v>8.08</v>
      </c>
      <c r="O22" s="70"/>
      <c r="P22" s="72">
        <v>39.450000000000003</v>
      </c>
      <c r="Q22" s="70"/>
      <c r="R22" s="72">
        <v>4.62</v>
      </c>
      <c r="S22" s="70"/>
      <c r="T22" s="72">
        <v>22.55</v>
      </c>
      <c r="U22" s="70"/>
    </row>
    <row r="23" spans="1:21" x14ac:dyDescent="0.25">
      <c r="A23" s="69">
        <v>1967</v>
      </c>
      <c r="B23" s="77">
        <v>4.6399999999999997</v>
      </c>
      <c r="C23" s="76" t="s">
        <v>182</v>
      </c>
      <c r="D23" s="77">
        <v>21.97</v>
      </c>
      <c r="E23" s="76" t="s">
        <v>182</v>
      </c>
      <c r="F23" s="74"/>
      <c r="G23" s="76" t="s">
        <v>182</v>
      </c>
      <c r="H23" s="74"/>
      <c r="I23" s="76" t="s">
        <v>182</v>
      </c>
      <c r="J23" s="77">
        <v>1.92</v>
      </c>
      <c r="K23" s="75"/>
      <c r="L23" s="77">
        <v>9.09</v>
      </c>
      <c r="M23" s="75"/>
      <c r="N23" s="77">
        <v>8.15</v>
      </c>
      <c r="O23" s="75"/>
      <c r="P23" s="77">
        <v>38.6</v>
      </c>
      <c r="Q23" s="75"/>
      <c r="R23" s="77">
        <v>4.6900000000000004</v>
      </c>
      <c r="S23" s="75"/>
      <c r="T23" s="77">
        <v>22.21</v>
      </c>
      <c r="U23" s="75"/>
    </row>
    <row r="24" spans="1:21" x14ac:dyDescent="0.25">
      <c r="A24" s="69">
        <v>1968</v>
      </c>
      <c r="B24" s="77">
        <v>4.7</v>
      </c>
      <c r="C24" s="76" t="s">
        <v>182</v>
      </c>
      <c r="D24" s="77">
        <v>21.35</v>
      </c>
      <c r="E24" s="76" t="s">
        <v>182</v>
      </c>
      <c r="F24" s="74"/>
      <c r="G24" s="76" t="s">
        <v>182</v>
      </c>
      <c r="H24" s="74"/>
      <c r="I24" s="76" t="s">
        <v>182</v>
      </c>
      <c r="J24" s="77">
        <v>1.79</v>
      </c>
      <c r="K24" s="75"/>
      <c r="L24" s="77">
        <v>8.1300000000000008</v>
      </c>
      <c r="M24" s="75"/>
      <c r="N24" s="77">
        <v>8.7799999999999994</v>
      </c>
      <c r="O24" s="75"/>
      <c r="P24" s="77">
        <v>39.89</v>
      </c>
      <c r="Q24" s="75"/>
      <c r="R24" s="77">
        <v>4.75</v>
      </c>
      <c r="S24" s="75"/>
      <c r="T24" s="77">
        <v>21.58</v>
      </c>
      <c r="U24" s="75"/>
    </row>
    <row r="25" spans="1:21" x14ac:dyDescent="0.25">
      <c r="A25" s="73">
        <v>1969</v>
      </c>
      <c r="B25" s="72">
        <v>5.0199999999999996</v>
      </c>
      <c r="C25" s="71" t="s">
        <v>182</v>
      </c>
      <c r="D25" s="72">
        <v>21.73</v>
      </c>
      <c r="E25" s="71" t="s">
        <v>182</v>
      </c>
      <c r="F25" s="68"/>
      <c r="G25" s="71" t="s">
        <v>182</v>
      </c>
      <c r="H25" s="68"/>
      <c r="I25" s="71" t="s">
        <v>182</v>
      </c>
      <c r="J25" s="72">
        <v>1.86</v>
      </c>
      <c r="K25" s="70"/>
      <c r="L25" s="72">
        <v>8.0500000000000007</v>
      </c>
      <c r="M25" s="70"/>
      <c r="N25" s="72">
        <v>9.91</v>
      </c>
      <c r="O25" s="70"/>
      <c r="P25" s="72">
        <v>42.9</v>
      </c>
      <c r="Q25" s="70"/>
      <c r="R25" s="72">
        <v>5.08</v>
      </c>
      <c r="S25" s="70"/>
      <c r="T25" s="72">
        <v>21.99</v>
      </c>
      <c r="U25" s="70"/>
    </row>
    <row r="26" spans="1:21" x14ac:dyDescent="0.25">
      <c r="A26" s="69">
        <v>1970</v>
      </c>
      <c r="B26" s="77">
        <v>6.3</v>
      </c>
      <c r="C26" s="76" t="s">
        <v>182</v>
      </c>
      <c r="D26" s="77">
        <v>25.91</v>
      </c>
      <c r="E26" s="76" t="s">
        <v>182</v>
      </c>
      <c r="F26" s="74"/>
      <c r="G26" s="76" t="s">
        <v>182</v>
      </c>
      <c r="H26" s="74"/>
      <c r="I26" s="76" t="s">
        <v>182</v>
      </c>
      <c r="J26" s="77">
        <v>1.86</v>
      </c>
      <c r="K26" s="75"/>
      <c r="L26" s="77">
        <v>7.65</v>
      </c>
      <c r="M26" s="75"/>
      <c r="N26" s="77">
        <v>11.03</v>
      </c>
      <c r="O26" s="75"/>
      <c r="P26" s="77">
        <v>45.36</v>
      </c>
      <c r="Q26" s="75"/>
      <c r="R26" s="77">
        <v>6.34</v>
      </c>
      <c r="S26" s="75"/>
      <c r="T26" s="77">
        <v>26.07</v>
      </c>
      <c r="U26" s="75"/>
    </row>
    <row r="27" spans="1:21" x14ac:dyDescent="0.25">
      <c r="A27" s="69">
        <v>1971</v>
      </c>
      <c r="B27" s="77">
        <v>7.13</v>
      </c>
      <c r="C27" s="76" t="s">
        <v>182</v>
      </c>
      <c r="D27" s="77">
        <v>27.92</v>
      </c>
      <c r="E27" s="76" t="s">
        <v>182</v>
      </c>
      <c r="F27" s="74"/>
      <c r="G27" s="76" t="s">
        <v>182</v>
      </c>
      <c r="H27" s="74"/>
      <c r="I27" s="76" t="s">
        <v>182</v>
      </c>
      <c r="J27" s="77">
        <v>1.93</v>
      </c>
      <c r="K27" s="75"/>
      <c r="L27" s="77">
        <v>7.56</v>
      </c>
      <c r="M27" s="75"/>
      <c r="N27" s="77">
        <v>12.08</v>
      </c>
      <c r="O27" s="75"/>
      <c r="P27" s="77">
        <v>47.31</v>
      </c>
      <c r="Q27" s="75"/>
      <c r="R27" s="77">
        <v>7.15</v>
      </c>
      <c r="S27" s="75"/>
      <c r="T27" s="77">
        <v>28</v>
      </c>
      <c r="U27" s="75"/>
    </row>
    <row r="28" spans="1:21" x14ac:dyDescent="0.25">
      <c r="A28" s="73">
        <v>1972</v>
      </c>
      <c r="B28" s="72">
        <v>7.78</v>
      </c>
      <c r="C28" s="71" t="s">
        <v>182</v>
      </c>
      <c r="D28" s="72">
        <v>29.21</v>
      </c>
      <c r="E28" s="71" t="s">
        <v>182</v>
      </c>
      <c r="F28" s="68"/>
      <c r="G28" s="71" t="s">
        <v>182</v>
      </c>
      <c r="H28" s="68"/>
      <c r="I28" s="71" t="s">
        <v>182</v>
      </c>
      <c r="J28" s="72">
        <v>2.04</v>
      </c>
      <c r="K28" s="70"/>
      <c r="L28" s="72">
        <v>7.66</v>
      </c>
      <c r="M28" s="70"/>
      <c r="N28" s="72">
        <v>12.4</v>
      </c>
      <c r="O28" s="70"/>
      <c r="P28" s="72">
        <v>46.56</v>
      </c>
      <c r="Q28" s="70"/>
      <c r="R28" s="72">
        <v>7.72</v>
      </c>
      <c r="S28" s="70"/>
      <c r="T28" s="72">
        <v>28.99</v>
      </c>
      <c r="U28" s="70"/>
    </row>
    <row r="29" spans="1:21" x14ac:dyDescent="0.25">
      <c r="A29" s="69">
        <v>1973</v>
      </c>
      <c r="B29" s="77">
        <v>8.7100000000000009</v>
      </c>
      <c r="C29" s="76" t="s">
        <v>182</v>
      </c>
      <c r="D29" s="77">
        <v>30.98</v>
      </c>
      <c r="E29" s="76" t="s">
        <v>182</v>
      </c>
      <c r="F29" s="74"/>
      <c r="G29" s="76" t="s">
        <v>182</v>
      </c>
      <c r="H29" s="74"/>
      <c r="I29" s="76" t="s">
        <v>182</v>
      </c>
      <c r="J29" s="77">
        <v>2.09</v>
      </c>
      <c r="K29" s="75"/>
      <c r="L29" s="77">
        <v>7.43</v>
      </c>
      <c r="M29" s="75"/>
      <c r="N29" s="77">
        <v>13.65</v>
      </c>
      <c r="O29" s="75"/>
      <c r="P29" s="77">
        <v>48.56</v>
      </c>
      <c r="Q29" s="75"/>
      <c r="R29" s="77">
        <v>8.59</v>
      </c>
      <c r="S29" s="75"/>
      <c r="T29" s="77">
        <v>30.56</v>
      </c>
      <c r="U29" s="75"/>
    </row>
    <row r="30" spans="1:21" x14ac:dyDescent="0.25">
      <c r="A30" s="69">
        <v>1974</v>
      </c>
      <c r="B30" s="77">
        <v>16.010000000000002</v>
      </c>
      <c r="C30" s="76" t="s">
        <v>182</v>
      </c>
      <c r="D30" s="77">
        <v>52.21</v>
      </c>
      <c r="E30" s="76" t="s">
        <v>182</v>
      </c>
      <c r="F30" s="74"/>
      <c r="G30" s="76" t="s">
        <v>182</v>
      </c>
      <c r="H30" s="74"/>
      <c r="I30" s="76" t="s">
        <v>182</v>
      </c>
      <c r="J30" s="77">
        <v>2.19</v>
      </c>
      <c r="K30" s="75"/>
      <c r="L30" s="77">
        <v>7.14</v>
      </c>
      <c r="M30" s="75"/>
      <c r="N30" s="77">
        <v>22.19</v>
      </c>
      <c r="O30" s="75"/>
      <c r="P30" s="77">
        <v>72.36</v>
      </c>
      <c r="Q30" s="75"/>
      <c r="R30" s="77">
        <v>15.82</v>
      </c>
      <c r="S30" s="75"/>
      <c r="T30" s="77">
        <v>51.59</v>
      </c>
      <c r="U30" s="75"/>
    </row>
    <row r="31" spans="1:21" x14ac:dyDescent="0.25">
      <c r="A31" s="73">
        <v>1975</v>
      </c>
      <c r="B31" s="72">
        <v>19.79</v>
      </c>
      <c r="C31" s="71" t="s">
        <v>182</v>
      </c>
      <c r="D31" s="72">
        <v>58.96</v>
      </c>
      <c r="E31" s="71" t="s">
        <v>182</v>
      </c>
      <c r="F31" s="68"/>
      <c r="G31" s="71" t="s">
        <v>182</v>
      </c>
      <c r="H31" s="68"/>
      <c r="I31" s="71" t="s">
        <v>182</v>
      </c>
      <c r="J31" s="72">
        <v>3.17</v>
      </c>
      <c r="K31" s="70"/>
      <c r="L31" s="72">
        <v>9.44</v>
      </c>
      <c r="M31" s="70"/>
      <c r="N31" s="72">
        <v>32.26</v>
      </c>
      <c r="O31" s="70"/>
      <c r="P31" s="72">
        <v>96.12</v>
      </c>
      <c r="Q31" s="70"/>
      <c r="R31" s="72">
        <v>19.350000000000001</v>
      </c>
      <c r="S31" s="70"/>
      <c r="T31" s="72">
        <v>57.65</v>
      </c>
      <c r="U31" s="70"/>
    </row>
    <row r="32" spans="1:21" x14ac:dyDescent="0.25">
      <c r="A32" s="69">
        <v>1976</v>
      </c>
      <c r="B32" s="77">
        <v>20.11</v>
      </c>
      <c r="C32" s="76" t="s">
        <v>182</v>
      </c>
      <c r="D32" s="77">
        <v>56.67</v>
      </c>
      <c r="E32" s="76" t="s">
        <v>182</v>
      </c>
      <c r="F32" s="74"/>
      <c r="G32" s="76" t="s">
        <v>182</v>
      </c>
      <c r="H32" s="74"/>
      <c r="I32" s="76" t="s">
        <v>182</v>
      </c>
      <c r="J32" s="77">
        <v>3.74</v>
      </c>
      <c r="K32" s="75"/>
      <c r="L32" s="77">
        <v>10.54</v>
      </c>
      <c r="M32" s="75"/>
      <c r="N32" s="77">
        <v>33.92</v>
      </c>
      <c r="O32" s="75"/>
      <c r="P32" s="77">
        <v>95.58</v>
      </c>
      <c r="Q32" s="75"/>
      <c r="R32" s="77">
        <v>19.559999999999999</v>
      </c>
      <c r="S32" s="75"/>
      <c r="T32" s="77">
        <v>55.12</v>
      </c>
      <c r="U32" s="75"/>
    </row>
    <row r="33" spans="1:21" x14ac:dyDescent="0.25">
      <c r="A33" s="69">
        <v>1977</v>
      </c>
      <c r="B33" s="77">
        <v>20.59</v>
      </c>
      <c r="C33" s="76" t="s">
        <v>182</v>
      </c>
      <c r="D33" s="77">
        <v>54.54</v>
      </c>
      <c r="E33" s="76" t="s">
        <v>182</v>
      </c>
      <c r="F33" s="74"/>
      <c r="G33" s="76" t="s">
        <v>182</v>
      </c>
      <c r="H33" s="74"/>
      <c r="I33" s="76" t="s">
        <v>182</v>
      </c>
      <c r="J33" s="77">
        <v>4.03</v>
      </c>
      <c r="K33" s="75"/>
      <c r="L33" s="77">
        <v>10.68</v>
      </c>
      <c r="M33" s="75"/>
      <c r="N33" s="77">
        <v>34.86</v>
      </c>
      <c r="O33" s="75"/>
      <c r="P33" s="77">
        <v>92.34</v>
      </c>
      <c r="Q33" s="75"/>
      <c r="R33" s="77">
        <v>19.95</v>
      </c>
      <c r="S33" s="75"/>
      <c r="T33" s="77">
        <v>52.85</v>
      </c>
      <c r="U33" s="75"/>
    </row>
    <row r="34" spans="1:21" x14ac:dyDescent="0.25">
      <c r="A34" s="73">
        <v>1978</v>
      </c>
      <c r="B34" s="72">
        <v>22.64</v>
      </c>
      <c r="C34" s="71" t="s">
        <v>182</v>
      </c>
      <c r="D34" s="72">
        <v>56.04</v>
      </c>
      <c r="E34" s="71" t="s">
        <v>182</v>
      </c>
      <c r="F34" s="68"/>
      <c r="G34" s="71" t="s">
        <v>182</v>
      </c>
      <c r="H34" s="68"/>
      <c r="I34" s="71" t="s">
        <v>182</v>
      </c>
      <c r="J34" s="72">
        <v>5.68</v>
      </c>
      <c r="K34" s="70"/>
      <c r="L34" s="72">
        <v>14.06</v>
      </c>
      <c r="M34" s="70"/>
      <c r="N34" s="72">
        <v>35.25</v>
      </c>
      <c r="O34" s="70"/>
      <c r="P34" s="72">
        <v>87.25</v>
      </c>
      <c r="Q34" s="70"/>
      <c r="R34" s="72">
        <v>21.86</v>
      </c>
      <c r="S34" s="70"/>
      <c r="T34" s="72">
        <v>54.11</v>
      </c>
      <c r="U34" s="70"/>
    </row>
    <row r="35" spans="1:21" x14ac:dyDescent="0.25">
      <c r="A35" s="69">
        <v>1979</v>
      </c>
      <c r="B35" s="77">
        <v>27.31</v>
      </c>
      <c r="C35" s="75"/>
      <c r="D35" s="77">
        <v>62.41</v>
      </c>
      <c r="E35" s="75"/>
      <c r="F35" s="77">
        <v>9.5500000000000007</v>
      </c>
      <c r="G35" s="75"/>
      <c r="H35" s="77">
        <v>21.82</v>
      </c>
      <c r="I35" s="75"/>
      <c r="J35" s="77">
        <v>6.48</v>
      </c>
      <c r="K35" s="75"/>
      <c r="L35" s="77">
        <v>14.81</v>
      </c>
      <c r="M35" s="75"/>
      <c r="N35" s="77">
        <v>41.06</v>
      </c>
      <c r="O35" s="75"/>
      <c r="P35" s="77">
        <v>93.83</v>
      </c>
      <c r="Q35" s="75"/>
      <c r="R35" s="77">
        <v>23.75</v>
      </c>
      <c r="S35" s="75"/>
      <c r="T35" s="77">
        <v>54.27</v>
      </c>
      <c r="U35" s="75"/>
    </row>
    <row r="36" spans="1:21" x14ac:dyDescent="0.25">
      <c r="A36" s="69">
        <v>1980</v>
      </c>
      <c r="B36" s="77">
        <v>29.17</v>
      </c>
      <c r="C36" s="75"/>
      <c r="D36" s="77">
        <v>61.09</v>
      </c>
      <c r="E36" s="75"/>
      <c r="F36" s="77">
        <v>11.08</v>
      </c>
      <c r="G36" s="75"/>
      <c r="H36" s="77">
        <v>23.2</v>
      </c>
      <c r="I36" s="75"/>
      <c r="J36" s="77">
        <v>7.6</v>
      </c>
      <c r="K36" s="75"/>
      <c r="L36" s="77">
        <v>15.92</v>
      </c>
      <c r="M36" s="75"/>
      <c r="N36" s="77">
        <v>42.51</v>
      </c>
      <c r="O36" s="75"/>
      <c r="P36" s="77">
        <v>89.02</v>
      </c>
      <c r="Q36" s="75"/>
      <c r="R36" s="77">
        <v>24.65</v>
      </c>
      <c r="S36" s="75"/>
      <c r="T36" s="77">
        <v>51.62</v>
      </c>
      <c r="U36" s="75"/>
    </row>
    <row r="37" spans="1:21" x14ac:dyDescent="0.25">
      <c r="A37" s="73">
        <v>1981</v>
      </c>
      <c r="B37" s="72">
        <v>31.51</v>
      </c>
      <c r="C37" s="70"/>
      <c r="D37" s="72">
        <v>60.34</v>
      </c>
      <c r="E37" s="70"/>
      <c r="F37" s="72">
        <v>12.18</v>
      </c>
      <c r="G37" s="70"/>
      <c r="H37" s="72">
        <v>23.32</v>
      </c>
      <c r="I37" s="70"/>
      <c r="J37" s="72">
        <v>8.85</v>
      </c>
      <c r="K37" s="70"/>
      <c r="L37" s="72">
        <v>16.95</v>
      </c>
      <c r="M37" s="70"/>
      <c r="N37" s="72">
        <v>44.28</v>
      </c>
      <c r="O37" s="70"/>
      <c r="P37" s="72">
        <v>84.79</v>
      </c>
      <c r="Q37" s="70"/>
      <c r="R37" s="72">
        <v>26.4</v>
      </c>
      <c r="S37" s="70"/>
      <c r="T37" s="72">
        <v>50.55</v>
      </c>
      <c r="U37" s="70"/>
    </row>
    <row r="38" spans="1:21" x14ac:dyDescent="0.25">
      <c r="A38" s="69">
        <v>1982</v>
      </c>
      <c r="B38" s="77">
        <v>32.15</v>
      </c>
      <c r="C38" s="75"/>
      <c r="D38" s="77">
        <v>58.02</v>
      </c>
      <c r="E38" s="75"/>
      <c r="F38" s="77">
        <v>13.37</v>
      </c>
      <c r="G38" s="75"/>
      <c r="H38" s="77">
        <v>24.13</v>
      </c>
      <c r="I38" s="75"/>
      <c r="J38" s="77">
        <v>9.7899999999999991</v>
      </c>
      <c r="K38" s="75"/>
      <c r="L38" s="77">
        <v>17.670000000000002</v>
      </c>
      <c r="M38" s="75"/>
      <c r="N38" s="77">
        <v>49.85</v>
      </c>
      <c r="O38" s="75"/>
      <c r="P38" s="77">
        <v>89.96</v>
      </c>
      <c r="Q38" s="75"/>
      <c r="R38" s="77">
        <v>27.25</v>
      </c>
      <c r="S38" s="75"/>
      <c r="T38" s="77">
        <v>49.18</v>
      </c>
      <c r="U38" s="75"/>
    </row>
    <row r="39" spans="1:21" x14ac:dyDescent="0.25">
      <c r="A39" s="69">
        <v>1983</v>
      </c>
      <c r="B39" s="77">
        <v>31.11</v>
      </c>
      <c r="C39" s="75"/>
      <c r="D39" s="77">
        <v>54.01</v>
      </c>
      <c r="E39" s="75"/>
      <c r="F39" s="77">
        <v>13.03</v>
      </c>
      <c r="G39" s="75"/>
      <c r="H39" s="77">
        <v>22.62</v>
      </c>
      <c r="I39" s="75"/>
      <c r="J39" s="77">
        <v>9.91</v>
      </c>
      <c r="K39" s="75"/>
      <c r="L39" s="77">
        <v>17.2</v>
      </c>
      <c r="M39" s="75"/>
      <c r="N39" s="77">
        <v>52.29</v>
      </c>
      <c r="O39" s="75"/>
      <c r="P39" s="77">
        <v>90.78</v>
      </c>
      <c r="Q39" s="75"/>
      <c r="R39" s="77">
        <v>25.98</v>
      </c>
      <c r="S39" s="75"/>
      <c r="T39" s="77">
        <v>45.1</v>
      </c>
      <c r="U39" s="75"/>
    </row>
    <row r="40" spans="1:21" x14ac:dyDescent="0.25">
      <c r="A40" s="73">
        <v>1984</v>
      </c>
      <c r="B40" s="72">
        <v>30.63</v>
      </c>
      <c r="C40" s="70"/>
      <c r="D40" s="72">
        <v>51.25</v>
      </c>
      <c r="E40" s="70"/>
      <c r="F40" s="72">
        <v>12.41</v>
      </c>
      <c r="G40" s="70"/>
      <c r="H40" s="72">
        <v>20.76</v>
      </c>
      <c r="I40" s="70"/>
      <c r="J40" s="72">
        <v>10.45</v>
      </c>
      <c r="K40" s="70"/>
      <c r="L40" s="72">
        <v>17.48</v>
      </c>
      <c r="M40" s="70"/>
      <c r="N40" s="72">
        <v>48.22</v>
      </c>
      <c r="O40" s="70"/>
      <c r="P40" s="72">
        <v>80.680000000000007</v>
      </c>
      <c r="Q40" s="70"/>
      <c r="R40" s="72">
        <v>25.61</v>
      </c>
      <c r="S40" s="70"/>
      <c r="T40" s="72">
        <v>42.85</v>
      </c>
      <c r="U40" s="70"/>
    </row>
    <row r="41" spans="1:21" x14ac:dyDescent="0.25">
      <c r="A41" s="69">
        <v>1985</v>
      </c>
      <c r="B41" s="77">
        <v>30.78</v>
      </c>
      <c r="C41" s="75"/>
      <c r="D41" s="77">
        <v>49.99</v>
      </c>
      <c r="E41" s="75"/>
      <c r="F41" s="77">
        <v>12.57</v>
      </c>
      <c r="G41" s="75"/>
      <c r="H41" s="77">
        <v>20.41</v>
      </c>
      <c r="I41" s="75"/>
      <c r="J41" s="77">
        <v>10.68</v>
      </c>
      <c r="K41" s="75"/>
      <c r="L41" s="77">
        <v>17.34</v>
      </c>
      <c r="M41" s="75"/>
      <c r="N41" s="77">
        <v>45.8</v>
      </c>
      <c r="O41" s="75"/>
      <c r="P41" s="77">
        <v>74.38</v>
      </c>
      <c r="Q41" s="75"/>
      <c r="R41" s="77">
        <v>25.2</v>
      </c>
      <c r="S41" s="75"/>
      <c r="T41" s="77">
        <v>40.93</v>
      </c>
      <c r="U41" s="75"/>
    </row>
    <row r="42" spans="1:21" x14ac:dyDescent="0.25">
      <c r="A42" s="69">
        <v>1986</v>
      </c>
      <c r="B42" s="77">
        <v>28.84</v>
      </c>
      <c r="C42" s="75"/>
      <c r="D42" s="77">
        <v>45.82</v>
      </c>
      <c r="E42" s="75"/>
      <c r="F42" s="77">
        <v>12.26</v>
      </c>
      <c r="G42" s="75"/>
      <c r="H42" s="77">
        <v>19.48</v>
      </c>
      <c r="I42" s="75"/>
      <c r="J42" s="77">
        <v>10.64</v>
      </c>
      <c r="K42" s="75"/>
      <c r="L42" s="77">
        <v>16.91</v>
      </c>
      <c r="M42" s="75"/>
      <c r="N42" s="77">
        <v>44.12</v>
      </c>
      <c r="O42" s="75"/>
      <c r="P42" s="77">
        <v>70.099999999999994</v>
      </c>
      <c r="Q42" s="75"/>
      <c r="R42" s="77">
        <v>23.79</v>
      </c>
      <c r="S42" s="75"/>
      <c r="T42" s="77">
        <v>37.799999999999997</v>
      </c>
      <c r="U42" s="75"/>
    </row>
    <row r="43" spans="1:21" x14ac:dyDescent="0.25">
      <c r="A43" s="73">
        <v>1987</v>
      </c>
      <c r="B43" s="72">
        <v>28.19</v>
      </c>
      <c r="C43" s="70"/>
      <c r="D43" s="72">
        <v>43.53</v>
      </c>
      <c r="E43" s="70"/>
      <c r="F43" s="72">
        <v>11.32</v>
      </c>
      <c r="G43" s="70"/>
      <c r="H43" s="72">
        <v>17.48</v>
      </c>
      <c r="I43" s="70"/>
      <c r="J43" s="72">
        <v>10.85</v>
      </c>
      <c r="K43" s="70"/>
      <c r="L43" s="72">
        <v>16.75</v>
      </c>
      <c r="M43" s="70"/>
      <c r="N43" s="72">
        <v>43.65</v>
      </c>
      <c r="O43" s="70"/>
      <c r="P43" s="72">
        <v>67.400000000000006</v>
      </c>
      <c r="Q43" s="70"/>
      <c r="R43" s="72">
        <v>23.07</v>
      </c>
      <c r="S43" s="70"/>
      <c r="T43" s="72">
        <v>35.619999999999997</v>
      </c>
      <c r="U43" s="70"/>
    </row>
    <row r="44" spans="1:21" x14ac:dyDescent="0.25">
      <c r="A44" s="69">
        <v>1988</v>
      </c>
      <c r="B44" s="77">
        <v>27.66</v>
      </c>
      <c r="C44" s="75"/>
      <c r="D44" s="77">
        <v>41.29</v>
      </c>
      <c r="E44" s="75"/>
      <c r="F44" s="77">
        <v>10.45</v>
      </c>
      <c r="G44" s="75"/>
      <c r="H44" s="77">
        <v>15.6</v>
      </c>
      <c r="I44" s="75"/>
      <c r="J44" s="77">
        <v>10.06</v>
      </c>
      <c r="K44" s="75"/>
      <c r="L44" s="77">
        <v>15.02</v>
      </c>
      <c r="M44" s="75"/>
      <c r="N44" s="77">
        <v>44.16</v>
      </c>
      <c r="O44" s="75"/>
      <c r="P44" s="77">
        <v>65.92</v>
      </c>
      <c r="Q44" s="75"/>
      <c r="R44" s="77">
        <v>22.07</v>
      </c>
      <c r="S44" s="75"/>
      <c r="T44" s="77">
        <v>32.950000000000003</v>
      </c>
      <c r="U44" s="75"/>
    </row>
    <row r="45" spans="1:21" x14ac:dyDescent="0.25">
      <c r="A45" s="69">
        <v>1989</v>
      </c>
      <c r="B45" s="77">
        <v>27.4</v>
      </c>
      <c r="C45" s="75"/>
      <c r="D45" s="77">
        <v>39.409999999999997</v>
      </c>
      <c r="E45" s="75"/>
      <c r="F45" s="77">
        <v>10.16</v>
      </c>
      <c r="G45" s="75"/>
      <c r="H45" s="77">
        <v>14.61</v>
      </c>
      <c r="I45" s="75"/>
      <c r="J45" s="77">
        <v>9.91</v>
      </c>
      <c r="K45" s="75"/>
      <c r="L45" s="77">
        <v>14.26</v>
      </c>
      <c r="M45" s="75"/>
      <c r="N45" s="77">
        <v>42.93</v>
      </c>
      <c r="O45" s="75"/>
      <c r="P45" s="77">
        <v>61.75</v>
      </c>
      <c r="Q45" s="75"/>
      <c r="R45" s="77">
        <v>21.82</v>
      </c>
      <c r="S45" s="75"/>
      <c r="T45" s="77">
        <v>31.39</v>
      </c>
      <c r="U45" s="75"/>
    </row>
    <row r="46" spans="1:21" x14ac:dyDescent="0.25">
      <c r="A46" s="73">
        <v>1990</v>
      </c>
      <c r="B46" s="72">
        <v>27.43</v>
      </c>
      <c r="C46" s="70"/>
      <c r="D46" s="72">
        <v>37.99</v>
      </c>
      <c r="E46" s="70"/>
      <c r="F46" s="72">
        <v>9.6999999999999993</v>
      </c>
      <c r="G46" s="70"/>
      <c r="H46" s="72">
        <v>13.43</v>
      </c>
      <c r="I46" s="70"/>
      <c r="J46" s="72">
        <v>10.130000000000001</v>
      </c>
      <c r="K46" s="70"/>
      <c r="L46" s="72">
        <v>14.03</v>
      </c>
      <c r="M46" s="70"/>
      <c r="N46" s="72">
        <v>39.4</v>
      </c>
      <c r="O46" s="70"/>
      <c r="P46" s="72">
        <v>54.57</v>
      </c>
      <c r="Q46" s="70"/>
      <c r="R46" s="72">
        <v>21.76</v>
      </c>
      <c r="S46" s="70"/>
      <c r="T46" s="72">
        <v>30.14</v>
      </c>
      <c r="U46" s="70"/>
    </row>
    <row r="47" spans="1:21" x14ac:dyDescent="0.25">
      <c r="A47" s="69">
        <v>1991</v>
      </c>
      <c r="B47" s="77">
        <v>27.49</v>
      </c>
      <c r="C47" s="75"/>
      <c r="D47" s="77">
        <v>36.770000000000003</v>
      </c>
      <c r="E47" s="75"/>
      <c r="F47" s="77">
        <v>9.68</v>
      </c>
      <c r="G47" s="75"/>
      <c r="H47" s="77">
        <v>12.95</v>
      </c>
      <c r="I47" s="75"/>
      <c r="J47" s="77">
        <v>10.89</v>
      </c>
      <c r="K47" s="75"/>
      <c r="L47" s="77">
        <v>14.57</v>
      </c>
      <c r="M47" s="75"/>
      <c r="N47" s="77">
        <v>36.340000000000003</v>
      </c>
      <c r="O47" s="75"/>
      <c r="P47" s="77">
        <v>48.61</v>
      </c>
      <c r="Q47" s="75"/>
      <c r="R47" s="77">
        <v>21.49</v>
      </c>
      <c r="S47" s="75"/>
      <c r="T47" s="77">
        <v>28.75</v>
      </c>
      <c r="U47" s="75"/>
    </row>
    <row r="48" spans="1:21" x14ac:dyDescent="0.25">
      <c r="A48" s="69">
        <v>1992</v>
      </c>
      <c r="B48" s="77">
        <v>26.78</v>
      </c>
      <c r="C48" s="75"/>
      <c r="D48" s="77">
        <v>34.99</v>
      </c>
      <c r="E48" s="75"/>
      <c r="F48" s="77">
        <v>9.68</v>
      </c>
      <c r="G48" s="75"/>
      <c r="H48" s="77">
        <v>12.65</v>
      </c>
      <c r="I48" s="75"/>
      <c r="J48" s="77">
        <v>10.81</v>
      </c>
      <c r="K48" s="75"/>
      <c r="L48" s="77">
        <v>14.12</v>
      </c>
      <c r="M48" s="75"/>
      <c r="N48" s="77">
        <v>34.24</v>
      </c>
      <c r="O48" s="75"/>
      <c r="P48" s="77">
        <v>44.74</v>
      </c>
      <c r="Q48" s="75"/>
      <c r="R48" s="77">
        <v>21.03</v>
      </c>
      <c r="S48" s="75"/>
      <c r="T48" s="77">
        <v>27.48</v>
      </c>
      <c r="U48" s="75"/>
    </row>
    <row r="49" spans="1:21" x14ac:dyDescent="0.25">
      <c r="A49" s="73">
        <v>1993</v>
      </c>
      <c r="B49" s="72">
        <v>26.15</v>
      </c>
      <c r="C49" s="70"/>
      <c r="D49" s="72">
        <v>33.43</v>
      </c>
      <c r="E49" s="70"/>
      <c r="F49" s="72">
        <v>9.33</v>
      </c>
      <c r="G49" s="70"/>
      <c r="H49" s="72">
        <v>11.93</v>
      </c>
      <c r="I49" s="70"/>
      <c r="J49" s="72">
        <v>11.11</v>
      </c>
      <c r="K49" s="70"/>
      <c r="L49" s="72">
        <v>14.2</v>
      </c>
      <c r="M49" s="70"/>
      <c r="N49" s="72">
        <v>32.94</v>
      </c>
      <c r="O49" s="70"/>
      <c r="P49" s="72">
        <v>42.11</v>
      </c>
      <c r="Q49" s="70"/>
      <c r="R49" s="72">
        <v>19.850000000000001</v>
      </c>
      <c r="S49" s="70"/>
      <c r="T49" s="72">
        <v>25.38</v>
      </c>
      <c r="U49" s="70"/>
    </row>
    <row r="50" spans="1:21" x14ac:dyDescent="0.25">
      <c r="A50" s="69">
        <v>1994</v>
      </c>
      <c r="B50" s="77">
        <v>25.68</v>
      </c>
      <c r="C50" s="75"/>
      <c r="D50" s="77">
        <v>32.15</v>
      </c>
      <c r="E50" s="75"/>
      <c r="F50" s="77">
        <v>8.3699999999999992</v>
      </c>
      <c r="G50" s="75"/>
      <c r="H50" s="77">
        <v>10.48</v>
      </c>
      <c r="I50" s="75"/>
      <c r="J50" s="77">
        <v>10.77</v>
      </c>
      <c r="K50" s="75"/>
      <c r="L50" s="77">
        <v>13.48</v>
      </c>
      <c r="M50" s="75"/>
      <c r="N50" s="77">
        <v>36.07</v>
      </c>
      <c r="O50" s="75"/>
      <c r="P50" s="77">
        <v>45.16</v>
      </c>
      <c r="Q50" s="75"/>
      <c r="R50" s="77">
        <v>19.41</v>
      </c>
      <c r="S50" s="75"/>
      <c r="T50" s="77">
        <v>24.3</v>
      </c>
      <c r="U50" s="75"/>
    </row>
    <row r="51" spans="1:21" x14ac:dyDescent="0.25">
      <c r="A51" s="69">
        <v>1995</v>
      </c>
      <c r="B51" s="77">
        <v>25.56</v>
      </c>
      <c r="C51" s="75"/>
      <c r="D51" s="77">
        <v>31.35</v>
      </c>
      <c r="E51" s="75"/>
      <c r="F51" s="77">
        <v>8.1</v>
      </c>
      <c r="G51" s="75"/>
      <c r="H51" s="77">
        <v>9.93</v>
      </c>
      <c r="I51" s="75"/>
      <c r="J51" s="77">
        <v>10.83</v>
      </c>
      <c r="K51" s="75"/>
      <c r="L51" s="77">
        <v>13.28</v>
      </c>
      <c r="M51" s="75"/>
      <c r="N51" s="77">
        <v>39.78</v>
      </c>
      <c r="O51" s="75"/>
      <c r="P51" s="77">
        <v>48.79</v>
      </c>
      <c r="Q51" s="75"/>
      <c r="R51" s="77">
        <v>18.829999999999998</v>
      </c>
      <c r="S51" s="75"/>
      <c r="T51" s="77">
        <v>23.09</v>
      </c>
      <c r="U51" s="75"/>
    </row>
    <row r="52" spans="1:21" x14ac:dyDescent="0.25">
      <c r="A52" s="73">
        <v>1996</v>
      </c>
      <c r="B52" s="72">
        <v>25.17</v>
      </c>
      <c r="C52" s="70"/>
      <c r="D52" s="72">
        <v>30.29</v>
      </c>
      <c r="E52" s="70"/>
      <c r="F52" s="72">
        <v>7.87</v>
      </c>
      <c r="G52" s="70"/>
      <c r="H52" s="72">
        <v>9.4700000000000006</v>
      </c>
      <c r="I52" s="70"/>
      <c r="J52" s="72">
        <v>10.92</v>
      </c>
      <c r="K52" s="70"/>
      <c r="L52" s="72">
        <v>13.14</v>
      </c>
      <c r="M52" s="70"/>
      <c r="N52" s="72">
        <v>36.78</v>
      </c>
      <c r="O52" s="70"/>
      <c r="P52" s="72">
        <v>44.27</v>
      </c>
      <c r="Q52" s="70"/>
      <c r="R52" s="72">
        <v>18.5</v>
      </c>
      <c r="S52" s="70"/>
      <c r="T52" s="72">
        <v>22.27</v>
      </c>
      <c r="U52" s="70"/>
    </row>
    <row r="53" spans="1:21" x14ac:dyDescent="0.25">
      <c r="A53" s="69">
        <v>1997</v>
      </c>
      <c r="B53" s="77">
        <v>24.64</v>
      </c>
      <c r="C53" s="75"/>
      <c r="D53" s="77">
        <v>29.14</v>
      </c>
      <c r="E53" s="75"/>
      <c r="F53" s="77">
        <v>7.42</v>
      </c>
      <c r="G53" s="75"/>
      <c r="H53" s="77">
        <v>8.7799999999999994</v>
      </c>
      <c r="I53" s="75"/>
      <c r="J53" s="77">
        <v>10.91</v>
      </c>
      <c r="K53" s="75"/>
      <c r="L53" s="77">
        <v>12.9</v>
      </c>
      <c r="M53" s="75"/>
      <c r="N53" s="77">
        <v>35.119999999999997</v>
      </c>
      <c r="O53" s="75"/>
      <c r="P53" s="77">
        <v>41.54</v>
      </c>
      <c r="Q53" s="75"/>
      <c r="R53" s="77">
        <v>18.14</v>
      </c>
      <c r="S53" s="75"/>
      <c r="T53" s="77">
        <v>21.45</v>
      </c>
      <c r="U53" s="75"/>
    </row>
    <row r="54" spans="1:21" x14ac:dyDescent="0.25">
      <c r="A54" s="69">
        <v>1998</v>
      </c>
      <c r="B54" s="77">
        <v>24.87</v>
      </c>
      <c r="C54" s="75"/>
      <c r="D54" s="77">
        <v>29.08</v>
      </c>
      <c r="E54" s="75"/>
      <c r="F54" s="77">
        <v>6.96</v>
      </c>
      <c r="G54" s="75"/>
      <c r="H54" s="77">
        <v>8.14</v>
      </c>
      <c r="I54" s="75"/>
      <c r="J54" s="77">
        <v>11.08</v>
      </c>
      <c r="K54" s="75"/>
      <c r="L54" s="77">
        <v>12.96</v>
      </c>
      <c r="M54" s="75"/>
      <c r="N54" s="77">
        <v>42.91</v>
      </c>
      <c r="O54" s="75"/>
      <c r="P54" s="77">
        <v>50.18</v>
      </c>
      <c r="Q54" s="75"/>
      <c r="R54" s="77">
        <v>17.670000000000002</v>
      </c>
      <c r="S54" s="75"/>
      <c r="T54" s="77">
        <v>20.66</v>
      </c>
      <c r="U54" s="75"/>
    </row>
    <row r="55" spans="1:21" x14ac:dyDescent="0.25">
      <c r="A55" s="73">
        <v>1999</v>
      </c>
      <c r="B55" s="72">
        <v>23.92</v>
      </c>
      <c r="C55" s="70"/>
      <c r="D55" s="72">
        <v>27.57</v>
      </c>
      <c r="E55" s="70"/>
      <c r="F55" s="72">
        <v>6.87</v>
      </c>
      <c r="G55" s="70"/>
      <c r="H55" s="72">
        <v>7.92</v>
      </c>
      <c r="I55" s="70"/>
      <c r="J55" s="72">
        <v>11.04</v>
      </c>
      <c r="K55" s="70"/>
      <c r="L55" s="72">
        <v>12.72</v>
      </c>
      <c r="M55" s="70"/>
      <c r="N55" s="72">
        <v>35.130000000000003</v>
      </c>
      <c r="O55" s="70"/>
      <c r="P55" s="72">
        <v>40.49</v>
      </c>
      <c r="Q55" s="70"/>
      <c r="R55" s="72">
        <v>16.63</v>
      </c>
      <c r="S55" s="70"/>
      <c r="T55" s="72">
        <v>19.170000000000002</v>
      </c>
      <c r="U55" s="70"/>
    </row>
    <row r="56" spans="1:21" x14ac:dyDescent="0.25">
      <c r="A56" s="69">
        <v>2000</v>
      </c>
      <c r="B56" s="77">
        <v>24.15</v>
      </c>
      <c r="C56" s="75"/>
      <c r="D56" s="77">
        <v>27.24</v>
      </c>
      <c r="E56" s="75"/>
      <c r="F56" s="77">
        <v>7.12</v>
      </c>
      <c r="G56" s="75"/>
      <c r="H56" s="77">
        <v>8.0299999999999994</v>
      </c>
      <c r="I56" s="75"/>
      <c r="J56" s="77">
        <v>11.41</v>
      </c>
      <c r="K56" s="75"/>
      <c r="L56" s="77">
        <v>12.87</v>
      </c>
      <c r="M56" s="75"/>
      <c r="N56" s="77">
        <v>40.9</v>
      </c>
      <c r="O56" s="75"/>
      <c r="P56" s="77">
        <v>46.14</v>
      </c>
      <c r="Q56" s="75"/>
      <c r="R56" s="77">
        <v>16.78</v>
      </c>
      <c r="S56" s="75"/>
      <c r="T56" s="77">
        <v>18.93</v>
      </c>
      <c r="U56" s="75"/>
    </row>
    <row r="57" spans="1:21" x14ac:dyDescent="0.25">
      <c r="A57" s="69">
        <v>2001</v>
      </c>
      <c r="B57" s="77">
        <v>25.36</v>
      </c>
      <c r="C57" s="75"/>
      <c r="D57" s="77">
        <v>27.98</v>
      </c>
      <c r="E57" s="75"/>
      <c r="F57" s="77">
        <v>6.67</v>
      </c>
      <c r="G57" s="75"/>
      <c r="H57" s="77">
        <v>7.36</v>
      </c>
      <c r="I57" s="75"/>
      <c r="J57" s="77">
        <v>11.52</v>
      </c>
      <c r="K57" s="75"/>
      <c r="L57" s="77">
        <v>12.71</v>
      </c>
      <c r="M57" s="75"/>
      <c r="N57" s="77">
        <v>47.67</v>
      </c>
      <c r="O57" s="75"/>
      <c r="P57" s="77">
        <v>52.59</v>
      </c>
      <c r="Q57" s="75"/>
      <c r="R57" s="77">
        <v>17.38</v>
      </c>
      <c r="S57" s="75"/>
      <c r="T57" s="77">
        <v>19.170000000000002</v>
      </c>
      <c r="U57" s="75"/>
    </row>
    <row r="58" spans="1:21" x14ac:dyDescent="0.25">
      <c r="A58" s="73">
        <v>2002</v>
      </c>
      <c r="B58" s="72">
        <v>26.57</v>
      </c>
      <c r="C58" s="70"/>
      <c r="D58" s="72">
        <v>28.84</v>
      </c>
      <c r="E58" s="70"/>
      <c r="F58" s="72">
        <v>7.34</v>
      </c>
      <c r="G58" s="70"/>
      <c r="H58" s="72">
        <v>7.97</v>
      </c>
      <c r="I58" s="70"/>
      <c r="J58" s="72">
        <v>11.07</v>
      </c>
      <c r="K58" s="70"/>
      <c r="L58" s="72">
        <v>12.02</v>
      </c>
      <c r="M58" s="70"/>
      <c r="N58" s="72">
        <v>47.78</v>
      </c>
      <c r="O58" s="70"/>
      <c r="P58" s="72">
        <v>51.87</v>
      </c>
      <c r="Q58" s="70"/>
      <c r="R58" s="72">
        <v>17.98</v>
      </c>
      <c r="S58" s="70"/>
      <c r="T58" s="72">
        <v>19.52</v>
      </c>
      <c r="U58" s="70"/>
    </row>
    <row r="59" spans="1:21" x14ac:dyDescent="0.25">
      <c r="A59" s="69">
        <v>2003</v>
      </c>
      <c r="B59" s="77">
        <v>26.73</v>
      </c>
      <c r="C59" s="75"/>
      <c r="D59" s="77">
        <v>28.41</v>
      </c>
      <c r="E59" s="75"/>
      <c r="F59" s="77">
        <v>7.73</v>
      </c>
      <c r="G59" s="75"/>
      <c r="H59" s="77">
        <v>8.2100000000000009</v>
      </c>
      <c r="I59" s="75"/>
      <c r="J59" s="77">
        <v>11.2</v>
      </c>
      <c r="K59" s="75"/>
      <c r="L59" s="77">
        <v>11.9</v>
      </c>
      <c r="M59" s="75"/>
      <c r="N59" s="77">
        <v>49.87</v>
      </c>
      <c r="O59" s="75"/>
      <c r="P59" s="77">
        <v>53</v>
      </c>
      <c r="Q59" s="75"/>
      <c r="R59" s="77">
        <v>17.850000000000001</v>
      </c>
      <c r="S59" s="75"/>
      <c r="T59" s="77">
        <v>18.97</v>
      </c>
      <c r="U59" s="75"/>
    </row>
    <row r="60" spans="1:21" x14ac:dyDescent="0.25">
      <c r="A60" s="69">
        <v>2004</v>
      </c>
      <c r="B60" s="77">
        <v>30.56</v>
      </c>
      <c r="C60" s="75"/>
      <c r="D60" s="77">
        <v>31.58</v>
      </c>
      <c r="E60" s="75"/>
      <c r="F60" s="77">
        <v>8.1199999999999992</v>
      </c>
      <c r="G60" s="75"/>
      <c r="H60" s="77">
        <v>8.39</v>
      </c>
      <c r="I60" s="75"/>
      <c r="J60" s="77">
        <v>12.27</v>
      </c>
      <c r="K60" s="75"/>
      <c r="L60" s="77">
        <v>12.68</v>
      </c>
      <c r="M60" s="75"/>
      <c r="N60" s="77">
        <v>39.770000000000003</v>
      </c>
      <c r="O60" s="75"/>
      <c r="P60" s="77">
        <v>41.1</v>
      </c>
      <c r="Q60" s="75"/>
      <c r="R60" s="77">
        <v>19.93</v>
      </c>
      <c r="S60" s="75"/>
      <c r="T60" s="77">
        <v>20.6</v>
      </c>
      <c r="U60" s="75"/>
    </row>
    <row r="61" spans="1:21" x14ac:dyDescent="0.25">
      <c r="A61" s="73">
        <v>2005</v>
      </c>
      <c r="B61" s="72">
        <v>36.799999999999997</v>
      </c>
      <c r="C61" s="70"/>
      <c r="D61" s="72">
        <v>36.799999999999997</v>
      </c>
      <c r="E61" s="70"/>
      <c r="F61" s="72">
        <v>8.68</v>
      </c>
      <c r="G61" s="70"/>
      <c r="H61" s="72">
        <v>8.68</v>
      </c>
      <c r="I61" s="70"/>
      <c r="J61" s="72">
        <v>13.49</v>
      </c>
      <c r="K61" s="70"/>
      <c r="L61" s="72">
        <v>13.49</v>
      </c>
      <c r="M61" s="70"/>
      <c r="N61" s="72">
        <v>41</v>
      </c>
      <c r="O61" s="70"/>
      <c r="P61" s="72">
        <v>41</v>
      </c>
      <c r="Q61" s="70"/>
      <c r="R61" s="72">
        <v>23.59</v>
      </c>
      <c r="S61" s="70"/>
      <c r="T61" s="72">
        <v>23.59</v>
      </c>
      <c r="U61" s="70"/>
    </row>
    <row r="62" spans="1:21" x14ac:dyDescent="0.25">
      <c r="A62" s="69">
        <v>2006</v>
      </c>
      <c r="B62" s="77">
        <v>39.32</v>
      </c>
      <c r="C62" s="75"/>
      <c r="D62" s="77">
        <v>38.08</v>
      </c>
      <c r="E62" s="75"/>
      <c r="F62" s="77">
        <v>9.9499999999999993</v>
      </c>
      <c r="G62" s="75"/>
      <c r="H62" s="77">
        <v>9.64</v>
      </c>
      <c r="I62" s="75"/>
      <c r="J62" s="77">
        <v>14</v>
      </c>
      <c r="K62" s="75"/>
      <c r="L62" s="77">
        <v>13.56</v>
      </c>
      <c r="M62" s="75"/>
      <c r="N62" s="77">
        <v>43.61</v>
      </c>
      <c r="O62" s="75"/>
      <c r="P62" s="77">
        <v>42.24</v>
      </c>
      <c r="Q62" s="76" t="s">
        <v>183</v>
      </c>
      <c r="R62" s="77">
        <v>25.16</v>
      </c>
      <c r="S62" s="75"/>
      <c r="T62" s="77">
        <v>24.37</v>
      </c>
      <c r="U62" s="75"/>
    </row>
    <row r="63" spans="1:21" x14ac:dyDescent="0.25">
      <c r="A63" s="69">
        <v>2007</v>
      </c>
      <c r="B63" s="77">
        <v>40.799999999999997</v>
      </c>
      <c r="C63" s="75"/>
      <c r="D63" s="77">
        <v>38.380000000000003</v>
      </c>
      <c r="E63" s="76" t="s">
        <v>183</v>
      </c>
      <c r="F63" s="77">
        <v>10.69</v>
      </c>
      <c r="G63" s="75"/>
      <c r="H63" s="77">
        <v>10.06</v>
      </c>
      <c r="I63" s="75"/>
      <c r="J63" s="77">
        <v>14.89</v>
      </c>
      <c r="K63" s="75"/>
      <c r="L63" s="77">
        <v>14.01</v>
      </c>
      <c r="M63" s="76" t="s">
        <v>183</v>
      </c>
      <c r="N63" s="77">
        <v>52.24</v>
      </c>
      <c r="O63" s="75"/>
      <c r="P63" s="77">
        <v>49.15</v>
      </c>
      <c r="Q63" s="76" t="s">
        <v>183</v>
      </c>
      <c r="R63" s="77">
        <v>26.2</v>
      </c>
      <c r="S63" s="75"/>
      <c r="T63" s="77">
        <v>24.65</v>
      </c>
      <c r="U63" s="76" t="s">
        <v>183</v>
      </c>
    </row>
    <row r="64" spans="1:21" x14ac:dyDescent="0.25">
      <c r="A64" s="73">
        <v>2008</v>
      </c>
      <c r="B64" s="72">
        <v>51.39</v>
      </c>
      <c r="C64" s="70"/>
      <c r="D64" s="72">
        <v>47.31</v>
      </c>
      <c r="E64" s="71" t="s">
        <v>183</v>
      </c>
      <c r="F64" s="72">
        <v>12.31</v>
      </c>
      <c r="G64" s="70"/>
      <c r="H64" s="72">
        <v>11.33</v>
      </c>
      <c r="I64" s="71" t="s">
        <v>183</v>
      </c>
      <c r="J64" s="72">
        <v>16.5</v>
      </c>
      <c r="K64" s="70"/>
      <c r="L64" s="72">
        <v>15.19</v>
      </c>
      <c r="M64" s="71" t="s">
        <v>183</v>
      </c>
      <c r="N64" s="72">
        <v>60.76</v>
      </c>
      <c r="O64" s="70"/>
      <c r="P64" s="72">
        <v>55.94</v>
      </c>
      <c r="Q64" s="71" t="s">
        <v>183</v>
      </c>
      <c r="R64" s="72">
        <v>31.25</v>
      </c>
      <c r="S64" s="70"/>
      <c r="T64" s="72">
        <v>28.77</v>
      </c>
      <c r="U64" s="71" t="s">
        <v>183</v>
      </c>
    </row>
    <row r="65" spans="1:21" x14ac:dyDescent="0.25">
      <c r="A65" s="69">
        <v>2009</v>
      </c>
      <c r="B65" s="77">
        <v>55.44</v>
      </c>
      <c r="C65" s="76" t="s">
        <v>183</v>
      </c>
      <c r="D65" s="77">
        <v>50.58</v>
      </c>
      <c r="E65" s="76" t="s">
        <v>183</v>
      </c>
      <c r="F65" s="77">
        <v>13.35</v>
      </c>
      <c r="G65" s="76" t="s">
        <v>183</v>
      </c>
      <c r="H65" s="77">
        <v>12.18</v>
      </c>
      <c r="I65" s="76" t="s">
        <v>183</v>
      </c>
      <c r="J65" s="77">
        <v>17.260000000000002</v>
      </c>
      <c r="K65" s="76" t="s">
        <v>183</v>
      </c>
      <c r="L65" s="77">
        <v>15.75</v>
      </c>
      <c r="M65" s="76" t="s">
        <v>183</v>
      </c>
      <c r="N65" s="77">
        <v>57.1</v>
      </c>
      <c r="O65" s="76" t="s">
        <v>183</v>
      </c>
      <c r="P65" s="77">
        <v>52.09</v>
      </c>
      <c r="Q65" s="76" t="s">
        <v>183</v>
      </c>
      <c r="R65" s="77">
        <v>33.24</v>
      </c>
      <c r="S65" s="76" t="s">
        <v>183</v>
      </c>
      <c r="T65" s="77">
        <v>30.32</v>
      </c>
      <c r="U65" s="76" t="s">
        <v>183</v>
      </c>
    </row>
    <row r="66" spans="1:21" x14ac:dyDescent="0.25">
      <c r="A66" s="69" t="s">
        <v>184</v>
      </c>
      <c r="B66" s="77">
        <v>60.56</v>
      </c>
      <c r="C66" s="75"/>
      <c r="D66" s="77">
        <v>54.73</v>
      </c>
      <c r="E66" s="75"/>
      <c r="F66" s="77">
        <v>13.99</v>
      </c>
      <c r="G66" s="75"/>
      <c r="H66" s="77">
        <v>12.64</v>
      </c>
      <c r="I66" s="75"/>
      <c r="J66" s="77">
        <v>18.47</v>
      </c>
      <c r="K66" s="75"/>
      <c r="L66" s="77">
        <v>16.690000000000001</v>
      </c>
      <c r="M66" s="75"/>
      <c r="N66" s="77">
        <v>52.74</v>
      </c>
      <c r="O66" s="75"/>
      <c r="P66" s="77">
        <v>47.66</v>
      </c>
      <c r="Q66" s="75"/>
      <c r="R66" s="77">
        <v>35.630000000000003</v>
      </c>
      <c r="S66" s="75"/>
      <c r="T66" s="77">
        <v>32.200000000000003</v>
      </c>
      <c r="U66" s="75"/>
    </row>
    <row r="67" spans="1:21" x14ac:dyDescent="0.25">
      <c r="A67" s="254" t="s">
        <v>185</v>
      </c>
      <c r="B67" s="255"/>
      <c r="C67" s="255"/>
      <c r="D67" s="255"/>
      <c r="E67" s="255"/>
      <c r="F67" s="255"/>
      <c r="G67" s="255"/>
      <c r="H67" s="255"/>
      <c r="I67" s="255"/>
      <c r="J67" s="255"/>
      <c r="K67" s="256" t="s">
        <v>186</v>
      </c>
      <c r="L67" s="256"/>
      <c r="M67" s="256"/>
      <c r="N67" s="256"/>
      <c r="O67" s="256"/>
      <c r="P67" s="256"/>
      <c r="Q67" s="256"/>
      <c r="R67" s="256"/>
      <c r="S67" s="256"/>
      <c r="T67" s="256"/>
      <c r="U67" s="257"/>
    </row>
    <row r="68" spans="1:21" x14ac:dyDescent="0.25">
      <c r="A68" s="242" t="s">
        <v>187</v>
      </c>
      <c r="B68" s="243"/>
      <c r="C68" s="243"/>
      <c r="D68" s="243"/>
      <c r="E68" s="243"/>
      <c r="F68" s="243"/>
      <c r="G68" s="243"/>
      <c r="H68" s="243"/>
      <c r="I68" s="243"/>
      <c r="J68" s="243"/>
      <c r="K68" s="243"/>
      <c r="L68" s="243"/>
      <c r="M68" s="243"/>
      <c r="N68" s="243"/>
      <c r="O68" s="243"/>
      <c r="P68" s="243"/>
      <c r="Q68" s="243"/>
      <c r="R68" s="243"/>
      <c r="S68" s="243"/>
      <c r="T68" s="243"/>
      <c r="U68" s="247"/>
    </row>
    <row r="69" spans="1:21" x14ac:dyDescent="0.25">
      <c r="A69" s="238" t="s">
        <v>188</v>
      </c>
      <c r="B69" s="239"/>
      <c r="C69" s="239"/>
      <c r="D69" s="239"/>
      <c r="E69" s="239"/>
      <c r="F69" s="239"/>
      <c r="G69" s="239"/>
      <c r="H69" s="239"/>
      <c r="I69" s="239"/>
      <c r="J69" s="239"/>
      <c r="K69" s="246" t="s">
        <v>189</v>
      </c>
      <c r="L69" s="246"/>
      <c r="M69" s="246"/>
      <c r="N69" s="246"/>
      <c r="O69" s="246"/>
      <c r="P69" s="246"/>
      <c r="Q69" s="246"/>
      <c r="R69" s="246"/>
      <c r="S69" s="246"/>
      <c r="T69" s="246"/>
      <c r="U69" s="247"/>
    </row>
    <row r="70" spans="1:21" x14ac:dyDescent="0.25">
      <c r="A70" s="238"/>
      <c r="B70" s="239"/>
      <c r="C70" s="239"/>
      <c r="D70" s="239"/>
      <c r="E70" s="239"/>
      <c r="F70" s="239"/>
      <c r="G70" s="239"/>
      <c r="H70" s="239"/>
      <c r="I70" s="239"/>
      <c r="J70" s="239"/>
      <c r="K70" s="246" t="s">
        <v>190</v>
      </c>
      <c r="L70" s="246"/>
      <c r="M70" s="246"/>
      <c r="N70" s="246"/>
      <c r="O70" s="246"/>
      <c r="P70" s="246"/>
      <c r="Q70" s="246"/>
      <c r="R70" s="246"/>
      <c r="S70" s="246"/>
      <c r="T70" s="246"/>
      <c r="U70" s="247"/>
    </row>
    <row r="71" spans="1:21" x14ac:dyDescent="0.25">
      <c r="A71" s="238"/>
      <c r="B71" s="239"/>
      <c r="C71" s="239"/>
      <c r="D71" s="239"/>
      <c r="E71" s="239"/>
      <c r="F71" s="239"/>
      <c r="G71" s="239"/>
      <c r="H71" s="239"/>
      <c r="I71" s="239"/>
      <c r="J71" s="239"/>
      <c r="K71" s="246" t="s">
        <v>191</v>
      </c>
      <c r="L71" s="246"/>
      <c r="M71" s="246"/>
      <c r="N71" s="246"/>
      <c r="O71" s="246"/>
      <c r="P71" s="246"/>
      <c r="Q71" s="246"/>
      <c r="R71" s="246"/>
      <c r="S71" s="246"/>
      <c r="T71" s="246"/>
      <c r="U71" s="247"/>
    </row>
    <row r="72" spans="1:21" x14ac:dyDescent="0.25">
      <c r="A72" s="238"/>
      <c r="B72" s="239"/>
      <c r="C72" s="239"/>
      <c r="D72" s="239"/>
      <c r="E72" s="239"/>
      <c r="F72" s="239"/>
      <c r="G72" s="239"/>
      <c r="H72" s="239"/>
      <c r="I72" s="239"/>
      <c r="J72" s="239"/>
      <c r="K72" s="246" t="s">
        <v>192</v>
      </c>
      <c r="L72" s="246"/>
      <c r="M72" s="246"/>
      <c r="N72" s="246"/>
      <c r="O72" s="246"/>
      <c r="P72" s="246"/>
      <c r="Q72" s="246"/>
      <c r="R72" s="246"/>
      <c r="S72" s="246"/>
      <c r="T72" s="246"/>
      <c r="U72" s="247"/>
    </row>
    <row r="73" spans="1:21" x14ac:dyDescent="0.25">
      <c r="A73" s="238"/>
      <c r="B73" s="239"/>
      <c r="C73" s="239"/>
      <c r="D73" s="239"/>
      <c r="E73" s="239"/>
      <c r="F73" s="239"/>
      <c r="G73" s="239"/>
      <c r="H73" s="239"/>
      <c r="I73" s="239"/>
      <c r="J73" s="239"/>
      <c r="K73" s="246" t="s">
        <v>193</v>
      </c>
      <c r="L73" s="246"/>
      <c r="M73" s="246"/>
      <c r="N73" s="246"/>
      <c r="O73" s="246"/>
      <c r="P73" s="246"/>
      <c r="Q73" s="246"/>
      <c r="R73" s="246"/>
      <c r="S73" s="246"/>
      <c r="T73" s="246"/>
      <c r="U73" s="247"/>
    </row>
    <row r="74" spans="1:21" x14ac:dyDescent="0.25">
      <c r="A74" s="238" t="s">
        <v>194</v>
      </c>
      <c r="B74" s="239"/>
      <c r="C74" s="239"/>
      <c r="D74" s="239"/>
      <c r="E74" s="239"/>
      <c r="F74" s="239"/>
      <c r="G74" s="239"/>
      <c r="H74" s="239"/>
      <c r="I74" s="239"/>
      <c r="J74" s="239"/>
      <c r="K74" s="240" t="s">
        <v>195</v>
      </c>
      <c r="L74" s="240"/>
      <c r="M74" s="240"/>
      <c r="N74" s="240"/>
      <c r="O74" s="240"/>
      <c r="P74" s="240"/>
      <c r="Q74" s="240"/>
      <c r="R74" s="240"/>
      <c r="S74" s="240"/>
      <c r="T74" s="240"/>
      <c r="U74" s="241"/>
    </row>
    <row r="75" spans="1:21" x14ac:dyDescent="0.25">
      <c r="A75" s="242" t="s">
        <v>196</v>
      </c>
      <c r="B75" s="243"/>
      <c r="C75" s="243"/>
      <c r="D75" s="243"/>
      <c r="E75" s="243"/>
      <c r="F75" s="243"/>
      <c r="G75" s="243"/>
      <c r="H75" s="243"/>
      <c r="I75" s="243"/>
      <c r="J75" s="243"/>
      <c r="K75" s="240"/>
      <c r="L75" s="240"/>
      <c r="M75" s="240"/>
      <c r="N75" s="240"/>
      <c r="O75" s="240"/>
      <c r="P75" s="240"/>
      <c r="Q75" s="240"/>
      <c r="R75" s="240"/>
      <c r="S75" s="240"/>
      <c r="T75" s="240"/>
      <c r="U75" s="241"/>
    </row>
    <row r="76" spans="1:21" x14ac:dyDescent="0.25">
      <c r="A76" s="238" t="s">
        <v>197</v>
      </c>
      <c r="B76" s="239"/>
      <c r="C76" s="239"/>
      <c r="D76" s="239"/>
      <c r="E76" s="239"/>
      <c r="F76" s="239"/>
      <c r="G76" s="239"/>
      <c r="H76" s="239"/>
      <c r="I76" s="239"/>
      <c r="J76" s="239"/>
      <c r="K76" s="246" t="s">
        <v>198</v>
      </c>
      <c r="L76" s="246"/>
      <c r="M76" s="246"/>
      <c r="N76" s="246"/>
      <c r="O76" s="246"/>
      <c r="P76" s="246"/>
      <c r="Q76" s="246"/>
      <c r="R76" s="246"/>
      <c r="S76" s="246"/>
      <c r="T76" s="246"/>
      <c r="U76" s="247"/>
    </row>
    <row r="77" spans="1:21" x14ac:dyDescent="0.25">
      <c r="A77" s="238"/>
      <c r="B77" s="239"/>
      <c r="C77" s="239"/>
      <c r="D77" s="239"/>
      <c r="E77" s="239"/>
      <c r="F77" s="239"/>
      <c r="G77" s="239"/>
      <c r="H77" s="239"/>
      <c r="I77" s="239"/>
      <c r="J77" s="239"/>
      <c r="K77" s="246" t="s">
        <v>199</v>
      </c>
      <c r="L77" s="246"/>
      <c r="M77" s="246"/>
      <c r="N77" s="246"/>
      <c r="O77" s="246"/>
      <c r="P77" s="246"/>
      <c r="Q77" s="246"/>
      <c r="R77" s="246"/>
      <c r="S77" s="246"/>
      <c r="T77" s="246"/>
      <c r="U77" s="247"/>
    </row>
    <row r="78" spans="1:21" x14ac:dyDescent="0.25">
      <c r="A78" s="238"/>
      <c r="B78" s="239"/>
      <c r="C78" s="239"/>
      <c r="D78" s="239"/>
      <c r="E78" s="239"/>
      <c r="F78" s="239"/>
      <c r="G78" s="239"/>
      <c r="H78" s="239"/>
      <c r="I78" s="239"/>
      <c r="J78" s="239"/>
      <c r="K78" s="248" t="s">
        <v>200</v>
      </c>
      <c r="L78" s="248"/>
      <c r="M78" s="248"/>
      <c r="N78" s="248"/>
      <c r="O78" s="248"/>
      <c r="P78" s="248"/>
      <c r="Q78" s="248"/>
      <c r="R78" s="248"/>
      <c r="S78" s="248"/>
      <c r="T78" s="248"/>
      <c r="U78" s="249"/>
    </row>
    <row r="79" spans="1:21" x14ac:dyDescent="0.25">
      <c r="A79" s="238"/>
      <c r="B79" s="239"/>
      <c r="C79" s="239"/>
      <c r="D79" s="239"/>
      <c r="E79" s="239"/>
      <c r="F79" s="239"/>
      <c r="G79" s="239"/>
      <c r="H79" s="239"/>
      <c r="I79" s="239"/>
      <c r="J79" s="239"/>
      <c r="K79" s="248" t="s">
        <v>201</v>
      </c>
      <c r="L79" s="248"/>
      <c r="M79" s="248"/>
      <c r="N79" s="248"/>
      <c r="O79" s="248"/>
      <c r="P79" s="248"/>
      <c r="Q79" s="248"/>
      <c r="R79" s="248"/>
      <c r="S79" s="248"/>
      <c r="T79" s="248"/>
      <c r="U79" s="249"/>
    </row>
    <row r="80" spans="1:21" x14ac:dyDescent="0.25">
      <c r="A80" s="238"/>
      <c r="B80" s="239"/>
      <c r="C80" s="239"/>
      <c r="D80" s="239"/>
      <c r="E80" s="239"/>
      <c r="F80" s="239"/>
      <c r="G80" s="239"/>
      <c r="H80" s="239"/>
      <c r="I80" s="239"/>
      <c r="J80" s="239"/>
      <c r="K80" s="246" t="s">
        <v>202</v>
      </c>
      <c r="L80" s="246"/>
      <c r="M80" s="246"/>
      <c r="N80" s="246"/>
      <c r="O80" s="246"/>
      <c r="P80" s="246"/>
      <c r="Q80" s="246"/>
      <c r="R80" s="246"/>
      <c r="S80" s="246"/>
      <c r="T80" s="246"/>
      <c r="U80" s="247"/>
    </row>
    <row r="81" spans="1:21" x14ac:dyDescent="0.25">
      <c r="A81" s="238"/>
      <c r="B81" s="239"/>
      <c r="C81" s="239"/>
      <c r="D81" s="239"/>
      <c r="E81" s="239"/>
      <c r="F81" s="239"/>
      <c r="G81" s="239"/>
      <c r="H81" s="239"/>
      <c r="I81" s="239"/>
      <c r="J81" s="239"/>
      <c r="K81" s="250" t="s">
        <v>203</v>
      </c>
      <c r="L81" s="250"/>
      <c r="M81" s="250"/>
      <c r="N81" s="250"/>
      <c r="O81" s="250"/>
      <c r="P81" s="250"/>
      <c r="Q81" s="250"/>
      <c r="R81" s="250"/>
      <c r="S81" s="250"/>
      <c r="T81" s="250"/>
      <c r="U81" s="251"/>
    </row>
    <row r="82" spans="1:21" x14ac:dyDescent="0.25">
      <c r="A82" s="238"/>
      <c r="B82" s="239"/>
      <c r="C82" s="239"/>
      <c r="D82" s="239"/>
      <c r="E82" s="239"/>
      <c r="F82" s="239"/>
      <c r="G82" s="239"/>
      <c r="H82" s="239"/>
      <c r="I82" s="239"/>
      <c r="J82" s="239"/>
      <c r="K82" s="248" t="s">
        <v>204</v>
      </c>
      <c r="L82" s="248"/>
      <c r="M82" s="248"/>
      <c r="N82" s="248"/>
      <c r="O82" s="248"/>
      <c r="P82" s="248"/>
      <c r="Q82" s="248"/>
      <c r="R82" s="248"/>
      <c r="S82" s="248"/>
      <c r="T82" s="248"/>
      <c r="U82" s="249"/>
    </row>
    <row r="83" spans="1:21" x14ac:dyDescent="0.25">
      <c r="A83" s="238"/>
      <c r="B83" s="239"/>
      <c r="C83" s="239"/>
      <c r="D83" s="239"/>
      <c r="E83" s="239"/>
      <c r="F83" s="239"/>
      <c r="G83" s="239"/>
      <c r="H83" s="239"/>
      <c r="I83" s="239"/>
      <c r="J83" s="239"/>
      <c r="K83" s="246" t="s">
        <v>205</v>
      </c>
      <c r="L83" s="246"/>
      <c r="M83" s="246"/>
      <c r="N83" s="246"/>
      <c r="O83" s="246"/>
      <c r="P83" s="246"/>
      <c r="Q83" s="246"/>
      <c r="R83" s="246"/>
      <c r="S83" s="246"/>
      <c r="T83" s="246"/>
      <c r="U83" s="247"/>
    </row>
    <row r="84" spans="1:21" x14ac:dyDescent="0.25">
      <c r="A84" s="244"/>
      <c r="B84" s="245"/>
      <c r="C84" s="245"/>
      <c r="D84" s="245"/>
      <c r="E84" s="245"/>
      <c r="F84" s="245"/>
      <c r="G84" s="245"/>
      <c r="H84" s="245"/>
      <c r="I84" s="245"/>
      <c r="J84" s="245"/>
      <c r="K84" s="252" t="s">
        <v>206</v>
      </c>
      <c r="L84" s="252"/>
      <c r="M84" s="252"/>
      <c r="N84" s="252"/>
      <c r="O84" s="252"/>
      <c r="P84" s="252"/>
      <c r="Q84" s="252"/>
      <c r="R84" s="252"/>
      <c r="S84" s="252"/>
      <c r="T84" s="252"/>
      <c r="U84" s="253"/>
    </row>
  </sheetData>
  <mergeCells count="40">
    <mergeCell ref="A1:U1"/>
    <mergeCell ref="A2:U2"/>
    <mergeCell ref="A3:A4"/>
    <mergeCell ref="B3:E3"/>
    <mergeCell ref="F3:I3"/>
    <mergeCell ref="J3:M3"/>
    <mergeCell ref="N3:Q3"/>
    <mergeCell ref="R3:U3"/>
    <mergeCell ref="B4:C4"/>
    <mergeCell ref="D4:E4"/>
    <mergeCell ref="R4:S4"/>
    <mergeCell ref="T4:U4"/>
    <mergeCell ref="A69:J73"/>
    <mergeCell ref="K69:U69"/>
    <mergeCell ref="K70:U70"/>
    <mergeCell ref="K71:U71"/>
    <mergeCell ref="K72:U72"/>
    <mergeCell ref="K73:U73"/>
    <mergeCell ref="A67:J67"/>
    <mergeCell ref="K67:U68"/>
    <mergeCell ref="A68:J68"/>
    <mergeCell ref="F4:G4"/>
    <mergeCell ref="H4:I4"/>
    <mergeCell ref="J4:K4"/>
    <mergeCell ref="L4:M4"/>
    <mergeCell ref="N4:O4"/>
    <mergeCell ref="P4:Q4"/>
    <mergeCell ref="A74:J74"/>
    <mergeCell ref="K74:U75"/>
    <mergeCell ref="A75:J75"/>
    <mergeCell ref="A76:J84"/>
    <mergeCell ref="K76:U76"/>
    <mergeCell ref="K77:U77"/>
    <mergeCell ref="K78:U78"/>
    <mergeCell ref="K79:U79"/>
    <mergeCell ref="K80:U80"/>
    <mergeCell ref="K81:U81"/>
    <mergeCell ref="K82:U82"/>
    <mergeCell ref="K83:U83"/>
    <mergeCell ref="K84:U84"/>
  </mergeCells>
  <hyperlinks>
    <hyperlink ref="K74" r:id="rId1" display="http://www.eia.gov/coal/" xr:uid="{00000000-0004-0000-0E00-000000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82"/>
  <sheetViews>
    <sheetView showGridLines="0" topLeftCell="A30" workbookViewId="0">
      <selection activeCell="N47" sqref="N47"/>
    </sheetView>
  </sheetViews>
  <sheetFormatPr defaultColWidth="9.140625" defaultRowHeight="15" x14ac:dyDescent="0.25"/>
  <cols>
    <col min="1" max="1" width="5" style="65" customWidth="1"/>
    <col min="2" max="2" width="5.85546875" style="65" customWidth="1"/>
    <col min="3" max="3" width="2.7109375" style="65" customWidth="1"/>
    <col min="4" max="4" width="5" style="65" customWidth="1"/>
    <col min="5" max="5" width="2.42578125" style="65" customWidth="1"/>
    <col min="6" max="6" width="6.5703125" style="65" customWidth="1"/>
    <col min="7" max="7" width="3.85546875" style="65" customWidth="1"/>
    <col min="8" max="8" width="5.85546875" style="65" customWidth="1"/>
    <col min="9" max="9" width="2.7109375" style="65" customWidth="1"/>
    <col min="10" max="10" width="5" style="65" customWidth="1"/>
    <col min="11" max="11" width="2.42578125" style="65" customWidth="1"/>
    <col min="12" max="12" width="6.5703125" style="65" customWidth="1"/>
    <col min="13" max="13" width="3.85546875" style="65" customWidth="1"/>
    <col min="14" max="14" width="5.5703125" style="65" customWidth="1"/>
    <col min="15" max="15" width="3.140625" style="65" customWidth="1"/>
    <col min="16" max="16" width="4.140625" style="65" customWidth="1"/>
    <col min="17" max="17" width="2.42578125" style="65" customWidth="1"/>
    <col min="18" max="18" width="6.85546875" style="65" customWidth="1"/>
    <col min="19" max="19" width="3.7109375" style="65" customWidth="1"/>
    <col min="20" max="20" width="6.85546875" style="65" customWidth="1"/>
    <col min="21" max="21" width="3.140625" style="65" customWidth="1"/>
    <col min="22" max="22" width="6.85546875" style="65" customWidth="1"/>
    <col min="23" max="23" width="3.140625" style="65" customWidth="1"/>
    <col min="24" max="24" width="5.85546875" style="65" customWidth="1"/>
    <col min="25" max="25" width="3.140625" style="65" customWidth="1"/>
    <col min="26" max="26" width="4.140625" style="65" customWidth="1"/>
    <col min="27" max="27" width="2.42578125" style="65" customWidth="1"/>
    <col min="28" max="28" width="7.28515625" style="65" customWidth="1"/>
    <col min="29" max="29" width="3.42578125" style="65" customWidth="1"/>
    <col min="30" max="16384" width="9.140625" style="65"/>
  </cols>
  <sheetData>
    <row r="1" spans="1:29" ht="15.75" customHeight="1" x14ac:dyDescent="0.25">
      <c r="A1" s="260" t="s">
        <v>213</v>
      </c>
      <c r="B1" s="261"/>
      <c r="C1" s="261"/>
      <c r="D1" s="261"/>
      <c r="E1" s="261"/>
      <c r="F1" s="261"/>
      <c r="G1" s="261"/>
      <c r="H1" s="261"/>
      <c r="I1" s="261"/>
      <c r="J1" s="261"/>
      <c r="K1" s="261"/>
      <c r="L1" s="261"/>
      <c r="M1" s="261"/>
      <c r="N1" s="261"/>
      <c r="O1" s="261"/>
      <c r="P1" s="261"/>
      <c r="Q1" s="261"/>
      <c r="R1" s="261"/>
      <c r="S1" s="261"/>
      <c r="T1" s="261"/>
      <c r="U1" s="261"/>
      <c r="V1" s="261"/>
      <c r="W1" s="261"/>
      <c r="X1" s="261"/>
      <c r="Y1" s="261"/>
      <c r="Z1" s="261"/>
      <c r="AA1" s="261"/>
      <c r="AB1" s="261"/>
      <c r="AC1" s="262"/>
    </row>
    <row r="2" spans="1:29" x14ac:dyDescent="0.25">
      <c r="A2" s="263" t="s">
        <v>214</v>
      </c>
      <c r="B2" s="264"/>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c r="AC2" s="265"/>
    </row>
    <row r="3" spans="1:29" x14ac:dyDescent="0.25">
      <c r="A3" s="266" t="s">
        <v>176</v>
      </c>
      <c r="B3" s="258" t="s">
        <v>215</v>
      </c>
      <c r="C3" s="268"/>
      <c r="D3" s="268"/>
      <c r="E3" s="268"/>
      <c r="F3" s="268"/>
      <c r="G3" s="259"/>
      <c r="H3" s="258" t="s">
        <v>216</v>
      </c>
      <c r="I3" s="268"/>
      <c r="J3" s="268"/>
      <c r="K3" s="268"/>
      <c r="L3" s="268"/>
      <c r="M3" s="259"/>
      <c r="N3" s="258" t="s">
        <v>217</v>
      </c>
      <c r="O3" s="268"/>
      <c r="P3" s="268"/>
      <c r="Q3" s="268"/>
      <c r="R3" s="268"/>
      <c r="S3" s="259"/>
      <c r="T3" s="258" t="s">
        <v>218</v>
      </c>
      <c r="U3" s="268"/>
      <c r="V3" s="268"/>
      <c r="W3" s="259"/>
      <c r="X3" s="258" t="s">
        <v>219</v>
      </c>
      <c r="Y3" s="268"/>
      <c r="Z3" s="268"/>
      <c r="AA3" s="268"/>
      <c r="AB3" s="268"/>
      <c r="AC3" s="259"/>
    </row>
    <row r="4" spans="1:29" x14ac:dyDescent="0.25">
      <c r="A4" s="283"/>
      <c r="B4" s="279" t="s">
        <v>220</v>
      </c>
      <c r="C4" s="280"/>
      <c r="D4" s="280"/>
      <c r="E4" s="281"/>
      <c r="F4" s="279" t="s">
        <v>221</v>
      </c>
      <c r="G4" s="281"/>
      <c r="H4" s="279" t="s">
        <v>220</v>
      </c>
      <c r="I4" s="280"/>
      <c r="J4" s="280"/>
      <c r="K4" s="281"/>
      <c r="L4" s="279" t="s">
        <v>221</v>
      </c>
      <c r="M4" s="281"/>
      <c r="N4" s="279" t="s">
        <v>220</v>
      </c>
      <c r="O4" s="280"/>
      <c r="P4" s="280"/>
      <c r="Q4" s="281"/>
      <c r="R4" s="279" t="s">
        <v>221</v>
      </c>
      <c r="S4" s="281"/>
      <c r="T4" s="279" t="s">
        <v>222</v>
      </c>
      <c r="U4" s="280"/>
      <c r="V4" s="280"/>
      <c r="W4" s="281"/>
      <c r="X4" s="279" t="s">
        <v>223</v>
      </c>
      <c r="Y4" s="280"/>
      <c r="Z4" s="280"/>
      <c r="AA4" s="281"/>
      <c r="AB4" s="279" t="s">
        <v>221</v>
      </c>
      <c r="AC4" s="281"/>
    </row>
    <row r="5" spans="1:29" x14ac:dyDescent="0.25">
      <c r="A5" s="283"/>
      <c r="B5" s="274"/>
      <c r="C5" s="282"/>
      <c r="D5" s="282"/>
      <c r="E5" s="275"/>
      <c r="F5" s="277" t="s">
        <v>224</v>
      </c>
      <c r="G5" s="278"/>
      <c r="H5" s="274"/>
      <c r="I5" s="282"/>
      <c r="J5" s="282"/>
      <c r="K5" s="275"/>
      <c r="L5" s="277" t="s">
        <v>224</v>
      </c>
      <c r="M5" s="278"/>
      <c r="N5" s="274"/>
      <c r="O5" s="282"/>
      <c r="P5" s="282"/>
      <c r="Q5" s="275"/>
      <c r="R5" s="277" t="s">
        <v>224</v>
      </c>
      <c r="S5" s="278"/>
      <c r="T5" s="274"/>
      <c r="U5" s="282"/>
      <c r="V5" s="282"/>
      <c r="W5" s="275"/>
      <c r="X5" s="274"/>
      <c r="Y5" s="282"/>
      <c r="Z5" s="282"/>
      <c r="AA5" s="275"/>
      <c r="AB5" s="277" t="s">
        <v>224</v>
      </c>
      <c r="AC5" s="278"/>
    </row>
    <row r="6" spans="1:29" x14ac:dyDescent="0.25">
      <c r="A6" s="267"/>
      <c r="B6" s="258" t="s">
        <v>225</v>
      </c>
      <c r="C6" s="259"/>
      <c r="D6" s="258" t="s">
        <v>226</v>
      </c>
      <c r="E6" s="259"/>
      <c r="F6" s="274" t="s">
        <v>227</v>
      </c>
      <c r="G6" s="275"/>
      <c r="H6" s="258" t="s">
        <v>225</v>
      </c>
      <c r="I6" s="259"/>
      <c r="J6" s="258" t="s">
        <v>226</v>
      </c>
      <c r="K6" s="259"/>
      <c r="L6" s="274" t="s">
        <v>227</v>
      </c>
      <c r="M6" s="275"/>
      <c r="N6" s="258" t="s">
        <v>225</v>
      </c>
      <c r="O6" s="259"/>
      <c r="P6" s="258" t="s">
        <v>226</v>
      </c>
      <c r="Q6" s="259"/>
      <c r="R6" s="274" t="s">
        <v>227</v>
      </c>
      <c r="S6" s="275"/>
      <c r="T6" s="258" t="s">
        <v>225</v>
      </c>
      <c r="U6" s="259"/>
      <c r="V6" s="258" t="s">
        <v>226</v>
      </c>
      <c r="W6" s="259"/>
      <c r="X6" s="258" t="s">
        <v>225</v>
      </c>
      <c r="Y6" s="259"/>
      <c r="Z6" s="258" t="s">
        <v>226</v>
      </c>
      <c r="AA6" s="259"/>
      <c r="AB6" s="274" t="s">
        <v>228</v>
      </c>
      <c r="AC6" s="275"/>
    </row>
    <row r="7" spans="1:29" x14ac:dyDescent="0.25">
      <c r="A7" s="69">
        <v>1967</v>
      </c>
      <c r="B7" s="77">
        <v>1.04</v>
      </c>
      <c r="C7" s="75"/>
      <c r="D7" s="77">
        <v>4.93</v>
      </c>
      <c r="E7" s="75"/>
      <c r="F7" s="77" t="s">
        <v>229</v>
      </c>
      <c r="G7" s="75"/>
      <c r="H7" s="77">
        <v>0.74</v>
      </c>
      <c r="I7" s="75"/>
      <c r="J7" s="77">
        <v>3.5</v>
      </c>
      <c r="K7" s="75"/>
      <c r="L7" s="77" t="s">
        <v>229</v>
      </c>
      <c r="M7" s="75"/>
      <c r="N7" s="77">
        <v>0.34</v>
      </c>
      <c r="O7" s="75"/>
      <c r="P7" s="77">
        <v>1.61</v>
      </c>
      <c r="Q7" s="75"/>
      <c r="R7" s="77" t="s">
        <v>229</v>
      </c>
      <c r="S7" s="75"/>
      <c r="T7" s="77" t="s">
        <v>229</v>
      </c>
      <c r="U7" s="75"/>
      <c r="V7" s="77" t="s">
        <v>229</v>
      </c>
      <c r="W7" s="75"/>
      <c r="X7" s="77">
        <v>0.28000000000000003</v>
      </c>
      <c r="Y7" s="75"/>
      <c r="Z7" s="77">
        <v>1.33</v>
      </c>
      <c r="AA7" s="75"/>
      <c r="AB7" s="77" t="s">
        <v>229</v>
      </c>
      <c r="AC7" s="75"/>
    </row>
    <row r="8" spans="1:29" x14ac:dyDescent="0.25">
      <c r="A8" s="69">
        <v>1968</v>
      </c>
      <c r="B8" s="77">
        <v>1.04</v>
      </c>
      <c r="C8" s="75"/>
      <c r="D8" s="77">
        <v>4.72</v>
      </c>
      <c r="E8" s="75"/>
      <c r="F8" s="77" t="s">
        <v>229</v>
      </c>
      <c r="G8" s="75"/>
      <c r="H8" s="77">
        <v>0.73</v>
      </c>
      <c r="I8" s="75"/>
      <c r="J8" s="77">
        <v>3.32</v>
      </c>
      <c r="K8" s="75"/>
      <c r="L8" s="77" t="s">
        <v>229</v>
      </c>
      <c r="M8" s="75"/>
      <c r="N8" s="77">
        <v>0.34</v>
      </c>
      <c r="O8" s="75"/>
      <c r="P8" s="77">
        <v>1.54</v>
      </c>
      <c r="Q8" s="75"/>
      <c r="R8" s="77" t="s">
        <v>229</v>
      </c>
      <c r="S8" s="75"/>
      <c r="T8" s="77" t="s">
        <v>229</v>
      </c>
      <c r="U8" s="75"/>
      <c r="V8" s="77" t="s">
        <v>229</v>
      </c>
      <c r="W8" s="75"/>
      <c r="X8" s="77">
        <v>0.22</v>
      </c>
      <c r="Y8" s="75"/>
      <c r="Z8" s="77">
        <v>1</v>
      </c>
      <c r="AA8" s="75"/>
      <c r="AB8" s="77" t="s">
        <v>229</v>
      </c>
      <c r="AC8" s="75"/>
    </row>
    <row r="9" spans="1:29" x14ac:dyDescent="0.25">
      <c r="A9" s="73">
        <v>1969</v>
      </c>
      <c r="B9" s="72">
        <v>1.05</v>
      </c>
      <c r="C9" s="70"/>
      <c r="D9" s="72">
        <v>4.55</v>
      </c>
      <c r="E9" s="70"/>
      <c r="F9" s="72" t="s">
        <v>229</v>
      </c>
      <c r="G9" s="70"/>
      <c r="H9" s="72">
        <v>0.74</v>
      </c>
      <c r="I9" s="70"/>
      <c r="J9" s="72">
        <v>3.2</v>
      </c>
      <c r="K9" s="70"/>
      <c r="L9" s="72" t="s">
        <v>229</v>
      </c>
      <c r="M9" s="70"/>
      <c r="N9" s="72">
        <v>0.35</v>
      </c>
      <c r="O9" s="70"/>
      <c r="P9" s="72">
        <v>1.52</v>
      </c>
      <c r="Q9" s="70"/>
      <c r="R9" s="72" t="s">
        <v>229</v>
      </c>
      <c r="S9" s="70"/>
      <c r="T9" s="72" t="s">
        <v>229</v>
      </c>
      <c r="U9" s="70"/>
      <c r="V9" s="72" t="s">
        <v>229</v>
      </c>
      <c r="W9" s="70"/>
      <c r="X9" s="72">
        <v>0.27</v>
      </c>
      <c r="Y9" s="70"/>
      <c r="Z9" s="72">
        <v>1.17</v>
      </c>
      <c r="AA9" s="70"/>
      <c r="AB9" s="72" t="s">
        <v>229</v>
      </c>
      <c r="AC9" s="70"/>
    </row>
    <row r="10" spans="1:29" x14ac:dyDescent="0.25">
      <c r="A10" s="69">
        <v>1970</v>
      </c>
      <c r="B10" s="77">
        <v>1.0900000000000001</v>
      </c>
      <c r="C10" s="75"/>
      <c r="D10" s="77">
        <v>4.4800000000000004</v>
      </c>
      <c r="E10" s="75"/>
      <c r="F10" s="77" t="s">
        <v>229</v>
      </c>
      <c r="G10" s="75"/>
      <c r="H10" s="77">
        <v>0.77</v>
      </c>
      <c r="I10" s="75"/>
      <c r="J10" s="77">
        <v>3.17</v>
      </c>
      <c r="K10" s="75"/>
      <c r="L10" s="77" t="s">
        <v>229</v>
      </c>
      <c r="M10" s="75"/>
      <c r="N10" s="77">
        <v>0.37</v>
      </c>
      <c r="O10" s="75"/>
      <c r="P10" s="77">
        <v>1.52</v>
      </c>
      <c r="Q10" s="75"/>
      <c r="R10" s="77" t="s">
        <v>229</v>
      </c>
      <c r="S10" s="75"/>
      <c r="T10" s="77" t="s">
        <v>229</v>
      </c>
      <c r="U10" s="75"/>
      <c r="V10" s="77" t="s">
        <v>229</v>
      </c>
      <c r="W10" s="75"/>
      <c r="X10" s="77">
        <v>0.28999999999999998</v>
      </c>
      <c r="Y10" s="75"/>
      <c r="Z10" s="77">
        <v>1.19</v>
      </c>
      <c r="AA10" s="75"/>
      <c r="AB10" s="77" t="s">
        <v>229</v>
      </c>
      <c r="AC10" s="75"/>
    </row>
    <row r="11" spans="1:29" x14ac:dyDescent="0.25">
      <c r="A11" s="69">
        <v>1971</v>
      </c>
      <c r="B11" s="77">
        <v>1.1499999999999999</v>
      </c>
      <c r="C11" s="75"/>
      <c r="D11" s="77">
        <v>4.5</v>
      </c>
      <c r="E11" s="75"/>
      <c r="F11" s="77" t="s">
        <v>229</v>
      </c>
      <c r="G11" s="75"/>
      <c r="H11" s="77">
        <v>0.82</v>
      </c>
      <c r="I11" s="75"/>
      <c r="J11" s="77">
        <v>3.21</v>
      </c>
      <c r="K11" s="75"/>
      <c r="L11" s="77" t="s">
        <v>229</v>
      </c>
      <c r="M11" s="75"/>
      <c r="N11" s="77">
        <v>0.41</v>
      </c>
      <c r="O11" s="75"/>
      <c r="P11" s="77">
        <v>1.61</v>
      </c>
      <c r="Q11" s="75"/>
      <c r="R11" s="77" t="s">
        <v>229</v>
      </c>
      <c r="S11" s="75"/>
      <c r="T11" s="77" t="s">
        <v>229</v>
      </c>
      <c r="U11" s="75"/>
      <c r="V11" s="77" t="s">
        <v>229</v>
      </c>
      <c r="W11" s="75"/>
      <c r="X11" s="77">
        <v>0.32</v>
      </c>
      <c r="Y11" s="75"/>
      <c r="Z11" s="77">
        <v>1.25</v>
      </c>
      <c r="AA11" s="75"/>
      <c r="AB11" s="77" t="s">
        <v>229</v>
      </c>
      <c r="AC11" s="75"/>
    </row>
    <row r="12" spans="1:29" x14ac:dyDescent="0.25">
      <c r="A12" s="73">
        <v>1972</v>
      </c>
      <c r="B12" s="72">
        <v>1.21</v>
      </c>
      <c r="C12" s="70"/>
      <c r="D12" s="72">
        <v>4.54</v>
      </c>
      <c r="E12" s="70"/>
      <c r="F12" s="72" t="s">
        <v>229</v>
      </c>
      <c r="G12" s="70"/>
      <c r="H12" s="72">
        <v>0.88</v>
      </c>
      <c r="I12" s="70"/>
      <c r="J12" s="72">
        <v>3.3</v>
      </c>
      <c r="K12" s="70"/>
      <c r="L12" s="72" t="s">
        <v>229</v>
      </c>
      <c r="M12" s="70"/>
      <c r="N12" s="72">
        <v>0.45</v>
      </c>
      <c r="O12" s="70"/>
      <c r="P12" s="72">
        <v>1.69</v>
      </c>
      <c r="Q12" s="70"/>
      <c r="R12" s="72" t="s">
        <v>229</v>
      </c>
      <c r="S12" s="70"/>
      <c r="T12" s="72" t="s">
        <v>229</v>
      </c>
      <c r="U12" s="70"/>
      <c r="V12" s="72" t="s">
        <v>229</v>
      </c>
      <c r="W12" s="70"/>
      <c r="X12" s="72">
        <v>0.34</v>
      </c>
      <c r="Y12" s="70"/>
      <c r="Z12" s="72">
        <v>1.28</v>
      </c>
      <c r="AA12" s="70"/>
      <c r="AB12" s="72" t="s">
        <v>229</v>
      </c>
      <c r="AC12" s="70"/>
    </row>
    <row r="13" spans="1:29" x14ac:dyDescent="0.25">
      <c r="A13" s="69">
        <v>1973</v>
      </c>
      <c r="B13" s="77">
        <v>1.29</v>
      </c>
      <c r="C13" s="75"/>
      <c r="D13" s="77">
        <v>4.59</v>
      </c>
      <c r="E13" s="75"/>
      <c r="F13" s="77" t="s">
        <v>229</v>
      </c>
      <c r="G13" s="75"/>
      <c r="H13" s="77">
        <v>0.94</v>
      </c>
      <c r="I13" s="75"/>
      <c r="J13" s="77">
        <v>3.34</v>
      </c>
      <c r="K13" s="75"/>
      <c r="L13" s="77" t="s">
        <v>229</v>
      </c>
      <c r="M13" s="75"/>
      <c r="N13" s="77">
        <v>0.5</v>
      </c>
      <c r="O13" s="75"/>
      <c r="P13" s="77">
        <v>1.78</v>
      </c>
      <c r="Q13" s="75"/>
      <c r="R13" s="77" t="s">
        <v>229</v>
      </c>
      <c r="S13" s="75"/>
      <c r="T13" s="77" t="s">
        <v>229</v>
      </c>
      <c r="U13" s="75"/>
      <c r="V13" s="77" t="s">
        <v>229</v>
      </c>
      <c r="W13" s="75"/>
      <c r="X13" s="77">
        <v>0.38</v>
      </c>
      <c r="Y13" s="75"/>
      <c r="Z13" s="77">
        <v>1.35</v>
      </c>
      <c r="AA13" s="75"/>
      <c r="AB13" s="77">
        <v>92.1</v>
      </c>
      <c r="AC13" s="75"/>
    </row>
    <row r="14" spans="1:29" x14ac:dyDescent="0.25">
      <c r="A14" s="69">
        <v>1974</v>
      </c>
      <c r="B14" s="77">
        <v>1.43</v>
      </c>
      <c r="C14" s="75"/>
      <c r="D14" s="77">
        <v>4.66</v>
      </c>
      <c r="E14" s="75"/>
      <c r="F14" s="77" t="s">
        <v>229</v>
      </c>
      <c r="G14" s="75"/>
      <c r="H14" s="77">
        <v>1.07</v>
      </c>
      <c r="I14" s="75"/>
      <c r="J14" s="77">
        <v>3.49</v>
      </c>
      <c r="K14" s="75"/>
      <c r="L14" s="77" t="s">
        <v>229</v>
      </c>
      <c r="M14" s="75"/>
      <c r="N14" s="77">
        <v>0.67</v>
      </c>
      <c r="O14" s="75"/>
      <c r="P14" s="77">
        <v>2.1800000000000002</v>
      </c>
      <c r="Q14" s="75"/>
      <c r="R14" s="77" t="s">
        <v>229</v>
      </c>
      <c r="S14" s="75"/>
      <c r="T14" s="77" t="s">
        <v>229</v>
      </c>
      <c r="U14" s="75"/>
      <c r="V14" s="77" t="s">
        <v>229</v>
      </c>
      <c r="W14" s="75"/>
      <c r="X14" s="77">
        <v>0.51</v>
      </c>
      <c r="Y14" s="75"/>
      <c r="Z14" s="77">
        <v>1.66</v>
      </c>
      <c r="AA14" s="75"/>
      <c r="AB14" s="77">
        <v>92.7</v>
      </c>
      <c r="AC14" s="75"/>
    </row>
    <row r="15" spans="1:29" x14ac:dyDescent="0.25">
      <c r="A15" s="73">
        <v>1975</v>
      </c>
      <c r="B15" s="72">
        <v>1.71</v>
      </c>
      <c r="C15" s="70"/>
      <c r="D15" s="72">
        <v>5.09</v>
      </c>
      <c r="E15" s="70"/>
      <c r="F15" s="72" t="s">
        <v>229</v>
      </c>
      <c r="G15" s="70"/>
      <c r="H15" s="72">
        <v>1.35</v>
      </c>
      <c r="I15" s="70"/>
      <c r="J15" s="72">
        <v>4.0199999999999996</v>
      </c>
      <c r="K15" s="70"/>
      <c r="L15" s="72" t="s">
        <v>229</v>
      </c>
      <c r="M15" s="70"/>
      <c r="N15" s="72">
        <v>0.96</v>
      </c>
      <c r="O15" s="70"/>
      <c r="P15" s="72">
        <v>2.86</v>
      </c>
      <c r="Q15" s="70"/>
      <c r="R15" s="72" t="s">
        <v>229</v>
      </c>
      <c r="S15" s="70"/>
      <c r="T15" s="72" t="s">
        <v>229</v>
      </c>
      <c r="U15" s="70"/>
      <c r="V15" s="72" t="s">
        <v>229</v>
      </c>
      <c r="W15" s="70"/>
      <c r="X15" s="72">
        <v>0.77</v>
      </c>
      <c r="Y15" s="70"/>
      <c r="Z15" s="72">
        <v>2.29</v>
      </c>
      <c r="AA15" s="70"/>
      <c r="AB15" s="72">
        <v>96.1</v>
      </c>
      <c r="AC15" s="70"/>
    </row>
    <row r="16" spans="1:29" x14ac:dyDescent="0.25">
      <c r="A16" s="69">
        <v>1976</v>
      </c>
      <c r="B16" s="77">
        <v>1.98</v>
      </c>
      <c r="C16" s="75"/>
      <c r="D16" s="77">
        <v>5.58</v>
      </c>
      <c r="E16" s="75"/>
      <c r="F16" s="77" t="s">
        <v>229</v>
      </c>
      <c r="G16" s="75"/>
      <c r="H16" s="77">
        <v>1.64</v>
      </c>
      <c r="I16" s="75"/>
      <c r="J16" s="77">
        <v>4.62</v>
      </c>
      <c r="K16" s="75"/>
      <c r="L16" s="77" t="s">
        <v>229</v>
      </c>
      <c r="M16" s="75"/>
      <c r="N16" s="77">
        <v>1.24</v>
      </c>
      <c r="O16" s="75"/>
      <c r="P16" s="77">
        <v>3.49</v>
      </c>
      <c r="Q16" s="75"/>
      <c r="R16" s="77" t="s">
        <v>229</v>
      </c>
      <c r="S16" s="75"/>
      <c r="T16" s="77" t="s">
        <v>229</v>
      </c>
      <c r="U16" s="75"/>
      <c r="V16" s="77" t="s">
        <v>229</v>
      </c>
      <c r="W16" s="75"/>
      <c r="X16" s="77">
        <v>1.06</v>
      </c>
      <c r="Y16" s="75"/>
      <c r="Z16" s="77">
        <v>2.99</v>
      </c>
      <c r="AA16" s="75"/>
      <c r="AB16" s="77">
        <v>96.2</v>
      </c>
      <c r="AC16" s="75"/>
    </row>
    <row r="17" spans="1:29" x14ac:dyDescent="0.25">
      <c r="A17" s="69">
        <v>1977</v>
      </c>
      <c r="B17" s="77">
        <v>2.35</v>
      </c>
      <c r="C17" s="75"/>
      <c r="D17" s="77">
        <v>6.23</v>
      </c>
      <c r="E17" s="75"/>
      <c r="F17" s="77" t="s">
        <v>229</v>
      </c>
      <c r="G17" s="75"/>
      <c r="H17" s="77">
        <v>2.04</v>
      </c>
      <c r="I17" s="75"/>
      <c r="J17" s="77">
        <v>5.4</v>
      </c>
      <c r="K17" s="75"/>
      <c r="L17" s="77" t="s">
        <v>229</v>
      </c>
      <c r="M17" s="75"/>
      <c r="N17" s="77">
        <v>1.5</v>
      </c>
      <c r="O17" s="75"/>
      <c r="P17" s="77">
        <v>3.97</v>
      </c>
      <c r="Q17" s="75"/>
      <c r="R17" s="77" t="s">
        <v>229</v>
      </c>
      <c r="S17" s="75"/>
      <c r="T17" s="77" t="s">
        <v>229</v>
      </c>
      <c r="U17" s="75"/>
      <c r="V17" s="77" t="s">
        <v>229</v>
      </c>
      <c r="W17" s="75"/>
      <c r="X17" s="77">
        <v>1.32</v>
      </c>
      <c r="Y17" s="75"/>
      <c r="Z17" s="77">
        <v>3.5</v>
      </c>
      <c r="AA17" s="75"/>
      <c r="AB17" s="77">
        <v>97.1</v>
      </c>
      <c r="AC17" s="75"/>
    </row>
    <row r="18" spans="1:29" x14ac:dyDescent="0.25">
      <c r="A18" s="73">
        <v>1978</v>
      </c>
      <c r="B18" s="72">
        <v>2.56</v>
      </c>
      <c r="C18" s="70"/>
      <c r="D18" s="72">
        <v>6.34</v>
      </c>
      <c r="E18" s="70"/>
      <c r="F18" s="72" t="s">
        <v>229</v>
      </c>
      <c r="G18" s="70"/>
      <c r="H18" s="72">
        <v>2.23</v>
      </c>
      <c r="I18" s="70"/>
      <c r="J18" s="72">
        <v>5.52</v>
      </c>
      <c r="K18" s="70"/>
      <c r="L18" s="72" t="s">
        <v>229</v>
      </c>
      <c r="M18" s="70"/>
      <c r="N18" s="72">
        <v>1.7</v>
      </c>
      <c r="O18" s="70"/>
      <c r="P18" s="72">
        <v>4.21</v>
      </c>
      <c r="Q18" s="70"/>
      <c r="R18" s="72" t="s">
        <v>229</v>
      </c>
      <c r="S18" s="70"/>
      <c r="T18" s="72" t="s">
        <v>229</v>
      </c>
      <c r="U18" s="70"/>
      <c r="V18" s="72" t="s">
        <v>229</v>
      </c>
      <c r="W18" s="70"/>
      <c r="X18" s="72">
        <v>1.48</v>
      </c>
      <c r="Y18" s="70"/>
      <c r="Z18" s="72">
        <v>3.66</v>
      </c>
      <c r="AA18" s="70"/>
      <c r="AB18" s="72">
        <v>98</v>
      </c>
      <c r="AC18" s="70"/>
    </row>
    <row r="19" spans="1:29" x14ac:dyDescent="0.25">
      <c r="A19" s="69">
        <v>1979</v>
      </c>
      <c r="B19" s="77">
        <v>2.98</v>
      </c>
      <c r="C19" s="75"/>
      <c r="D19" s="77">
        <v>6.81</v>
      </c>
      <c r="E19" s="75"/>
      <c r="F19" s="77" t="s">
        <v>229</v>
      </c>
      <c r="G19" s="75"/>
      <c r="H19" s="77">
        <v>2.73</v>
      </c>
      <c r="I19" s="75"/>
      <c r="J19" s="77">
        <v>6.24</v>
      </c>
      <c r="K19" s="75"/>
      <c r="L19" s="77" t="s">
        <v>229</v>
      </c>
      <c r="M19" s="75"/>
      <c r="N19" s="77">
        <v>1.99</v>
      </c>
      <c r="O19" s="75"/>
      <c r="P19" s="77">
        <v>4.55</v>
      </c>
      <c r="Q19" s="75"/>
      <c r="R19" s="77" t="s">
        <v>229</v>
      </c>
      <c r="S19" s="75"/>
      <c r="T19" s="77" t="s">
        <v>229</v>
      </c>
      <c r="U19" s="75"/>
      <c r="V19" s="77" t="s">
        <v>229</v>
      </c>
      <c r="W19" s="75"/>
      <c r="X19" s="77">
        <v>1.81</v>
      </c>
      <c r="Y19" s="75"/>
      <c r="Z19" s="77">
        <v>4.1399999999999997</v>
      </c>
      <c r="AA19" s="75"/>
      <c r="AB19" s="77">
        <v>96.1</v>
      </c>
      <c r="AC19" s="75"/>
    </row>
    <row r="20" spans="1:29" x14ac:dyDescent="0.25">
      <c r="A20" s="69">
        <v>1980</v>
      </c>
      <c r="B20" s="77">
        <v>3.68</v>
      </c>
      <c r="C20" s="75"/>
      <c r="D20" s="77">
        <v>7.71</v>
      </c>
      <c r="E20" s="75"/>
      <c r="F20" s="77" t="s">
        <v>229</v>
      </c>
      <c r="G20" s="75"/>
      <c r="H20" s="77">
        <v>3.39</v>
      </c>
      <c r="I20" s="75"/>
      <c r="J20" s="77">
        <v>7.1</v>
      </c>
      <c r="K20" s="75"/>
      <c r="L20" s="77" t="s">
        <v>229</v>
      </c>
      <c r="M20" s="75"/>
      <c r="N20" s="77">
        <v>2.56</v>
      </c>
      <c r="O20" s="75"/>
      <c r="P20" s="77">
        <v>5.36</v>
      </c>
      <c r="Q20" s="75"/>
      <c r="R20" s="77" t="s">
        <v>229</v>
      </c>
      <c r="S20" s="75"/>
      <c r="T20" s="77" t="s">
        <v>229</v>
      </c>
      <c r="U20" s="75"/>
      <c r="V20" s="77" t="s">
        <v>229</v>
      </c>
      <c r="W20" s="75"/>
      <c r="X20" s="77">
        <v>2.27</v>
      </c>
      <c r="Y20" s="75"/>
      <c r="Z20" s="77">
        <v>4.75</v>
      </c>
      <c r="AA20" s="75"/>
      <c r="AB20" s="77">
        <v>96.9</v>
      </c>
      <c r="AC20" s="75"/>
    </row>
    <row r="21" spans="1:29" x14ac:dyDescent="0.25">
      <c r="A21" s="73">
        <v>1981</v>
      </c>
      <c r="B21" s="72">
        <v>4.29</v>
      </c>
      <c r="C21" s="70"/>
      <c r="D21" s="72">
        <v>8.2100000000000009</v>
      </c>
      <c r="E21" s="70"/>
      <c r="F21" s="72" t="s">
        <v>229</v>
      </c>
      <c r="G21" s="70"/>
      <c r="H21" s="72">
        <v>4</v>
      </c>
      <c r="I21" s="70"/>
      <c r="J21" s="72">
        <v>7.66</v>
      </c>
      <c r="K21" s="70"/>
      <c r="L21" s="72" t="s">
        <v>229</v>
      </c>
      <c r="M21" s="70"/>
      <c r="N21" s="72">
        <v>3.14</v>
      </c>
      <c r="O21" s="70"/>
      <c r="P21" s="72">
        <v>6.01</v>
      </c>
      <c r="Q21" s="70"/>
      <c r="R21" s="72" t="s">
        <v>229</v>
      </c>
      <c r="S21" s="70"/>
      <c r="T21" s="72" t="s">
        <v>229</v>
      </c>
      <c r="U21" s="70"/>
      <c r="V21" s="72" t="s">
        <v>229</v>
      </c>
      <c r="W21" s="70"/>
      <c r="X21" s="72">
        <v>2.89</v>
      </c>
      <c r="Y21" s="70"/>
      <c r="Z21" s="72">
        <v>5.53</v>
      </c>
      <c r="AA21" s="70"/>
      <c r="AB21" s="72">
        <v>97.6</v>
      </c>
      <c r="AC21" s="70"/>
    </row>
    <row r="22" spans="1:29" x14ac:dyDescent="0.25">
      <c r="A22" s="69">
        <v>1982</v>
      </c>
      <c r="B22" s="77">
        <v>5.17</v>
      </c>
      <c r="C22" s="75"/>
      <c r="D22" s="77">
        <v>9.33</v>
      </c>
      <c r="E22" s="75"/>
      <c r="F22" s="77" t="s">
        <v>229</v>
      </c>
      <c r="G22" s="75"/>
      <c r="H22" s="77">
        <v>4.82</v>
      </c>
      <c r="I22" s="75"/>
      <c r="J22" s="77">
        <v>8.6999999999999993</v>
      </c>
      <c r="K22" s="75"/>
      <c r="L22" s="77" t="s">
        <v>229</v>
      </c>
      <c r="M22" s="75"/>
      <c r="N22" s="77">
        <v>3.87</v>
      </c>
      <c r="O22" s="75"/>
      <c r="P22" s="77">
        <v>6.98</v>
      </c>
      <c r="Q22" s="75"/>
      <c r="R22" s="77">
        <v>85.1</v>
      </c>
      <c r="S22" s="75"/>
      <c r="T22" s="77" t="s">
        <v>229</v>
      </c>
      <c r="U22" s="75"/>
      <c r="V22" s="77" t="s">
        <v>229</v>
      </c>
      <c r="W22" s="75"/>
      <c r="X22" s="77">
        <v>3.48</v>
      </c>
      <c r="Y22" s="75"/>
      <c r="Z22" s="77">
        <v>6.28</v>
      </c>
      <c r="AA22" s="75"/>
      <c r="AB22" s="77">
        <v>92.6</v>
      </c>
      <c r="AC22" s="75"/>
    </row>
    <row r="23" spans="1:29" x14ac:dyDescent="0.25">
      <c r="A23" s="69">
        <v>1983</v>
      </c>
      <c r="B23" s="77">
        <v>6.06</v>
      </c>
      <c r="C23" s="75"/>
      <c r="D23" s="77">
        <v>10.52</v>
      </c>
      <c r="E23" s="75"/>
      <c r="F23" s="77" t="s">
        <v>229</v>
      </c>
      <c r="G23" s="75"/>
      <c r="H23" s="77">
        <v>5.59</v>
      </c>
      <c r="I23" s="75"/>
      <c r="J23" s="77">
        <v>9.6999999999999993</v>
      </c>
      <c r="K23" s="75"/>
      <c r="L23" s="77" t="s">
        <v>229</v>
      </c>
      <c r="M23" s="75"/>
      <c r="N23" s="77">
        <v>4.18</v>
      </c>
      <c r="O23" s="75"/>
      <c r="P23" s="77">
        <v>7.26</v>
      </c>
      <c r="Q23" s="75"/>
      <c r="R23" s="77">
        <v>80.7</v>
      </c>
      <c r="S23" s="75"/>
      <c r="T23" s="77" t="s">
        <v>229</v>
      </c>
      <c r="U23" s="75"/>
      <c r="V23" s="77" t="s">
        <v>229</v>
      </c>
      <c r="W23" s="75"/>
      <c r="X23" s="77">
        <v>3.58</v>
      </c>
      <c r="Y23" s="75"/>
      <c r="Z23" s="77">
        <v>6.21</v>
      </c>
      <c r="AA23" s="75"/>
      <c r="AB23" s="77">
        <v>93.9</v>
      </c>
      <c r="AC23" s="75"/>
    </row>
    <row r="24" spans="1:29" x14ac:dyDescent="0.25">
      <c r="A24" s="73">
        <v>1984</v>
      </c>
      <c r="B24" s="72">
        <v>6.12</v>
      </c>
      <c r="C24" s="70"/>
      <c r="D24" s="72">
        <v>10.24</v>
      </c>
      <c r="E24" s="70"/>
      <c r="F24" s="72" t="s">
        <v>229</v>
      </c>
      <c r="G24" s="70"/>
      <c r="H24" s="72">
        <v>5.55</v>
      </c>
      <c r="I24" s="70"/>
      <c r="J24" s="72">
        <v>9.2899999999999991</v>
      </c>
      <c r="K24" s="70"/>
      <c r="L24" s="72" t="s">
        <v>229</v>
      </c>
      <c r="M24" s="70"/>
      <c r="N24" s="72">
        <v>4.22</v>
      </c>
      <c r="O24" s="70"/>
      <c r="P24" s="72">
        <v>7.06</v>
      </c>
      <c r="Q24" s="70"/>
      <c r="R24" s="72">
        <v>74.7</v>
      </c>
      <c r="S24" s="70"/>
      <c r="T24" s="72" t="s">
        <v>229</v>
      </c>
      <c r="U24" s="70"/>
      <c r="V24" s="72" t="s">
        <v>229</v>
      </c>
      <c r="W24" s="70"/>
      <c r="X24" s="72">
        <v>3.7</v>
      </c>
      <c r="Y24" s="70"/>
      <c r="Z24" s="72">
        <v>6.19</v>
      </c>
      <c r="AA24" s="70"/>
      <c r="AB24" s="72">
        <v>94.4</v>
      </c>
      <c r="AC24" s="70"/>
    </row>
    <row r="25" spans="1:29" x14ac:dyDescent="0.25">
      <c r="A25" s="69">
        <v>1985</v>
      </c>
      <c r="B25" s="77">
        <v>6.12</v>
      </c>
      <c r="C25" s="75"/>
      <c r="D25" s="77">
        <v>9.94</v>
      </c>
      <c r="E25" s="75"/>
      <c r="F25" s="77" t="s">
        <v>229</v>
      </c>
      <c r="G25" s="75"/>
      <c r="H25" s="77">
        <v>5.5</v>
      </c>
      <c r="I25" s="75"/>
      <c r="J25" s="77">
        <v>8.93</v>
      </c>
      <c r="K25" s="75"/>
      <c r="L25" s="77" t="s">
        <v>229</v>
      </c>
      <c r="M25" s="75"/>
      <c r="N25" s="77">
        <v>3.95</v>
      </c>
      <c r="O25" s="75"/>
      <c r="P25" s="77">
        <v>6.41</v>
      </c>
      <c r="Q25" s="75"/>
      <c r="R25" s="77">
        <v>68.8</v>
      </c>
      <c r="S25" s="75"/>
      <c r="T25" s="77" t="s">
        <v>229</v>
      </c>
      <c r="U25" s="75"/>
      <c r="V25" s="77" t="s">
        <v>229</v>
      </c>
      <c r="W25" s="75"/>
      <c r="X25" s="77">
        <v>3.55</v>
      </c>
      <c r="Y25" s="75"/>
      <c r="Z25" s="77">
        <v>5.77</v>
      </c>
      <c r="AA25" s="75"/>
      <c r="AB25" s="77">
        <v>94</v>
      </c>
      <c r="AC25" s="75"/>
    </row>
    <row r="26" spans="1:29" x14ac:dyDescent="0.25">
      <c r="A26" s="69">
        <v>1986</v>
      </c>
      <c r="B26" s="77">
        <v>5.83</v>
      </c>
      <c r="C26" s="75"/>
      <c r="D26" s="77">
        <v>9.26</v>
      </c>
      <c r="E26" s="75"/>
      <c r="F26" s="77" t="s">
        <v>229</v>
      </c>
      <c r="G26" s="75"/>
      <c r="H26" s="77">
        <v>5.08</v>
      </c>
      <c r="I26" s="75"/>
      <c r="J26" s="77">
        <v>8.07</v>
      </c>
      <c r="K26" s="75"/>
      <c r="L26" s="77" t="s">
        <v>229</v>
      </c>
      <c r="M26" s="75"/>
      <c r="N26" s="77">
        <v>3.23</v>
      </c>
      <c r="O26" s="75"/>
      <c r="P26" s="77">
        <v>5.13</v>
      </c>
      <c r="Q26" s="75"/>
      <c r="R26" s="77">
        <v>59.8</v>
      </c>
      <c r="S26" s="75"/>
      <c r="T26" s="77" t="s">
        <v>229</v>
      </c>
      <c r="U26" s="75"/>
      <c r="V26" s="77" t="s">
        <v>229</v>
      </c>
      <c r="W26" s="75"/>
      <c r="X26" s="77">
        <v>2.4300000000000002</v>
      </c>
      <c r="Y26" s="75"/>
      <c r="Z26" s="77">
        <v>3.86</v>
      </c>
      <c r="AA26" s="75"/>
      <c r="AB26" s="77">
        <v>91.7</v>
      </c>
      <c r="AC26" s="75"/>
    </row>
    <row r="27" spans="1:29" x14ac:dyDescent="0.25">
      <c r="A27" s="73">
        <v>1987</v>
      </c>
      <c r="B27" s="72">
        <v>5.54</v>
      </c>
      <c r="C27" s="70"/>
      <c r="D27" s="72">
        <v>8.5500000000000007</v>
      </c>
      <c r="E27" s="70"/>
      <c r="F27" s="72" t="s">
        <v>229</v>
      </c>
      <c r="G27" s="70"/>
      <c r="H27" s="72">
        <v>4.7699999999999996</v>
      </c>
      <c r="I27" s="70"/>
      <c r="J27" s="72">
        <v>7.37</v>
      </c>
      <c r="K27" s="70"/>
      <c r="L27" s="72">
        <v>93.1</v>
      </c>
      <c r="M27" s="70"/>
      <c r="N27" s="72">
        <v>2.94</v>
      </c>
      <c r="O27" s="70"/>
      <c r="P27" s="72">
        <v>4.54</v>
      </c>
      <c r="Q27" s="70"/>
      <c r="R27" s="72">
        <v>47.4</v>
      </c>
      <c r="S27" s="70"/>
      <c r="T27" s="72" t="s">
        <v>229</v>
      </c>
      <c r="U27" s="70"/>
      <c r="V27" s="72" t="s">
        <v>229</v>
      </c>
      <c r="W27" s="70"/>
      <c r="X27" s="72">
        <v>2.3199999999999998</v>
      </c>
      <c r="Y27" s="70"/>
      <c r="Z27" s="72">
        <v>3.58</v>
      </c>
      <c r="AA27" s="70"/>
      <c r="AB27" s="72">
        <v>91.6</v>
      </c>
      <c r="AC27" s="70"/>
    </row>
    <row r="28" spans="1:29" x14ac:dyDescent="0.25">
      <c r="A28" s="69">
        <v>1988</v>
      </c>
      <c r="B28" s="77">
        <v>5.47</v>
      </c>
      <c r="C28" s="75"/>
      <c r="D28" s="77">
        <v>8.17</v>
      </c>
      <c r="E28" s="75"/>
      <c r="F28" s="77" t="s">
        <v>229</v>
      </c>
      <c r="G28" s="75"/>
      <c r="H28" s="77">
        <v>4.63</v>
      </c>
      <c r="I28" s="75"/>
      <c r="J28" s="77">
        <v>6.91</v>
      </c>
      <c r="K28" s="75"/>
      <c r="L28" s="77">
        <v>90.7</v>
      </c>
      <c r="M28" s="75"/>
      <c r="N28" s="77">
        <v>2.95</v>
      </c>
      <c r="O28" s="75"/>
      <c r="P28" s="77">
        <v>4.4000000000000004</v>
      </c>
      <c r="Q28" s="75"/>
      <c r="R28" s="77">
        <v>42.6</v>
      </c>
      <c r="S28" s="75"/>
      <c r="T28" s="77" t="s">
        <v>229</v>
      </c>
      <c r="U28" s="75"/>
      <c r="V28" s="77" t="s">
        <v>229</v>
      </c>
      <c r="W28" s="75"/>
      <c r="X28" s="77">
        <v>2.33</v>
      </c>
      <c r="Y28" s="75"/>
      <c r="Z28" s="77">
        <v>3.48</v>
      </c>
      <c r="AA28" s="75"/>
      <c r="AB28" s="77">
        <v>89.6</v>
      </c>
      <c r="AC28" s="75"/>
    </row>
    <row r="29" spans="1:29" x14ac:dyDescent="0.25">
      <c r="A29" s="69">
        <v>1989</v>
      </c>
      <c r="B29" s="77">
        <v>5.64</v>
      </c>
      <c r="C29" s="75"/>
      <c r="D29" s="77">
        <v>8.11</v>
      </c>
      <c r="E29" s="75"/>
      <c r="F29" s="77">
        <v>99.9</v>
      </c>
      <c r="G29" s="75"/>
      <c r="H29" s="77">
        <v>4.74</v>
      </c>
      <c r="I29" s="75"/>
      <c r="J29" s="77">
        <v>6.82</v>
      </c>
      <c r="K29" s="75"/>
      <c r="L29" s="77">
        <v>89.1</v>
      </c>
      <c r="M29" s="75"/>
      <c r="N29" s="77">
        <v>2.96</v>
      </c>
      <c r="O29" s="75"/>
      <c r="P29" s="77">
        <v>4.26</v>
      </c>
      <c r="Q29" s="75"/>
      <c r="R29" s="77">
        <v>36.9</v>
      </c>
      <c r="S29" s="75"/>
      <c r="T29" s="77">
        <v>4.17</v>
      </c>
      <c r="U29" s="75"/>
      <c r="V29" s="77">
        <v>6</v>
      </c>
      <c r="W29" s="75"/>
      <c r="X29" s="77">
        <v>2.4300000000000002</v>
      </c>
      <c r="Y29" s="75"/>
      <c r="Z29" s="77">
        <v>3.5</v>
      </c>
      <c r="AA29" s="75"/>
      <c r="AB29" s="77">
        <v>79.599999999999994</v>
      </c>
      <c r="AC29" s="75"/>
    </row>
    <row r="30" spans="1:29" x14ac:dyDescent="0.25">
      <c r="A30" s="73">
        <v>1990</v>
      </c>
      <c r="B30" s="72">
        <v>5.8</v>
      </c>
      <c r="C30" s="70"/>
      <c r="D30" s="72">
        <v>8.0299999999999994</v>
      </c>
      <c r="E30" s="70"/>
      <c r="F30" s="72">
        <v>99.2</v>
      </c>
      <c r="G30" s="70"/>
      <c r="H30" s="72">
        <v>4.83</v>
      </c>
      <c r="I30" s="70"/>
      <c r="J30" s="72">
        <v>6.69</v>
      </c>
      <c r="K30" s="70"/>
      <c r="L30" s="72">
        <v>86.6</v>
      </c>
      <c r="M30" s="70"/>
      <c r="N30" s="72">
        <v>2.93</v>
      </c>
      <c r="O30" s="70"/>
      <c r="P30" s="72">
        <v>4.0599999999999996</v>
      </c>
      <c r="Q30" s="70"/>
      <c r="R30" s="72">
        <v>35.200000000000003</v>
      </c>
      <c r="S30" s="70"/>
      <c r="T30" s="72">
        <v>3.39</v>
      </c>
      <c r="U30" s="70"/>
      <c r="V30" s="72">
        <v>4.7</v>
      </c>
      <c r="W30" s="70"/>
      <c r="X30" s="72">
        <v>2.38</v>
      </c>
      <c r="Y30" s="70"/>
      <c r="Z30" s="72">
        <v>3.3</v>
      </c>
      <c r="AA30" s="70"/>
      <c r="AB30" s="72">
        <v>76.8</v>
      </c>
      <c r="AC30" s="70"/>
    </row>
    <row r="31" spans="1:29" x14ac:dyDescent="0.25">
      <c r="A31" s="69">
        <v>1991</v>
      </c>
      <c r="B31" s="77">
        <v>5.82</v>
      </c>
      <c r="C31" s="75"/>
      <c r="D31" s="77">
        <v>7.78</v>
      </c>
      <c r="E31" s="75"/>
      <c r="F31" s="77">
        <v>99.2</v>
      </c>
      <c r="G31" s="75"/>
      <c r="H31" s="77">
        <v>4.8099999999999996</v>
      </c>
      <c r="I31" s="75"/>
      <c r="J31" s="77">
        <v>6.43</v>
      </c>
      <c r="K31" s="75"/>
      <c r="L31" s="77">
        <v>85.1</v>
      </c>
      <c r="M31" s="75"/>
      <c r="N31" s="77">
        <v>2.69</v>
      </c>
      <c r="O31" s="75"/>
      <c r="P31" s="77">
        <v>3.6</v>
      </c>
      <c r="Q31" s="75"/>
      <c r="R31" s="77">
        <v>32.700000000000003</v>
      </c>
      <c r="S31" s="75"/>
      <c r="T31" s="77">
        <v>3.96</v>
      </c>
      <c r="U31" s="75"/>
      <c r="V31" s="77">
        <v>5.3</v>
      </c>
      <c r="W31" s="75"/>
      <c r="X31" s="77">
        <v>2.1800000000000002</v>
      </c>
      <c r="Y31" s="75"/>
      <c r="Z31" s="77">
        <v>2.92</v>
      </c>
      <c r="AA31" s="75"/>
      <c r="AB31" s="77">
        <v>79.3</v>
      </c>
      <c r="AC31" s="75"/>
    </row>
    <row r="32" spans="1:29" x14ac:dyDescent="0.25">
      <c r="A32" s="69">
        <v>1992</v>
      </c>
      <c r="B32" s="77">
        <v>5.89</v>
      </c>
      <c r="C32" s="75"/>
      <c r="D32" s="77">
        <v>7.7</v>
      </c>
      <c r="E32" s="75"/>
      <c r="F32" s="77">
        <v>99.1</v>
      </c>
      <c r="G32" s="75"/>
      <c r="H32" s="77">
        <v>4.88</v>
      </c>
      <c r="I32" s="75"/>
      <c r="J32" s="77">
        <v>6.38</v>
      </c>
      <c r="K32" s="75"/>
      <c r="L32" s="77">
        <v>83.2</v>
      </c>
      <c r="M32" s="75"/>
      <c r="N32" s="77">
        <v>2.84</v>
      </c>
      <c r="O32" s="75"/>
      <c r="P32" s="77">
        <v>3.71</v>
      </c>
      <c r="Q32" s="75"/>
      <c r="R32" s="77">
        <v>30.3</v>
      </c>
      <c r="S32" s="75"/>
      <c r="T32" s="77">
        <v>4.05</v>
      </c>
      <c r="U32" s="75"/>
      <c r="V32" s="77">
        <v>5.29</v>
      </c>
      <c r="W32" s="75"/>
      <c r="X32" s="77">
        <v>2.36</v>
      </c>
      <c r="Y32" s="75"/>
      <c r="Z32" s="77">
        <v>3.08</v>
      </c>
      <c r="AA32" s="75"/>
      <c r="AB32" s="77">
        <v>76.5</v>
      </c>
      <c r="AC32" s="75"/>
    </row>
    <row r="33" spans="1:29" x14ac:dyDescent="0.25">
      <c r="A33" s="73">
        <v>1993</v>
      </c>
      <c r="B33" s="72">
        <v>6.16</v>
      </c>
      <c r="C33" s="70"/>
      <c r="D33" s="72">
        <v>7.87</v>
      </c>
      <c r="E33" s="70"/>
      <c r="F33" s="72">
        <v>99.1</v>
      </c>
      <c r="G33" s="70"/>
      <c r="H33" s="72">
        <v>5.22</v>
      </c>
      <c r="I33" s="70"/>
      <c r="J33" s="72">
        <v>6.67</v>
      </c>
      <c r="K33" s="70"/>
      <c r="L33" s="72">
        <v>83.9</v>
      </c>
      <c r="M33" s="70"/>
      <c r="N33" s="72">
        <v>3.07</v>
      </c>
      <c r="O33" s="70"/>
      <c r="P33" s="72">
        <v>3.92</v>
      </c>
      <c r="Q33" s="70"/>
      <c r="R33" s="72">
        <v>29.7</v>
      </c>
      <c r="S33" s="70"/>
      <c r="T33" s="72">
        <v>4.2699999999999996</v>
      </c>
      <c r="U33" s="70"/>
      <c r="V33" s="72">
        <v>5.46</v>
      </c>
      <c r="W33" s="70"/>
      <c r="X33" s="72">
        <v>2.61</v>
      </c>
      <c r="Y33" s="70"/>
      <c r="Z33" s="72">
        <v>3.34</v>
      </c>
      <c r="AA33" s="70"/>
      <c r="AB33" s="72">
        <v>74.099999999999994</v>
      </c>
      <c r="AC33" s="70"/>
    </row>
    <row r="34" spans="1:29" x14ac:dyDescent="0.25">
      <c r="A34" s="69">
        <v>1994</v>
      </c>
      <c r="B34" s="77">
        <v>6.41</v>
      </c>
      <c r="C34" s="75"/>
      <c r="D34" s="77">
        <v>8.0299999999999994</v>
      </c>
      <c r="E34" s="75"/>
      <c r="F34" s="77">
        <v>99.1</v>
      </c>
      <c r="G34" s="75"/>
      <c r="H34" s="77">
        <v>5.44</v>
      </c>
      <c r="I34" s="75"/>
      <c r="J34" s="77">
        <v>6.81</v>
      </c>
      <c r="K34" s="75"/>
      <c r="L34" s="77">
        <v>79.3</v>
      </c>
      <c r="M34" s="75"/>
      <c r="N34" s="77">
        <v>3.05</v>
      </c>
      <c r="O34" s="75"/>
      <c r="P34" s="77">
        <v>3.82</v>
      </c>
      <c r="Q34" s="75"/>
      <c r="R34" s="77">
        <v>25.5</v>
      </c>
      <c r="S34" s="75"/>
      <c r="T34" s="77">
        <v>4.1100000000000003</v>
      </c>
      <c r="U34" s="75"/>
      <c r="V34" s="77">
        <v>5.15</v>
      </c>
      <c r="W34" s="75"/>
      <c r="X34" s="77">
        <v>2.2799999999999998</v>
      </c>
      <c r="Y34" s="75"/>
      <c r="Z34" s="77">
        <v>2.85</v>
      </c>
      <c r="AA34" s="75"/>
      <c r="AB34" s="77">
        <v>73.400000000000006</v>
      </c>
      <c r="AC34" s="75"/>
    </row>
    <row r="35" spans="1:29" x14ac:dyDescent="0.25">
      <c r="A35" s="69">
        <v>1995</v>
      </c>
      <c r="B35" s="77">
        <v>6.06</v>
      </c>
      <c r="C35" s="75"/>
      <c r="D35" s="77">
        <v>7.43</v>
      </c>
      <c r="E35" s="75"/>
      <c r="F35" s="77">
        <v>99</v>
      </c>
      <c r="G35" s="75"/>
      <c r="H35" s="77">
        <v>5.05</v>
      </c>
      <c r="I35" s="75"/>
      <c r="J35" s="77">
        <v>6.19</v>
      </c>
      <c r="K35" s="75"/>
      <c r="L35" s="77">
        <v>76.7</v>
      </c>
      <c r="M35" s="75"/>
      <c r="N35" s="77">
        <v>2.71</v>
      </c>
      <c r="O35" s="75"/>
      <c r="P35" s="77">
        <v>3.32</v>
      </c>
      <c r="Q35" s="75"/>
      <c r="R35" s="77">
        <v>24.5</v>
      </c>
      <c r="S35" s="75"/>
      <c r="T35" s="77">
        <v>3.98</v>
      </c>
      <c r="U35" s="75"/>
      <c r="V35" s="77">
        <v>4.88</v>
      </c>
      <c r="W35" s="75"/>
      <c r="X35" s="77">
        <v>2.02</v>
      </c>
      <c r="Y35" s="75"/>
      <c r="Z35" s="77">
        <v>2.48</v>
      </c>
      <c r="AA35" s="75"/>
      <c r="AB35" s="77">
        <v>71.400000000000006</v>
      </c>
      <c r="AC35" s="75"/>
    </row>
    <row r="36" spans="1:29" x14ac:dyDescent="0.25">
      <c r="A36" s="73">
        <v>1996</v>
      </c>
      <c r="B36" s="72">
        <v>6.34</v>
      </c>
      <c r="C36" s="70"/>
      <c r="D36" s="72">
        <v>7.63</v>
      </c>
      <c r="E36" s="70"/>
      <c r="F36" s="72">
        <v>99</v>
      </c>
      <c r="G36" s="70"/>
      <c r="H36" s="72">
        <v>5.4</v>
      </c>
      <c r="I36" s="70"/>
      <c r="J36" s="72">
        <v>6.5</v>
      </c>
      <c r="K36" s="70"/>
      <c r="L36" s="72">
        <v>77.599999999999994</v>
      </c>
      <c r="M36" s="70"/>
      <c r="N36" s="72">
        <v>3.42</v>
      </c>
      <c r="O36" s="70"/>
      <c r="P36" s="72">
        <v>4.12</v>
      </c>
      <c r="Q36" s="70"/>
      <c r="R36" s="72">
        <v>19.399999999999999</v>
      </c>
      <c r="S36" s="70"/>
      <c r="T36" s="72">
        <v>4.34</v>
      </c>
      <c r="U36" s="70"/>
      <c r="V36" s="72">
        <v>5.22</v>
      </c>
      <c r="W36" s="70"/>
      <c r="X36" s="72">
        <v>2.69</v>
      </c>
      <c r="Y36" s="70"/>
      <c r="Z36" s="72">
        <v>3.24</v>
      </c>
      <c r="AA36" s="70"/>
      <c r="AB36" s="72">
        <v>68.400000000000006</v>
      </c>
      <c r="AC36" s="70"/>
    </row>
    <row r="37" spans="1:29" x14ac:dyDescent="0.25">
      <c r="A37" s="69">
        <v>1997</v>
      </c>
      <c r="B37" s="77">
        <v>6.94</v>
      </c>
      <c r="C37" s="75"/>
      <c r="D37" s="77">
        <v>8.2100000000000009</v>
      </c>
      <c r="E37" s="75"/>
      <c r="F37" s="77">
        <v>98.8</v>
      </c>
      <c r="G37" s="75"/>
      <c r="H37" s="77">
        <v>5.8</v>
      </c>
      <c r="I37" s="75"/>
      <c r="J37" s="77">
        <v>6.86</v>
      </c>
      <c r="K37" s="75"/>
      <c r="L37" s="77">
        <v>70.8</v>
      </c>
      <c r="M37" s="75"/>
      <c r="N37" s="77">
        <v>3.59</v>
      </c>
      <c r="O37" s="75"/>
      <c r="P37" s="77">
        <v>4.25</v>
      </c>
      <c r="Q37" s="75"/>
      <c r="R37" s="77">
        <v>18.100000000000001</v>
      </c>
      <c r="S37" s="75"/>
      <c r="T37" s="77">
        <v>4.4400000000000004</v>
      </c>
      <c r="U37" s="75"/>
      <c r="V37" s="77">
        <v>5.25</v>
      </c>
      <c r="W37" s="75"/>
      <c r="X37" s="77">
        <v>2.78</v>
      </c>
      <c r="Y37" s="75"/>
      <c r="Z37" s="77">
        <v>3.29</v>
      </c>
      <c r="AA37" s="75"/>
      <c r="AB37" s="77">
        <v>68</v>
      </c>
      <c r="AC37" s="75"/>
    </row>
    <row r="38" spans="1:29" x14ac:dyDescent="0.25">
      <c r="A38" s="69">
        <v>1998</v>
      </c>
      <c r="B38" s="77">
        <v>6.82</v>
      </c>
      <c r="C38" s="75"/>
      <c r="D38" s="77">
        <v>7.98</v>
      </c>
      <c r="E38" s="75"/>
      <c r="F38" s="77">
        <v>97.7</v>
      </c>
      <c r="G38" s="75"/>
      <c r="H38" s="77">
        <v>5.48</v>
      </c>
      <c r="I38" s="75"/>
      <c r="J38" s="77">
        <v>6.41</v>
      </c>
      <c r="K38" s="75"/>
      <c r="L38" s="77">
        <v>67</v>
      </c>
      <c r="M38" s="75"/>
      <c r="N38" s="77">
        <v>3.14</v>
      </c>
      <c r="O38" s="75"/>
      <c r="P38" s="77">
        <v>3.67</v>
      </c>
      <c r="Q38" s="75"/>
      <c r="R38" s="77">
        <v>16.100000000000001</v>
      </c>
      <c r="S38" s="75"/>
      <c r="T38" s="77">
        <v>4.59</v>
      </c>
      <c r="U38" s="75"/>
      <c r="V38" s="77">
        <v>5.37</v>
      </c>
      <c r="W38" s="75"/>
      <c r="X38" s="77">
        <v>2.4</v>
      </c>
      <c r="Y38" s="75"/>
      <c r="Z38" s="77">
        <v>2.81</v>
      </c>
      <c r="AA38" s="75"/>
      <c r="AB38" s="77">
        <v>63.7</v>
      </c>
      <c r="AC38" s="75"/>
    </row>
    <row r="39" spans="1:29" x14ac:dyDescent="0.25">
      <c r="A39" s="73">
        <v>1999</v>
      </c>
      <c r="B39" s="72">
        <v>6.69</v>
      </c>
      <c r="C39" s="70"/>
      <c r="D39" s="72">
        <v>7.71</v>
      </c>
      <c r="E39" s="70"/>
      <c r="F39" s="72">
        <v>95.2</v>
      </c>
      <c r="G39" s="70"/>
      <c r="H39" s="72">
        <v>5.33</v>
      </c>
      <c r="I39" s="70"/>
      <c r="J39" s="72">
        <v>6.14</v>
      </c>
      <c r="K39" s="70"/>
      <c r="L39" s="72">
        <v>66.099999999999994</v>
      </c>
      <c r="M39" s="70"/>
      <c r="N39" s="72">
        <v>3.12</v>
      </c>
      <c r="O39" s="70"/>
      <c r="P39" s="72">
        <v>3.6</v>
      </c>
      <c r="Q39" s="70"/>
      <c r="R39" s="72">
        <v>18.8</v>
      </c>
      <c r="S39" s="70"/>
      <c r="T39" s="72">
        <v>4.34</v>
      </c>
      <c r="U39" s="70"/>
      <c r="V39" s="72">
        <v>5</v>
      </c>
      <c r="W39" s="70"/>
      <c r="X39" s="72">
        <v>2.62</v>
      </c>
      <c r="Y39" s="70"/>
      <c r="Z39" s="72">
        <v>3.02</v>
      </c>
      <c r="AA39" s="70"/>
      <c r="AB39" s="72">
        <v>58.3</v>
      </c>
      <c r="AC39" s="70"/>
    </row>
    <row r="40" spans="1:29" x14ac:dyDescent="0.25">
      <c r="A40" s="69">
        <v>2000</v>
      </c>
      <c r="B40" s="77">
        <v>7.76</v>
      </c>
      <c r="C40" s="75"/>
      <c r="D40" s="77">
        <v>8.75</v>
      </c>
      <c r="E40" s="75"/>
      <c r="F40" s="77">
        <v>92.6</v>
      </c>
      <c r="G40" s="75"/>
      <c r="H40" s="77">
        <v>6.59</v>
      </c>
      <c r="I40" s="75"/>
      <c r="J40" s="77">
        <v>7.43</v>
      </c>
      <c r="K40" s="75"/>
      <c r="L40" s="77">
        <v>63.9</v>
      </c>
      <c r="M40" s="75"/>
      <c r="N40" s="77">
        <v>4.45</v>
      </c>
      <c r="O40" s="75"/>
      <c r="P40" s="77">
        <v>5.0199999999999996</v>
      </c>
      <c r="Q40" s="75"/>
      <c r="R40" s="77">
        <v>19.8</v>
      </c>
      <c r="S40" s="75"/>
      <c r="T40" s="77">
        <v>5.54</v>
      </c>
      <c r="U40" s="75"/>
      <c r="V40" s="77">
        <v>6.25</v>
      </c>
      <c r="W40" s="75"/>
      <c r="X40" s="77">
        <v>4.38</v>
      </c>
      <c r="Y40" s="75"/>
      <c r="Z40" s="77">
        <v>4.9400000000000004</v>
      </c>
      <c r="AA40" s="75"/>
      <c r="AB40" s="77">
        <v>50.5</v>
      </c>
      <c r="AC40" s="75"/>
    </row>
    <row r="41" spans="1:29" x14ac:dyDescent="0.25">
      <c r="A41" s="69">
        <v>2001</v>
      </c>
      <c r="B41" s="77">
        <v>9.6300000000000008</v>
      </c>
      <c r="C41" s="75"/>
      <c r="D41" s="77">
        <v>10.62</v>
      </c>
      <c r="E41" s="75"/>
      <c r="F41" s="77">
        <v>92.4</v>
      </c>
      <c r="G41" s="75"/>
      <c r="H41" s="77">
        <v>8.43</v>
      </c>
      <c r="I41" s="75"/>
      <c r="J41" s="77">
        <v>9.3000000000000007</v>
      </c>
      <c r="K41" s="75"/>
      <c r="L41" s="77">
        <v>66</v>
      </c>
      <c r="M41" s="75"/>
      <c r="N41" s="77">
        <v>5.24</v>
      </c>
      <c r="O41" s="75"/>
      <c r="P41" s="77">
        <v>5.78</v>
      </c>
      <c r="Q41" s="75"/>
      <c r="R41" s="77">
        <v>20.8</v>
      </c>
      <c r="S41" s="75"/>
      <c r="T41" s="77">
        <v>6.6</v>
      </c>
      <c r="U41" s="75"/>
      <c r="V41" s="77">
        <v>7.28</v>
      </c>
      <c r="W41" s="75"/>
      <c r="X41" s="77">
        <v>4.6100000000000003</v>
      </c>
      <c r="Y41" s="75"/>
      <c r="Z41" s="77">
        <v>5.09</v>
      </c>
      <c r="AA41" s="75"/>
      <c r="AB41" s="77">
        <v>40.200000000000003</v>
      </c>
      <c r="AC41" s="75"/>
    </row>
    <row r="42" spans="1:29" x14ac:dyDescent="0.25">
      <c r="A42" s="73">
        <v>2002</v>
      </c>
      <c r="B42" s="72">
        <v>7.89</v>
      </c>
      <c r="C42" s="70"/>
      <c r="D42" s="72">
        <v>8.57</v>
      </c>
      <c r="E42" s="70"/>
      <c r="F42" s="72">
        <v>97.9</v>
      </c>
      <c r="G42" s="70"/>
      <c r="H42" s="72">
        <v>6.63</v>
      </c>
      <c r="I42" s="70"/>
      <c r="J42" s="72">
        <v>7.2</v>
      </c>
      <c r="K42" s="70"/>
      <c r="L42" s="72">
        <v>77.400000000000006</v>
      </c>
      <c r="M42" s="70"/>
      <c r="N42" s="72">
        <v>4.0199999999999996</v>
      </c>
      <c r="O42" s="70"/>
      <c r="P42" s="72">
        <v>4.3600000000000003</v>
      </c>
      <c r="Q42" s="70"/>
      <c r="R42" s="72">
        <v>22.7</v>
      </c>
      <c r="S42" s="70"/>
      <c r="T42" s="72">
        <v>5.0999999999999996</v>
      </c>
      <c r="U42" s="70"/>
      <c r="V42" s="72">
        <v>5.54</v>
      </c>
      <c r="W42" s="70"/>
      <c r="X42" s="72">
        <v>3.68</v>
      </c>
      <c r="Y42" s="71" t="s">
        <v>230</v>
      </c>
      <c r="Z42" s="72">
        <v>3.99</v>
      </c>
      <c r="AA42" s="71" t="s">
        <v>230</v>
      </c>
      <c r="AB42" s="72">
        <v>83.9</v>
      </c>
      <c r="AC42" s="71" t="s">
        <v>230</v>
      </c>
    </row>
    <row r="43" spans="1:29" x14ac:dyDescent="0.25">
      <c r="A43" s="69">
        <v>2003</v>
      </c>
      <c r="B43" s="77">
        <v>9.6300000000000008</v>
      </c>
      <c r="C43" s="75"/>
      <c r="D43" s="77">
        <v>10.23</v>
      </c>
      <c r="E43" s="75"/>
      <c r="F43" s="77">
        <v>97.5</v>
      </c>
      <c r="G43" s="75"/>
      <c r="H43" s="77">
        <v>8.4</v>
      </c>
      <c r="I43" s="75"/>
      <c r="J43" s="77">
        <v>8.93</v>
      </c>
      <c r="K43" s="75"/>
      <c r="L43" s="77">
        <v>78.2</v>
      </c>
      <c r="M43" s="75"/>
      <c r="N43" s="77">
        <v>5.89</v>
      </c>
      <c r="O43" s="75"/>
      <c r="P43" s="77">
        <v>6.26</v>
      </c>
      <c r="Q43" s="75"/>
      <c r="R43" s="77">
        <v>22.1</v>
      </c>
      <c r="S43" s="75"/>
      <c r="T43" s="77">
        <v>6.19</v>
      </c>
      <c r="U43" s="75"/>
      <c r="V43" s="77">
        <v>6.58</v>
      </c>
      <c r="W43" s="75"/>
      <c r="X43" s="77">
        <v>5.57</v>
      </c>
      <c r="Y43" s="75"/>
      <c r="Z43" s="77">
        <v>5.92</v>
      </c>
      <c r="AA43" s="75"/>
      <c r="AB43" s="77">
        <v>91.2</v>
      </c>
      <c r="AC43" s="75"/>
    </row>
    <row r="44" spans="1:29" x14ac:dyDescent="0.25">
      <c r="A44" s="69">
        <v>2004</v>
      </c>
      <c r="B44" s="77">
        <v>10.75</v>
      </c>
      <c r="C44" s="75"/>
      <c r="D44" s="77">
        <v>11.11</v>
      </c>
      <c r="E44" s="75"/>
      <c r="F44" s="77">
        <v>97.7</v>
      </c>
      <c r="G44" s="75"/>
      <c r="H44" s="77">
        <v>9.43</v>
      </c>
      <c r="I44" s="75"/>
      <c r="J44" s="77">
        <v>9.74</v>
      </c>
      <c r="K44" s="75"/>
      <c r="L44" s="77">
        <v>78</v>
      </c>
      <c r="M44" s="75"/>
      <c r="N44" s="77">
        <v>6.53</v>
      </c>
      <c r="O44" s="75"/>
      <c r="P44" s="77">
        <v>6.75</v>
      </c>
      <c r="Q44" s="75"/>
      <c r="R44" s="77">
        <v>23.7</v>
      </c>
      <c r="S44" s="75"/>
      <c r="T44" s="77">
        <v>7.16</v>
      </c>
      <c r="U44" s="75"/>
      <c r="V44" s="77">
        <v>7.4</v>
      </c>
      <c r="W44" s="75"/>
      <c r="X44" s="77">
        <v>6.11</v>
      </c>
      <c r="Y44" s="75"/>
      <c r="Z44" s="77">
        <v>6.31</v>
      </c>
      <c r="AA44" s="75"/>
      <c r="AB44" s="77">
        <v>89.8</v>
      </c>
      <c r="AC44" s="75"/>
    </row>
    <row r="45" spans="1:29" x14ac:dyDescent="0.25">
      <c r="A45" s="73">
        <v>2005</v>
      </c>
      <c r="B45" s="72">
        <v>12.7</v>
      </c>
      <c r="C45" s="70"/>
      <c r="D45" s="72">
        <v>12.7</v>
      </c>
      <c r="E45" s="70"/>
      <c r="F45" s="72">
        <v>98.2</v>
      </c>
      <c r="G45" s="70"/>
      <c r="H45" s="72">
        <v>11.34</v>
      </c>
      <c r="I45" s="70"/>
      <c r="J45" s="72">
        <v>11.34</v>
      </c>
      <c r="K45" s="70"/>
      <c r="L45" s="72">
        <v>82.1</v>
      </c>
      <c r="M45" s="70"/>
      <c r="N45" s="72">
        <v>8.56</v>
      </c>
      <c r="O45" s="70"/>
      <c r="P45" s="72">
        <v>8.56</v>
      </c>
      <c r="Q45" s="70"/>
      <c r="R45" s="72">
        <v>24.1</v>
      </c>
      <c r="S45" s="70"/>
      <c r="T45" s="72">
        <v>9.14</v>
      </c>
      <c r="U45" s="70"/>
      <c r="V45" s="72">
        <v>9.14</v>
      </c>
      <c r="W45" s="70"/>
      <c r="X45" s="72">
        <v>8.4700000000000006</v>
      </c>
      <c r="Y45" s="70"/>
      <c r="Z45" s="72">
        <v>8.4700000000000006</v>
      </c>
      <c r="AA45" s="70"/>
      <c r="AB45" s="72">
        <v>91.3</v>
      </c>
      <c r="AC45" s="70"/>
    </row>
    <row r="46" spans="1:29" x14ac:dyDescent="0.25">
      <c r="A46" s="69">
        <v>2006</v>
      </c>
      <c r="B46" s="77">
        <v>13.73</v>
      </c>
      <c r="C46" s="75"/>
      <c r="D46" s="77">
        <v>13.3</v>
      </c>
      <c r="E46" s="75"/>
      <c r="F46" s="77">
        <v>98.1</v>
      </c>
      <c r="G46" s="75"/>
      <c r="H46" s="77">
        <v>12</v>
      </c>
      <c r="I46" s="75"/>
      <c r="J46" s="77">
        <v>11.62</v>
      </c>
      <c r="K46" s="75"/>
      <c r="L46" s="77">
        <v>80.8</v>
      </c>
      <c r="M46" s="75"/>
      <c r="N46" s="77">
        <v>7.87</v>
      </c>
      <c r="O46" s="75"/>
      <c r="P46" s="77">
        <v>7.62</v>
      </c>
      <c r="Q46" s="75"/>
      <c r="R46" s="77">
        <v>23.4</v>
      </c>
      <c r="S46" s="75"/>
      <c r="T46" s="77">
        <v>8.7200000000000006</v>
      </c>
      <c r="U46" s="75"/>
      <c r="V46" s="77">
        <v>8.4499999999999993</v>
      </c>
      <c r="W46" s="75"/>
      <c r="X46" s="77">
        <v>7.11</v>
      </c>
      <c r="Y46" s="75"/>
      <c r="Z46" s="77">
        <v>6.89</v>
      </c>
      <c r="AA46" s="75"/>
      <c r="AB46" s="77">
        <v>93.4</v>
      </c>
      <c r="AC46" s="75"/>
    </row>
    <row r="47" spans="1:29" x14ac:dyDescent="0.25">
      <c r="A47" s="69">
        <v>2007</v>
      </c>
      <c r="B47" s="77">
        <v>13.08</v>
      </c>
      <c r="C47" s="75"/>
      <c r="D47" s="77">
        <v>12.31</v>
      </c>
      <c r="E47" s="75"/>
      <c r="F47" s="77">
        <v>98</v>
      </c>
      <c r="G47" s="75"/>
      <c r="H47" s="77">
        <v>11.34</v>
      </c>
      <c r="I47" s="75"/>
      <c r="J47" s="77">
        <v>10.67</v>
      </c>
      <c r="K47" s="76" t="s">
        <v>183</v>
      </c>
      <c r="L47" s="77">
        <v>80.400000000000006</v>
      </c>
      <c r="M47" s="75"/>
      <c r="N47" s="77">
        <v>7.68</v>
      </c>
      <c r="O47" s="75"/>
      <c r="P47" s="77">
        <v>7.23</v>
      </c>
      <c r="Q47" s="75"/>
      <c r="R47" s="77">
        <v>22.2</v>
      </c>
      <c r="S47" s="75"/>
      <c r="T47" s="77">
        <v>8.5</v>
      </c>
      <c r="U47" s="75"/>
      <c r="V47" s="77">
        <v>8</v>
      </c>
      <c r="W47" s="76" t="s">
        <v>183</v>
      </c>
      <c r="X47" s="77">
        <v>7.31</v>
      </c>
      <c r="Y47" s="75"/>
      <c r="Z47" s="77">
        <v>6.88</v>
      </c>
      <c r="AA47" s="75"/>
      <c r="AB47" s="77">
        <v>92.2</v>
      </c>
      <c r="AC47" s="75"/>
    </row>
    <row r="48" spans="1:29" x14ac:dyDescent="0.25">
      <c r="A48" s="73">
        <v>2008</v>
      </c>
      <c r="B48" s="72">
        <v>13.89</v>
      </c>
      <c r="C48" s="70"/>
      <c r="D48" s="72">
        <v>12.79</v>
      </c>
      <c r="E48" s="71" t="s">
        <v>183</v>
      </c>
      <c r="F48" s="72">
        <v>97.5</v>
      </c>
      <c r="G48" s="71" t="s">
        <v>183</v>
      </c>
      <c r="H48" s="72">
        <v>12.23</v>
      </c>
      <c r="I48" s="70"/>
      <c r="J48" s="72">
        <v>11.26</v>
      </c>
      <c r="K48" s="71" t="s">
        <v>183</v>
      </c>
      <c r="L48" s="72">
        <v>79.900000000000006</v>
      </c>
      <c r="M48" s="70"/>
      <c r="N48" s="72">
        <v>9.65</v>
      </c>
      <c r="O48" s="71" t="s">
        <v>183</v>
      </c>
      <c r="P48" s="72">
        <v>8.8800000000000008</v>
      </c>
      <c r="Q48" s="71" t="s">
        <v>183</v>
      </c>
      <c r="R48" s="72">
        <v>20.5</v>
      </c>
      <c r="S48" s="70"/>
      <c r="T48" s="72">
        <v>11.75</v>
      </c>
      <c r="U48" s="70"/>
      <c r="V48" s="72">
        <v>10.82</v>
      </c>
      <c r="W48" s="71" t="s">
        <v>183</v>
      </c>
      <c r="X48" s="72">
        <v>9.26</v>
      </c>
      <c r="Y48" s="70"/>
      <c r="Z48" s="72">
        <v>8.5299999999999994</v>
      </c>
      <c r="AA48" s="71" t="s">
        <v>183</v>
      </c>
      <c r="AB48" s="72">
        <v>101.1</v>
      </c>
      <c r="AC48" s="70"/>
    </row>
    <row r="49" spans="1:29" x14ac:dyDescent="0.25">
      <c r="A49" s="69">
        <v>2009</v>
      </c>
      <c r="B49" s="77">
        <v>12.14</v>
      </c>
      <c r="C49" s="76" t="s">
        <v>183</v>
      </c>
      <c r="D49" s="77">
        <v>11.08</v>
      </c>
      <c r="E49" s="76" t="s">
        <v>183</v>
      </c>
      <c r="F49" s="77">
        <v>97.4</v>
      </c>
      <c r="G49" s="76" t="s">
        <v>183</v>
      </c>
      <c r="H49" s="77">
        <v>10.06</v>
      </c>
      <c r="I49" s="76" t="s">
        <v>183</v>
      </c>
      <c r="J49" s="77">
        <v>9.18</v>
      </c>
      <c r="K49" s="76" t="s">
        <v>183</v>
      </c>
      <c r="L49" s="77">
        <v>77.8</v>
      </c>
      <c r="M49" s="76" t="s">
        <v>183</v>
      </c>
      <c r="N49" s="77">
        <v>5.33</v>
      </c>
      <c r="O49" s="76" t="s">
        <v>183</v>
      </c>
      <c r="P49" s="77">
        <v>4.8600000000000003</v>
      </c>
      <c r="Q49" s="76" t="s">
        <v>183</v>
      </c>
      <c r="R49" s="77">
        <v>18.8</v>
      </c>
      <c r="S49" s="76" t="s">
        <v>183</v>
      </c>
      <c r="T49" s="77">
        <v>8.1300000000000008</v>
      </c>
      <c r="U49" s="76" t="s">
        <v>183</v>
      </c>
      <c r="V49" s="77">
        <v>7.41</v>
      </c>
      <c r="W49" s="76" t="s">
        <v>183</v>
      </c>
      <c r="X49" s="77">
        <v>4.93</v>
      </c>
      <c r="Y49" s="76" t="s">
        <v>183</v>
      </c>
      <c r="Z49" s="77">
        <v>4.5</v>
      </c>
      <c r="AA49" s="76" t="s">
        <v>183</v>
      </c>
      <c r="AB49" s="77">
        <v>101.1</v>
      </c>
      <c r="AC49" s="76" t="s">
        <v>183</v>
      </c>
    </row>
    <row r="50" spans="1:29" x14ac:dyDescent="0.25">
      <c r="A50" s="69" t="s">
        <v>231</v>
      </c>
      <c r="B50" s="77">
        <v>11.2</v>
      </c>
      <c r="C50" s="75"/>
      <c r="D50" s="77">
        <v>10.119999999999999</v>
      </c>
      <c r="E50" s="75"/>
      <c r="F50" s="77">
        <v>96.6</v>
      </c>
      <c r="G50" s="75"/>
      <c r="H50" s="77">
        <v>9.15</v>
      </c>
      <c r="I50" s="75"/>
      <c r="J50" s="77">
        <v>8.27</v>
      </c>
      <c r="K50" s="75"/>
      <c r="L50" s="77">
        <v>71.099999999999994</v>
      </c>
      <c r="M50" s="75"/>
      <c r="N50" s="77">
        <v>5.4</v>
      </c>
      <c r="O50" s="75"/>
      <c r="P50" s="77">
        <v>4.88</v>
      </c>
      <c r="Q50" s="75"/>
      <c r="R50" s="77">
        <v>16.899999999999999</v>
      </c>
      <c r="S50" s="75"/>
      <c r="T50" s="77" t="s">
        <v>229</v>
      </c>
      <c r="U50" s="75"/>
      <c r="V50" s="77" t="s">
        <v>229</v>
      </c>
      <c r="W50" s="75"/>
      <c r="X50" s="77">
        <v>5.26</v>
      </c>
      <c r="Y50" s="75"/>
      <c r="Z50" s="77">
        <v>4.75</v>
      </c>
      <c r="AA50" s="75"/>
      <c r="AB50" s="77">
        <v>100.7</v>
      </c>
      <c r="AC50" s="75"/>
    </row>
    <row r="51" spans="1:29" x14ac:dyDescent="0.25">
      <c r="A51" s="254" t="s">
        <v>232</v>
      </c>
      <c r="B51" s="255"/>
      <c r="C51" s="255"/>
      <c r="D51" s="255"/>
      <c r="E51" s="255"/>
      <c r="F51" s="255"/>
      <c r="G51" s="255"/>
      <c r="H51" s="255"/>
      <c r="I51" s="255"/>
      <c r="J51" s="255"/>
      <c r="K51" s="255"/>
      <c r="L51" s="255"/>
      <c r="M51" s="255"/>
      <c r="N51" s="255"/>
      <c r="O51" s="255" t="s">
        <v>233</v>
      </c>
      <c r="P51" s="255"/>
      <c r="Q51" s="255"/>
      <c r="R51" s="255"/>
      <c r="S51" s="255"/>
      <c r="T51" s="255"/>
      <c r="U51" s="255"/>
      <c r="V51" s="255"/>
      <c r="W51" s="255"/>
      <c r="X51" s="255"/>
      <c r="Y51" s="255"/>
      <c r="Z51" s="255"/>
      <c r="AA51" s="255"/>
      <c r="AB51" s="255"/>
      <c r="AC51" s="276"/>
    </row>
    <row r="52" spans="1:29" x14ac:dyDescent="0.25">
      <c r="A52" s="242" t="s">
        <v>234</v>
      </c>
      <c r="B52" s="243"/>
      <c r="C52" s="243"/>
      <c r="D52" s="243"/>
      <c r="E52" s="243"/>
      <c r="F52" s="243"/>
      <c r="G52" s="243"/>
      <c r="H52" s="243"/>
      <c r="I52" s="243"/>
      <c r="J52" s="243"/>
      <c r="K52" s="243"/>
      <c r="L52" s="243"/>
      <c r="M52" s="243"/>
      <c r="N52" s="243"/>
      <c r="O52" s="239"/>
      <c r="P52" s="239"/>
      <c r="Q52" s="239"/>
      <c r="R52" s="239"/>
      <c r="S52" s="239"/>
      <c r="T52" s="239"/>
      <c r="U52" s="239"/>
      <c r="V52" s="239"/>
      <c r="W52" s="239"/>
      <c r="X52" s="239"/>
      <c r="Y52" s="239"/>
      <c r="Z52" s="239"/>
      <c r="AA52" s="239"/>
      <c r="AB52" s="239"/>
      <c r="AC52" s="273"/>
    </row>
    <row r="53" spans="1:29" x14ac:dyDescent="0.25">
      <c r="A53" s="238" t="s">
        <v>235</v>
      </c>
      <c r="B53" s="239"/>
      <c r="C53" s="239"/>
      <c r="D53" s="239"/>
      <c r="E53" s="239"/>
      <c r="F53" s="239"/>
      <c r="G53" s="239"/>
      <c r="H53" s="239"/>
      <c r="I53" s="239"/>
      <c r="J53" s="239"/>
      <c r="K53" s="239"/>
      <c r="L53" s="239"/>
      <c r="M53" s="239"/>
      <c r="N53" s="239"/>
      <c r="O53" s="272" t="s">
        <v>236</v>
      </c>
      <c r="P53" s="272"/>
      <c r="Q53" s="272"/>
      <c r="R53" s="272"/>
      <c r="S53" s="272"/>
      <c r="T53" s="272"/>
      <c r="U53" s="272"/>
      <c r="V53" s="272"/>
      <c r="W53" s="272"/>
      <c r="X53" s="272"/>
      <c r="Y53" s="272"/>
      <c r="Z53" s="272"/>
      <c r="AA53" s="272"/>
      <c r="AB53" s="272"/>
      <c r="AC53" s="273"/>
    </row>
    <row r="54" spans="1:29" x14ac:dyDescent="0.25">
      <c r="A54" s="242" t="s">
        <v>237</v>
      </c>
      <c r="B54" s="243"/>
      <c r="C54" s="243"/>
      <c r="D54" s="243"/>
      <c r="E54" s="243"/>
      <c r="F54" s="243"/>
      <c r="G54" s="243"/>
      <c r="H54" s="243"/>
      <c r="I54" s="243"/>
      <c r="J54" s="243"/>
      <c r="K54" s="243"/>
      <c r="L54" s="243"/>
      <c r="M54" s="243"/>
      <c r="N54" s="243"/>
      <c r="O54" s="246" t="s">
        <v>238</v>
      </c>
      <c r="P54" s="246"/>
      <c r="Q54" s="246"/>
      <c r="R54" s="246"/>
      <c r="S54" s="246"/>
      <c r="T54" s="246"/>
      <c r="U54" s="246"/>
      <c r="V54" s="246"/>
      <c r="W54" s="246"/>
      <c r="X54" s="246"/>
      <c r="Y54" s="246"/>
      <c r="Z54" s="246"/>
      <c r="AA54" s="246"/>
      <c r="AB54" s="246"/>
      <c r="AC54" s="247"/>
    </row>
    <row r="55" spans="1:29" x14ac:dyDescent="0.25">
      <c r="A55" s="242"/>
      <c r="B55" s="243"/>
      <c r="C55" s="243"/>
      <c r="D55" s="243"/>
      <c r="E55" s="243"/>
      <c r="F55" s="243"/>
      <c r="G55" s="243"/>
      <c r="H55" s="243"/>
      <c r="I55" s="243"/>
      <c r="J55" s="243"/>
      <c r="K55" s="243"/>
      <c r="L55" s="243"/>
      <c r="M55" s="243"/>
      <c r="N55" s="243"/>
      <c r="O55" s="246" t="s">
        <v>239</v>
      </c>
      <c r="P55" s="246"/>
      <c r="Q55" s="246"/>
      <c r="R55" s="246"/>
      <c r="S55" s="246"/>
      <c r="T55" s="246"/>
      <c r="U55" s="246"/>
      <c r="V55" s="246"/>
      <c r="W55" s="246"/>
      <c r="X55" s="246"/>
      <c r="Y55" s="246"/>
      <c r="Z55" s="246"/>
      <c r="AA55" s="246"/>
      <c r="AB55" s="246"/>
      <c r="AC55" s="247"/>
    </row>
    <row r="56" spans="1:29" x14ac:dyDescent="0.25">
      <c r="A56" s="238" t="s">
        <v>240</v>
      </c>
      <c r="B56" s="239"/>
      <c r="C56" s="239"/>
      <c r="D56" s="239"/>
      <c r="E56" s="239"/>
      <c r="F56" s="239"/>
      <c r="G56" s="239"/>
      <c r="H56" s="239"/>
      <c r="I56" s="239"/>
      <c r="J56" s="239"/>
      <c r="K56" s="239"/>
      <c r="L56" s="239"/>
      <c r="M56" s="239"/>
      <c r="N56" s="239"/>
      <c r="O56" s="246" t="s">
        <v>241</v>
      </c>
      <c r="P56" s="246"/>
      <c r="Q56" s="246"/>
      <c r="R56" s="246"/>
      <c r="S56" s="246"/>
      <c r="T56" s="246"/>
      <c r="U56" s="246"/>
      <c r="V56" s="246"/>
      <c r="W56" s="246"/>
      <c r="X56" s="246"/>
      <c r="Y56" s="246"/>
      <c r="Z56" s="246"/>
      <c r="AA56" s="246"/>
      <c r="AB56" s="246"/>
      <c r="AC56" s="247"/>
    </row>
    <row r="57" spans="1:29" x14ac:dyDescent="0.25">
      <c r="A57" s="242" t="s">
        <v>242</v>
      </c>
      <c r="B57" s="243"/>
      <c r="C57" s="243"/>
      <c r="D57" s="243"/>
      <c r="E57" s="243"/>
      <c r="F57" s="243"/>
      <c r="G57" s="243"/>
      <c r="H57" s="243"/>
      <c r="I57" s="243"/>
      <c r="J57" s="243"/>
      <c r="K57" s="243"/>
      <c r="L57" s="243"/>
      <c r="M57" s="243"/>
      <c r="N57" s="243"/>
      <c r="O57" s="246"/>
      <c r="P57" s="246"/>
      <c r="Q57" s="246"/>
      <c r="R57" s="246"/>
      <c r="S57" s="246"/>
      <c r="T57" s="246"/>
      <c r="U57" s="246"/>
      <c r="V57" s="246"/>
      <c r="W57" s="246"/>
      <c r="X57" s="246"/>
      <c r="Y57" s="246"/>
      <c r="Z57" s="246"/>
      <c r="AA57" s="246"/>
      <c r="AB57" s="246"/>
      <c r="AC57" s="247"/>
    </row>
    <row r="58" spans="1:29" x14ac:dyDescent="0.25">
      <c r="A58" s="242" t="s">
        <v>243</v>
      </c>
      <c r="B58" s="243"/>
      <c r="C58" s="243"/>
      <c r="D58" s="243"/>
      <c r="E58" s="243"/>
      <c r="F58" s="243"/>
      <c r="G58" s="243"/>
      <c r="H58" s="243"/>
      <c r="I58" s="243"/>
      <c r="J58" s="243"/>
      <c r="K58" s="243"/>
      <c r="L58" s="243"/>
      <c r="M58" s="243"/>
      <c r="N58" s="243"/>
      <c r="O58" s="246"/>
      <c r="P58" s="246"/>
      <c r="Q58" s="246"/>
      <c r="R58" s="246"/>
      <c r="S58" s="246"/>
      <c r="T58" s="246"/>
      <c r="U58" s="246"/>
      <c r="V58" s="246"/>
      <c r="W58" s="246"/>
      <c r="X58" s="246"/>
      <c r="Y58" s="246"/>
      <c r="Z58" s="246"/>
      <c r="AA58" s="246"/>
      <c r="AB58" s="246"/>
      <c r="AC58" s="247"/>
    </row>
    <row r="59" spans="1:29" x14ac:dyDescent="0.25">
      <c r="A59" s="242" t="s">
        <v>244</v>
      </c>
      <c r="B59" s="243"/>
      <c r="C59" s="243"/>
      <c r="D59" s="243"/>
      <c r="E59" s="243"/>
      <c r="F59" s="243"/>
      <c r="G59" s="243"/>
      <c r="H59" s="243"/>
      <c r="I59" s="243"/>
      <c r="J59" s="243"/>
      <c r="K59" s="243"/>
      <c r="L59" s="243"/>
      <c r="M59" s="243"/>
      <c r="N59" s="243"/>
      <c r="O59" s="246"/>
      <c r="P59" s="246"/>
      <c r="Q59" s="246"/>
      <c r="R59" s="246"/>
      <c r="S59" s="246"/>
      <c r="T59" s="246"/>
      <c r="U59" s="246"/>
      <c r="V59" s="246"/>
      <c r="W59" s="246"/>
      <c r="X59" s="246"/>
      <c r="Y59" s="246"/>
      <c r="Z59" s="246"/>
      <c r="AA59" s="246"/>
      <c r="AB59" s="246"/>
      <c r="AC59" s="247"/>
    </row>
    <row r="60" spans="1:29" x14ac:dyDescent="0.25">
      <c r="A60" s="238" t="s">
        <v>245</v>
      </c>
      <c r="B60" s="239"/>
      <c r="C60" s="239"/>
      <c r="D60" s="239"/>
      <c r="E60" s="239"/>
      <c r="F60" s="239"/>
      <c r="G60" s="239"/>
      <c r="H60" s="239"/>
      <c r="I60" s="239"/>
      <c r="J60" s="239"/>
      <c r="K60" s="239"/>
      <c r="L60" s="239"/>
      <c r="M60" s="239"/>
      <c r="N60" s="239"/>
      <c r="O60" s="246" t="s">
        <v>246</v>
      </c>
      <c r="P60" s="246"/>
      <c r="Q60" s="246"/>
      <c r="R60" s="246"/>
      <c r="S60" s="246"/>
      <c r="T60" s="246"/>
      <c r="U60" s="246"/>
      <c r="V60" s="246"/>
      <c r="W60" s="246"/>
      <c r="X60" s="246"/>
      <c r="Y60" s="246"/>
      <c r="Z60" s="246"/>
      <c r="AA60" s="246"/>
      <c r="AB60" s="246"/>
      <c r="AC60" s="247"/>
    </row>
    <row r="61" spans="1:29" x14ac:dyDescent="0.25">
      <c r="A61" s="242" t="s">
        <v>247</v>
      </c>
      <c r="B61" s="243"/>
      <c r="C61" s="243"/>
      <c r="D61" s="243"/>
      <c r="E61" s="243"/>
      <c r="F61" s="243"/>
      <c r="G61" s="243"/>
      <c r="H61" s="243"/>
      <c r="I61" s="243"/>
      <c r="J61" s="243"/>
      <c r="K61" s="243"/>
      <c r="L61" s="243"/>
      <c r="M61" s="243"/>
      <c r="N61" s="243"/>
      <c r="O61" s="246" t="s">
        <v>248</v>
      </c>
      <c r="P61" s="246"/>
      <c r="Q61" s="246"/>
      <c r="R61" s="246"/>
      <c r="S61" s="246"/>
      <c r="T61" s="246"/>
      <c r="U61" s="246"/>
      <c r="V61" s="246"/>
      <c r="W61" s="246"/>
      <c r="X61" s="246"/>
      <c r="Y61" s="246"/>
      <c r="Z61" s="246"/>
      <c r="AA61" s="246"/>
      <c r="AB61" s="246"/>
      <c r="AC61" s="247"/>
    </row>
    <row r="62" spans="1:29" x14ac:dyDescent="0.25">
      <c r="A62" s="242" t="s">
        <v>249</v>
      </c>
      <c r="B62" s="243"/>
      <c r="C62" s="243"/>
      <c r="D62" s="243"/>
      <c r="E62" s="243"/>
      <c r="F62" s="243"/>
      <c r="G62" s="243"/>
      <c r="H62" s="243"/>
      <c r="I62" s="243"/>
      <c r="J62" s="243"/>
      <c r="K62" s="243"/>
      <c r="L62" s="243"/>
      <c r="M62" s="243"/>
      <c r="N62" s="243"/>
      <c r="O62" s="246" t="s">
        <v>250</v>
      </c>
      <c r="P62" s="246"/>
      <c r="Q62" s="246"/>
      <c r="R62" s="246"/>
      <c r="S62" s="246"/>
      <c r="T62" s="246"/>
      <c r="U62" s="246"/>
      <c r="V62" s="246"/>
      <c r="W62" s="246"/>
      <c r="X62" s="246"/>
      <c r="Y62" s="246"/>
      <c r="Z62" s="246"/>
      <c r="AA62" s="246"/>
      <c r="AB62" s="246"/>
      <c r="AC62" s="247"/>
    </row>
    <row r="63" spans="1:29" x14ac:dyDescent="0.25">
      <c r="A63" s="242"/>
      <c r="B63" s="243"/>
      <c r="C63" s="243"/>
      <c r="D63" s="243"/>
      <c r="E63" s="243"/>
      <c r="F63" s="243"/>
      <c r="G63" s="243"/>
      <c r="H63" s="243"/>
      <c r="I63" s="243"/>
      <c r="J63" s="243"/>
      <c r="K63" s="243"/>
      <c r="L63" s="243"/>
      <c r="M63" s="243"/>
      <c r="N63" s="243"/>
      <c r="O63" s="246" t="s">
        <v>251</v>
      </c>
      <c r="P63" s="246"/>
      <c r="Q63" s="246"/>
      <c r="R63" s="246"/>
      <c r="S63" s="246"/>
      <c r="T63" s="246"/>
      <c r="U63" s="246"/>
      <c r="V63" s="246"/>
      <c r="W63" s="246"/>
      <c r="X63" s="246"/>
      <c r="Y63" s="246"/>
      <c r="Z63" s="246"/>
      <c r="AA63" s="246"/>
      <c r="AB63" s="246"/>
      <c r="AC63" s="247"/>
    </row>
    <row r="64" spans="1:29" ht="15" customHeight="1" x14ac:dyDescent="0.25">
      <c r="A64" s="238" t="s">
        <v>252</v>
      </c>
      <c r="B64" s="239"/>
      <c r="C64" s="239"/>
      <c r="D64" s="239"/>
      <c r="E64" s="239"/>
      <c r="F64" s="239"/>
      <c r="G64" s="239"/>
      <c r="H64" s="239"/>
      <c r="I64" s="239"/>
      <c r="J64" s="239"/>
      <c r="K64" s="239"/>
      <c r="L64" s="239"/>
      <c r="M64" s="239"/>
      <c r="N64" s="239"/>
      <c r="O64" s="240" t="s">
        <v>253</v>
      </c>
      <c r="P64" s="240"/>
      <c r="Q64" s="240"/>
      <c r="R64" s="240"/>
      <c r="S64" s="240"/>
      <c r="T64" s="240"/>
      <c r="U64" s="240"/>
      <c r="V64" s="240"/>
      <c r="W64" s="240"/>
      <c r="X64" s="240"/>
      <c r="Y64" s="240"/>
      <c r="Z64" s="240"/>
      <c r="AA64" s="240"/>
      <c r="AB64" s="240"/>
      <c r="AC64" s="241"/>
    </row>
    <row r="65" spans="1:29" x14ac:dyDescent="0.25">
      <c r="A65" s="238" t="s">
        <v>254</v>
      </c>
      <c r="B65" s="239"/>
      <c r="C65" s="239"/>
      <c r="D65" s="239"/>
      <c r="E65" s="239"/>
      <c r="F65" s="239"/>
      <c r="G65" s="239"/>
      <c r="H65" s="239"/>
      <c r="I65" s="239"/>
      <c r="J65" s="239"/>
      <c r="K65" s="239"/>
      <c r="L65" s="239"/>
      <c r="M65" s="239"/>
      <c r="N65" s="239"/>
      <c r="O65" s="246" t="s">
        <v>255</v>
      </c>
      <c r="P65" s="246"/>
      <c r="Q65" s="246"/>
      <c r="R65" s="246"/>
      <c r="S65" s="246"/>
      <c r="T65" s="246"/>
      <c r="U65" s="246"/>
      <c r="V65" s="246"/>
      <c r="W65" s="246"/>
      <c r="X65" s="246"/>
      <c r="Y65" s="246"/>
      <c r="Z65" s="246"/>
      <c r="AA65" s="246"/>
      <c r="AB65" s="246"/>
      <c r="AC65" s="247"/>
    </row>
    <row r="66" spans="1:29" x14ac:dyDescent="0.25">
      <c r="A66" s="242" t="s">
        <v>196</v>
      </c>
      <c r="B66" s="243"/>
      <c r="C66" s="243"/>
      <c r="D66" s="243"/>
      <c r="E66" s="243"/>
      <c r="F66" s="243"/>
      <c r="G66" s="243"/>
      <c r="H66" s="243"/>
      <c r="I66" s="243"/>
      <c r="J66" s="243"/>
      <c r="K66" s="243"/>
      <c r="L66" s="243"/>
      <c r="M66" s="243"/>
      <c r="N66" s="243"/>
      <c r="O66" s="246" t="s">
        <v>256</v>
      </c>
      <c r="P66" s="246"/>
      <c r="Q66" s="246"/>
      <c r="R66" s="246"/>
      <c r="S66" s="246"/>
      <c r="T66" s="246"/>
      <c r="U66" s="246"/>
      <c r="V66" s="246"/>
      <c r="W66" s="246"/>
      <c r="X66" s="246"/>
      <c r="Y66" s="246"/>
      <c r="Z66" s="246"/>
      <c r="AA66" s="246"/>
      <c r="AB66" s="246"/>
      <c r="AC66" s="247"/>
    </row>
    <row r="67" spans="1:29" x14ac:dyDescent="0.25">
      <c r="A67" s="242"/>
      <c r="B67" s="243"/>
      <c r="C67" s="243"/>
      <c r="D67" s="243"/>
      <c r="E67" s="243"/>
      <c r="F67" s="243"/>
      <c r="G67" s="243"/>
      <c r="H67" s="243"/>
      <c r="I67" s="243"/>
      <c r="J67" s="243"/>
      <c r="K67" s="243"/>
      <c r="L67" s="243"/>
      <c r="M67" s="243"/>
      <c r="N67" s="243"/>
      <c r="O67" s="250" t="s">
        <v>257</v>
      </c>
      <c r="P67" s="250"/>
      <c r="Q67" s="250"/>
      <c r="R67" s="250"/>
      <c r="S67" s="250"/>
      <c r="T67" s="250"/>
      <c r="U67" s="250"/>
      <c r="V67" s="250"/>
      <c r="W67" s="250"/>
      <c r="X67" s="250"/>
      <c r="Y67" s="250"/>
      <c r="Z67" s="250"/>
      <c r="AA67" s="250"/>
      <c r="AB67" s="250"/>
      <c r="AC67" s="251"/>
    </row>
    <row r="68" spans="1:29" x14ac:dyDescent="0.25">
      <c r="A68" s="242"/>
      <c r="B68" s="243"/>
      <c r="C68" s="243"/>
      <c r="D68" s="243"/>
      <c r="E68" s="243"/>
      <c r="F68" s="243"/>
      <c r="G68" s="243"/>
      <c r="H68" s="243"/>
      <c r="I68" s="243"/>
      <c r="J68" s="243"/>
      <c r="K68" s="243"/>
      <c r="L68" s="243"/>
      <c r="M68" s="243"/>
      <c r="N68" s="243"/>
      <c r="O68" s="270" t="s">
        <v>258</v>
      </c>
      <c r="P68" s="270"/>
      <c r="Q68" s="270"/>
      <c r="R68" s="270"/>
      <c r="S68" s="270"/>
      <c r="T68" s="270"/>
      <c r="U68" s="270"/>
      <c r="V68" s="270"/>
      <c r="W68" s="270"/>
      <c r="X68" s="270"/>
      <c r="Y68" s="270"/>
      <c r="Z68" s="270"/>
      <c r="AA68" s="270"/>
      <c r="AB68" s="270"/>
      <c r="AC68" s="271"/>
    </row>
    <row r="69" spans="1:29" x14ac:dyDescent="0.25">
      <c r="A69" s="242"/>
      <c r="B69" s="243"/>
      <c r="C69" s="243"/>
      <c r="D69" s="243"/>
      <c r="E69" s="243"/>
      <c r="F69" s="243"/>
      <c r="G69" s="243"/>
      <c r="H69" s="243"/>
      <c r="I69" s="243"/>
      <c r="J69" s="243"/>
      <c r="K69" s="243"/>
      <c r="L69" s="243"/>
      <c r="M69" s="243"/>
      <c r="N69" s="243"/>
      <c r="O69" s="250" t="s">
        <v>259</v>
      </c>
      <c r="P69" s="250"/>
      <c r="Q69" s="250"/>
      <c r="R69" s="250"/>
      <c r="S69" s="250"/>
      <c r="T69" s="250"/>
      <c r="U69" s="250"/>
      <c r="V69" s="250"/>
      <c r="W69" s="250"/>
      <c r="X69" s="250"/>
      <c r="Y69" s="250"/>
      <c r="Z69" s="250"/>
      <c r="AA69" s="250"/>
      <c r="AB69" s="250"/>
      <c r="AC69" s="251"/>
    </row>
    <row r="70" spans="1:29" x14ac:dyDescent="0.25">
      <c r="A70" s="242"/>
      <c r="B70" s="243"/>
      <c r="C70" s="243"/>
      <c r="D70" s="243"/>
      <c r="E70" s="243"/>
      <c r="F70" s="243"/>
      <c r="G70" s="243"/>
      <c r="H70" s="243"/>
      <c r="I70" s="243"/>
      <c r="J70" s="243"/>
      <c r="K70" s="243"/>
      <c r="L70" s="243"/>
      <c r="M70" s="243"/>
      <c r="N70" s="243"/>
      <c r="O70" s="246" t="s">
        <v>260</v>
      </c>
      <c r="P70" s="246"/>
      <c r="Q70" s="246"/>
      <c r="R70" s="246"/>
      <c r="S70" s="246"/>
      <c r="T70" s="246"/>
      <c r="U70" s="246"/>
      <c r="V70" s="246"/>
      <c r="W70" s="246"/>
      <c r="X70" s="246"/>
      <c r="Y70" s="246"/>
      <c r="Z70" s="246"/>
      <c r="AA70" s="246"/>
      <c r="AB70" s="246"/>
      <c r="AC70" s="247"/>
    </row>
    <row r="71" spans="1:29" x14ac:dyDescent="0.25">
      <c r="A71" s="242"/>
      <c r="B71" s="243"/>
      <c r="C71" s="243"/>
      <c r="D71" s="243"/>
      <c r="E71" s="243"/>
      <c r="F71" s="243"/>
      <c r="G71" s="243"/>
      <c r="H71" s="243"/>
      <c r="I71" s="243"/>
      <c r="J71" s="243"/>
      <c r="K71" s="243"/>
      <c r="L71" s="243"/>
      <c r="M71" s="243"/>
      <c r="N71" s="243"/>
      <c r="O71" s="270" t="s">
        <v>261</v>
      </c>
      <c r="P71" s="270"/>
      <c r="Q71" s="270"/>
      <c r="R71" s="270"/>
      <c r="S71" s="270"/>
      <c r="T71" s="270"/>
      <c r="U71" s="270"/>
      <c r="V71" s="270"/>
      <c r="W71" s="270"/>
      <c r="X71" s="270"/>
      <c r="Y71" s="270"/>
      <c r="Z71" s="270"/>
      <c r="AA71" s="270"/>
      <c r="AB71" s="270"/>
      <c r="AC71" s="271"/>
    </row>
    <row r="72" spans="1:29" x14ac:dyDescent="0.25">
      <c r="A72" s="242"/>
      <c r="B72" s="243"/>
      <c r="C72" s="243"/>
      <c r="D72" s="243"/>
      <c r="E72" s="243"/>
      <c r="F72" s="243"/>
      <c r="G72" s="243"/>
      <c r="H72" s="243"/>
      <c r="I72" s="243"/>
      <c r="J72" s="243"/>
      <c r="K72" s="243"/>
      <c r="L72" s="243"/>
      <c r="M72" s="243"/>
      <c r="N72" s="243"/>
      <c r="O72" s="246" t="s">
        <v>262</v>
      </c>
      <c r="P72" s="246"/>
      <c r="Q72" s="246"/>
      <c r="R72" s="246"/>
      <c r="S72" s="246"/>
      <c r="T72" s="246"/>
      <c r="U72" s="246"/>
      <c r="V72" s="246"/>
      <c r="W72" s="246"/>
      <c r="X72" s="246"/>
      <c r="Y72" s="246"/>
      <c r="Z72" s="246"/>
      <c r="AA72" s="246"/>
      <c r="AB72" s="246"/>
      <c r="AC72" s="247"/>
    </row>
    <row r="73" spans="1:29" x14ac:dyDescent="0.25">
      <c r="A73" s="242"/>
      <c r="B73" s="243"/>
      <c r="C73" s="243"/>
      <c r="D73" s="243"/>
      <c r="E73" s="243"/>
      <c r="F73" s="243"/>
      <c r="G73" s="243"/>
      <c r="H73" s="243"/>
      <c r="I73" s="243"/>
      <c r="J73" s="243"/>
      <c r="K73" s="243"/>
      <c r="L73" s="243"/>
      <c r="M73" s="243"/>
      <c r="N73" s="243"/>
      <c r="O73" s="246" t="s">
        <v>263</v>
      </c>
      <c r="P73" s="246"/>
      <c r="Q73" s="246"/>
      <c r="R73" s="246"/>
      <c r="S73" s="246"/>
      <c r="T73" s="246"/>
      <c r="U73" s="246"/>
      <c r="V73" s="246"/>
      <c r="W73" s="246"/>
      <c r="X73" s="246"/>
      <c r="Y73" s="246"/>
      <c r="Z73" s="246"/>
      <c r="AA73" s="246"/>
      <c r="AB73" s="246"/>
      <c r="AC73" s="247"/>
    </row>
    <row r="74" spans="1:29" x14ac:dyDescent="0.25">
      <c r="A74" s="242"/>
      <c r="B74" s="243"/>
      <c r="C74" s="243"/>
      <c r="D74" s="243"/>
      <c r="E74" s="243"/>
      <c r="F74" s="243"/>
      <c r="G74" s="243"/>
      <c r="H74" s="243"/>
      <c r="I74" s="243"/>
      <c r="J74" s="243"/>
      <c r="K74" s="243"/>
      <c r="L74" s="243"/>
      <c r="M74" s="243"/>
      <c r="N74" s="243"/>
      <c r="O74" s="246" t="s">
        <v>264</v>
      </c>
      <c r="P74" s="246"/>
      <c r="Q74" s="246"/>
      <c r="R74" s="246"/>
      <c r="S74" s="246"/>
      <c r="T74" s="246"/>
      <c r="U74" s="246"/>
      <c r="V74" s="246"/>
      <c r="W74" s="246"/>
      <c r="X74" s="246"/>
      <c r="Y74" s="246"/>
      <c r="Z74" s="246"/>
      <c r="AA74" s="246"/>
      <c r="AB74" s="246"/>
      <c r="AC74" s="247"/>
    </row>
    <row r="75" spans="1:29" x14ac:dyDescent="0.25">
      <c r="A75" s="242"/>
      <c r="B75" s="243"/>
      <c r="C75" s="243"/>
      <c r="D75" s="243"/>
      <c r="E75" s="243"/>
      <c r="F75" s="243"/>
      <c r="G75" s="243"/>
      <c r="H75" s="243"/>
      <c r="I75" s="243"/>
      <c r="J75" s="243"/>
      <c r="K75" s="243"/>
      <c r="L75" s="243"/>
      <c r="M75" s="243"/>
      <c r="N75" s="243"/>
      <c r="O75" s="246" t="s">
        <v>265</v>
      </c>
      <c r="P75" s="246"/>
      <c r="Q75" s="246"/>
      <c r="R75" s="246"/>
      <c r="S75" s="246"/>
      <c r="T75" s="246"/>
      <c r="U75" s="246"/>
      <c r="V75" s="246"/>
      <c r="W75" s="246"/>
      <c r="X75" s="246"/>
      <c r="Y75" s="246"/>
      <c r="Z75" s="246"/>
      <c r="AA75" s="246"/>
      <c r="AB75" s="246"/>
      <c r="AC75" s="247"/>
    </row>
    <row r="76" spans="1:29" x14ac:dyDescent="0.25">
      <c r="A76" s="242"/>
      <c r="B76" s="243"/>
      <c r="C76" s="243"/>
      <c r="D76" s="243"/>
      <c r="E76" s="243"/>
      <c r="F76" s="243"/>
      <c r="G76" s="243"/>
      <c r="H76" s="243"/>
      <c r="I76" s="243"/>
      <c r="J76" s="243"/>
      <c r="K76" s="243"/>
      <c r="L76" s="243"/>
      <c r="M76" s="243"/>
      <c r="N76" s="243"/>
      <c r="O76" s="246" t="s">
        <v>266</v>
      </c>
      <c r="P76" s="246"/>
      <c r="Q76" s="246"/>
      <c r="R76" s="246"/>
      <c r="S76" s="246"/>
      <c r="T76" s="246"/>
      <c r="U76" s="246"/>
      <c r="V76" s="246"/>
      <c r="W76" s="246"/>
      <c r="X76" s="246"/>
      <c r="Y76" s="246"/>
      <c r="Z76" s="246"/>
      <c r="AA76" s="246"/>
      <c r="AB76" s="246"/>
      <c r="AC76" s="247"/>
    </row>
    <row r="77" spans="1:29" x14ac:dyDescent="0.25">
      <c r="A77" s="242"/>
      <c r="B77" s="243"/>
      <c r="C77" s="243"/>
      <c r="D77" s="243"/>
      <c r="E77" s="243"/>
      <c r="F77" s="243"/>
      <c r="G77" s="243"/>
      <c r="H77" s="243"/>
      <c r="I77" s="243"/>
      <c r="J77" s="243"/>
      <c r="K77" s="243"/>
      <c r="L77" s="243"/>
      <c r="M77" s="243"/>
      <c r="N77" s="243"/>
      <c r="O77" s="246" t="s">
        <v>267</v>
      </c>
      <c r="P77" s="246"/>
      <c r="Q77" s="246"/>
      <c r="R77" s="246"/>
      <c r="S77" s="246"/>
      <c r="T77" s="246"/>
      <c r="U77" s="246"/>
      <c r="V77" s="246"/>
      <c r="W77" s="246"/>
      <c r="X77" s="246"/>
      <c r="Y77" s="246"/>
      <c r="Z77" s="246"/>
      <c r="AA77" s="246"/>
      <c r="AB77" s="246"/>
      <c r="AC77" s="247"/>
    </row>
    <row r="78" spans="1:29" x14ac:dyDescent="0.25">
      <c r="A78" s="242"/>
      <c r="B78" s="243"/>
      <c r="C78" s="243"/>
      <c r="D78" s="243"/>
      <c r="E78" s="243"/>
      <c r="F78" s="243"/>
      <c r="G78" s="243"/>
      <c r="H78" s="243"/>
      <c r="I78" s="243"/>
      <c r="J78" s="243"/>
      <c r="K78" s="243"/>
      <c r="L78" s="243"/>
      <c r="M78" s="243"/>
      <c r="N78" s="243"/>
      <c r="O78" s="246" t="s">
        <v>268</v>
      </c>
      <c r="P78" s="246"/>
      <c r="Q78" s="246"/>
      <c r="R78" s="246"/>
      <c r="S78" s="246"/>
      <c r="T78" s="246"/>
      <c r="U78" s="246"/>
      <c r="V78" s="246"/>
      <c r="W78" s="246"/>
      <c r="X78" s="246"/>
      <c r="Y78" s="246"/>
      <c r="Z78" s="246"/>
      <c r="AA78" s="246"/>
      <c r="AB78" s="246"/>
      <c r="AC78" s="247"/>
    </row>
    <row r="79" spans="1:29" x14ac:dyDescent="0.25">
      <c r="A79" s="242"/>
      <c r="B79" s="243"/>
      <c r="C79" s="243"/>
      <c r="D79" s="243"/>
      <c r="E79" s="243"/>
      <c r="F79" s="243"/>
      <c r="G79" s="243"/>
      <c r="H79" s="243"/>
      <c r="I79" s="243"/>
      <c r="J79" s="243"/>
      <c r="K79" s="243"/>
      <c r="L79" s="243"/>
      <c r="M79" s="243"/>
      <c r="N79" s="243"/>
      <c r="O79" s="246" t="s">
        <v>269</v>
      </c>
      <c r="P79" s="246"/>
      <c r="Q79" s="246"/>
      <c r="R79" s="246"/>
      <c r="S79" s="246"/>
      <c r="T79" s="246"/>
      <c r="U79" s="246"/>
      <c r="V79" s="246"/>
      <c r="W79" s="246"/>
      <c r="X79" s="246"/>
      <c r="Y79" s="246"/>
      <c r="Z79" s="246"/>
      <c r="AA79" s="246"/>
      <c r="AB79" s="246"/>
      <c r="AC79" s="247"/>
    </row>
    <row r="80" spans="1:29" x14ac:dyDescent="0.25">
      <c r="A80" s="242"/>
      <c r="B80" s="243"/>
      <c r="C80" s="243"/>
      <c r="D80" s="243"/>
      <c r="E80" s="243"/>
      <c r="F80" s="243"/>
      <c r="G80" s="243"/>
      <c r="H80" s="243"/>
      <c r="I80" s="243"/>
      <c r="J80" s="243"/>
      <c r="K80" s="243"/>
      <c r="L80" s="243"/>
      <c r="M80" s="243"/>
      <c r="N80" s="243"/>
      <c r="O80" s="246" t="s">
        <v>270</v>
      </c>
      <c r="P80" s="246"/>
      <c r="Q80" s="246"/>
      <c r="R80" s="246"/>
      <c r="S80" s="246"/>
      <c r="T80" s="246"/>
      <c r="U80" s="246"/>
      <c r="V80" s="246"/>
      <c r="W80" s="246"/>
      <c r="X80" s="246"/>
      <c r="Y80" s="246"/>
      <c r="Z80" s="246"/>
      <c r="AA80" s="246"/>
      <c r="AB80" s="246"/>
      <c r="AC80" s="247"/>
    </row>
    <row r="81" spans="1:29" x14ac:dyDescent="0.25">
      <c r="A81" s="242"/>
      <c r="B81" s="243"/>
      <c r="C81" s="243"/>
      <c r="D81" s="243"/>
      <c r="E81" s="243"/>
      <c r="F81" s="243"/>
      <c r="G81" s="243"/>
      <c r="H81" s="243"/>
      <c r="I81" s="243"/>
      <c r="J81" s="243"/>
      <c r="K81" s="243"/>
      <c r="L81" s="243"/>
      <c r="M81" s="243"/>
      <c r="N81" s="243"/>
      <c r="O81" s="246" t="s">
        <v>271</v>
      </c>
      <c r="P81" s="246"/>
      <c r="Q81" s="246"/>
      <c r="R81" s="246"/>
      <c r="S81" s="246"/>
      <c r="T81" s="246"/>
      <c r="U81" s="246"/>
      <c r="V81" s="246"/>
      <c r="W81" s="246"/>
      <c r="X81" s="246"/>
      <c r="Y81" s="246"/>
      <c r="Z81" s="246"/>
      <c r="AA81" s="246"/>
      <c r="AB81" s="246"/>
      <c r="AC81" s="247"/>
    </row>
    <row r="82" spans="1:29" x14ac:dyDescent="0.25">
      <c r="A82" s="269"/>
      <c r="B82" s="252"/>
      <c r="C82" s="252"/>
      <c r="D82" s="252"/>
      <c r="E82" s="252"/>
      <c r="F82" s="252"/>
      <c r="G82" s="252"/>
      <c r="H82" s="252"/>
      <c r="I82" s="252"/>
      <c r="J82" s="252"/>
      <c r="K82" s="252"/>
      <c r="L82" s="252"/>
      <c r="M82" s="252"/>
      <c r="N82" s="252"/>
      <c r="O82" s="252" t="s">
        <v>272</v>
      </c>
      <c r="P82" s="252"/>
      <c r="Q82" s="252"/>
      <c r="R82" s="252"/>
      <c r="S82" s="252"/>
      <c r="T82" s="252"/>
      <c r="U82" s="252"/>
      <c r="V82" s="252"/>
      <c r="W82" s="252"/>
      <c r="X82" s="252"/>
      <c r="Y82" s="252"/>
      <c r="Z82" s="252"/>
      <c r="AA82" s="252"/>
      <c r="AB82" s="252"/>
      <c r="AC82" s="253"/>
    </row>
  </sheetData>
  <mergeCells count="95">
    <mergeCell ref="A1:AC1"/>
    <mergeCell ref="A2:AC2"/>
    <mergeCell ref="A3:A6"/>
    <mergeCell ref="B3:G3"/>
    <mergeCell ref="H3:M3"/>
    <mergeCell ref="N3:S3"/>
    <mergeCell ref="T3:W3"/>
    <mergeCell ref="X3:AC3"/>
    <mergeCell ref="B4:E5"/>
    <mergeCell ref="F4:G4"/>
    <mergeCell ref="J6:K6"/>
    <mergeCell ref="H4:K5"/>
    <mergeCell ref="L4:M4"/>
    <mergeCell ref="N4:Q5"/>
    <mergeCell ref="R4:S4"/>
    <mergeCell ref="AB4:AC4"/>
    <mergeCell ref="F5:G5"/>
    <mergeCell ref="L5:M5"/>
    <mergeCell ref="R5:S5"/>
    <mergeCell ref="AB5:AC5"/>
    <mergeCell ref="T4:W5"/>
    <mergeCell ref="X4:AA5"/>
    <mergeCell ref="X6:Y6"/>
    <mergeCell ref="Z6:AA6"/>
    <mergeCell ref="AB6:AC6"/>
    <mergeCell ref="A51:N51"/>
    <mergeCell ref="O51:AC52"/>
    <mergeCell ref="A52:N52"/>
    <mergeCell ref="L6:M6"/>
    <mergeCell ref="N6:O6"/>
    <mergeCell ref="P6:Q6"/>
    <mergeCell ref="R6:S6"/>
    <mergeCell ref="T6:U6"/>
    <mergeCell ref="V6:W6"/>
    <mergeCell ref="B6:C6"/>
    <mergeCell ref="D6:E6"/>
    <mergeCell ref="F6:G6"/>
    <mergeCell ref="H6:I6"/>
    <mergeCell ref="A60:N60"/>
    <mergeCell ref="O60:AC60"/>
    <mergeCell ref="A53:N53"/>
    <mergeCell ref="O53:AC53"/>
    <mergeCell ref="A54:N54"/>
    <mergeCell ref="O54:AC54"/>
    <mergeCell ref="A55:N55"/>
    <mergeCell ref="O55:AC55"/>
    <mergeCell ref="A56:N56"/>
    <mergeCell ref="O56:AC59"/>
    <mergeCell ref="A57:N57"/>
    <mergeCell ref="A58:N58"/>
    <mergeCell ref="A59:N59"/>
    <mergeCell ref="A61:N61"/>
    <mergeCell ref="O61:AC61"/>
    <mergeCell ref="A62:N62"/>
    <mergeCell ref="O62:AC62"/>
    <mergeCell ref="A63:N63"/>
    <mergeCell ref="O63:AC63"/>
    <mergeCell ref="A64:N64"/>
    <mergeCell ref="O64:AC64"/>
    <mergeCell ref="A65:N65"/>
    <mergeCell ref="O65:AC65"/>
    <mergeCell ref="A66:N66"/>
    <mergeCell ref="O66:AC66"/>
    <mergeCell ref="A67:N67"/>
    <mergeCell ref="O67:AC67"/>
    <mergeCell ref="A68:N68"/>
    <mergeCell ref="O68:AC68"/>
    <mergeCell ref="A69:N69"/>
    <mergeCell ref="O69:AC69"/>
    <mergeCell ref="A70:N70"/>
    <mergeCell ref="O70:AC70"/>
    <mergeCell ref="A71:N71"/>
    <mergeCell ref="O71:AC71"/>
    <mergeCell ref="A72:N72"/>
    <mergeCell ref="O72:AC72"/>
    <mergeCell ref="A73:N73"/>
    <mergeCell ref="O73:AC73"/>
    <mergeCell ref="A74:N74"/>
    <mergeCell ref="O74:AC74"/>
    <mergeCell ref="A75:N75"/>
    <mergeCell ref="O75:AC75"/>
    <mergeCell ref="A76:N76"/>
    <mergeCell ref="O76:AC76"/>
    <mergeCell ref="A77:N77"/>
    <mergeCell ref="O77:AC77"/>
    <mergeCell ref="A78:N78"/>
    <mergeCell ref="O78:AC78"/>
    <mergeCell ref="A82:N82"/>
    <mergeCell ref="O82:AC82"/>
    <mergeCell ref="A79:N79"/>
    <mergeCell ref="O79:AC79"/>
    <mergeCell ref="A80:N80"/>
    <mergeCell ref="O80:AC80"/>
    <mergeCell ref="A81:N81"/>
    <mergeCell ref="O81:AC81"/>
  </mergeCells>
  <hyperlinks>
    <hyperlink ref="O64" r:id="rId1" display="http://www.eia.gov/naturalgas/" xr:uid="{00000000-0004-0000-0F00-000000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61"/>
  <sheetViews>
    <sheetView showGridLines="0" topLeftCell="A30" workbookViewId="0">
      <selection activeCell="L53" sqref="L53:V55"/>
    </sheetView>
  </sheetViews>
  <sheetFormatPr defaultColWidth="9.140625" defaultRowHeight="15" x14ac:dyDescent="0.25"/>
  <cols>
    <col min="1" max="1" width="22.7109375" style="65" customWidth="1"/>
    <col min="2" max="11" width="4.7109375" style="65" customWidth="1"/>
    <col min="12" max="14" width="7.5703125" style="65" customWidth="1"/>
    <col min="15" max="15" width="7.42578125" style="65" customWidth="1"/>
    <col min="16" max="16" width="3.28515625" style="65" customWidth="1"/>
    <col min="17" max="17" width="7.42578125" style="65" customWidth="1"/>
    <col min="18" max="18" width="3.28515625" style="65" customWidth="1"/>
    <col min="19" max="19" width="7.42578125" style="65" customWidth="1"/>
    <col min="20" max="20" width="5" style="65" customWidth="1"/>
    <col min="21" max="21" width="7.42578125" style="65" customWidth="1"/>
    <col min="22" max="22" width="3.28515625" style="65" customWidth="1"/>
    <col min="23" max="16384" width="9.140625" style="65"/>
  </cols>
  <sheetData>
    <row r="1" spans="1:22" ht="15.75" customHeight="1" x14ac:dyDescent="0.25">
      <c r="A1" s="260" t="s">
        <v>274</v>
      </c>
      <c r="B1" s="261"/>
      <c r="C1" s="261"/>
      <c r="D1" s="261"/>
      <c r="E1" s="261"/>
      <c r="F1" s="261"/>
      <c r="G1" s="261"/>
      <c r="H1" s="261"/>
      <c r="I1" s="261"/>
      <c r="J1" s="261"/>
      <c r="K1" s="261"/>
      <c r="L1" s="261"/>
      <c r="M1" s="261"/>
      <c r="N1" s="261"/>
      <c r="O1" s="261"/>
      <c r="P1" s="261"/>
      <c r="Q1" s="261"/>
      <c r="R1" s="261"/>
      <c r="S1" s="261"/>
      <c r="T1" s="261"/>
      <c r="U1" s="261"/>
      <c r="V1" s="262"/>
    </row>
    <row r="2" spans="1:22" x14ac:dyDescent="0.25">
      <c r="A2" s="263" t="s">
        <v>275</v>
      </c>
      <c r="B2" s="264"/>
      <c r="C2" s="264"/>
      <c r="D2" s="264"/>
      <c r="E2" s="264"/>
      <c r="F2" s="264"/>
      <c r="G2" s="264"/>
      <c r="H2" s="264"/>
      <c r="I2" s="264"/>
      <c r="J2" s="264"/>
      <c r="K2" s="264"/>
      <c r="L2" s="264"/>
      <c r="M2" s="264"/>
      <c r="N2" s="264"/>
      <c r="O2" s="264"/>
      <c r="P2" s="264"/>
      <c r="Q2" s="264"/>
      <c r="R2" s="264"/>
      <c r="S2" s="264"/>
      <c r="T2" s="264"/>
      <c r="U2" s="264"/>
      <c r="V2" s="265"/>
    </row>
    <row r="3" spans="1:22" x14ac:dyDescent="0.25">
      <c r="A3" s="80" t="s">
        <v>276</v>
      </c>
      <c r="B3" s="81">
        <v>1994</v>
      </c>
      <c r="C3" s="81">
        <v>1995</v>
      </c>
      <c r="D3" s="81">
        <v>1996</v>
      </c>
      <c r="E3" s="81">
        <v>1997</v>
      </c>
      <c r="F3" s="81">
        <v>1998</v>
      </c>
      <c r="G3" s="81">
        <v>1999</v>
      </c>
      <c r="H3" s="81">
        <v>2000</v>
      </c>
      <c r="I3" s="81">
        <v>2001</v>
      </c>
      <c r="J3" s="81">
        <v>2002</v>
      </c>
      <c r="K3" s="81">
        <v>2003</v>
      </c>
      <c r="L3" s="81">
        <v>2004</v>
      </c>
      <c r="M3" s="81">
        <v>2005</v>
      </c>
      <c r="N3" s="81">
        <v>2006</v>
      </c>
      <c r="O3" s="258">
        <v>2007</v>
      </c>
      <c r="P3" s="259"/>
      <c r="Q3" s="258">
        <v>2008</v>
      </c>
      <c r="R3" s="259"/>
      <c r="S3" s="258">
        <v>2009</v>
      </c>
      <c r="T3" s="259"/>
      <c r="U3" s="258" t="s">
        <v>277</v>
      </c>
      <c r="V3" s="259"/>
    </row>
    <row r="4" spans="1:22" x14ac:dyDescent="0.25">
      <c r="A4" s="82" t="s">
        <v>278</v>
      </c>
      <c r="B4" s="284">
        <v>0.60199999999999998</v>
      </c>
      <c r="C4" s="284">
        <v>0.63</v>
      </c>
      <c r="D4" s="284">
        <v>0.71499999999999997</v>
      </c>
      <c r="E4" s="284">
        <v>0.70299999999999996</v>
      </c>
      <c r="F4" s="284">
        <v>0.53</v>
      </c>
      <c r="G4" s="284">
        <v>0.64500000000000002</v>
      </c>
      <c r="H4" s="284">
        <v>0.96599999999999997</v>
      </c>
      <c r="I4" s="284">
        <v>0.88800000000000001</v>
      </c>
      <c r="J4" s="284">
        <v>0.83199999999999996</v>
      </c>
      <c r="K4" s="284">
        <v>1.0009999999999999</v>
      </c>
      <c r="L4" s="284">
        <v>1.288</v>
      </c>
      <c r="M4" s="284">
        <v>1.675</v>
      </c>
      <c r="N4" s="284">
        <v>1.9730000000000001</v>
      </c>
      <c r="O4" s="284">
        <v>2.1859999999999999</v>
      </c>
      <c r="P4" s="287"/>
      <c r="Q4" s="284">
        <v>2.5870000000000002</v>
      </c>
      <c r="R4" s="287"/>
      <c r="S4" s="284">
        <v>1.7729999999999999</v>
      </c>
      <c r="T4" s="287"/>
      <c r="U4" s="284">
        <v>2.169</v>
      </c>
      <c r="V4" s="287"/>
    </row>
    <row r="5" spans="1:22" x14ac:dyDescent="0.25">
      <c r="A5" s="69" t="s">
        <v>279</v>
      </c>
      <c r="B5" s="286"/>
      <c r="C5" s="286"/>
      <c r="D5" s="286"/>
      <c r="E5" s="286"/>
      <c r="F5" s="286"/>
      <c r="G5" s="286"/>
      <c r="H5" s="286"/>
      <c r="I5" s="286"/>
      <c r="J5" s="286"/>
      <c r="K5" s="286"/>
      <c r="L5" s="286"/>
      <c r="M5" s="286"/>
      <c r="N5" s="286"/>
      <c r="O5" s="286"/>
      <c r="P5" s="289"/>
      <c r="Q5" s="286"/>
      <c r="R5" s="289"/>
      <c r="S5" s="286"/>
      <c r="T5" s="289"/>
      <c r="U5" s="286"/>
      <c r="V5" s="289"/>
    </row>
    <row r="6" spans="1:22" x14ac:dyDescent="0.25">
      <c r="A6" s="69" t="s">
        <v>280</v>
      </c>
      <c r="B6" s="77">
        <v>0.57099999999999995</v>
      </c>
      <c r="C6" s="77">
        <v>0.59899999999999998</v>
      </c>
      <c r="D6" s="77">
        <v>0.68899999999999995</v>
      </c>
      <c r="E6" s="77">
        <v>0.67700000000000005</v>
      </c>
      <c r="F6" s="77">
        <v>0.504</v>
      </c>
      <c r="G6" s="77">
        <v>0.621</v>
      </c>
      <c r="H6" s="77">
        <v>0.94599999999999995</v>
      </c>
      <c r="I6" s="77">
        <v>0.86799999999999999</v>
      </c>
      <c r="J6" s="77">
        <v>0.81299999999999994</v>
      </c>
      <c r="K6" s="77">
        <v>0.98199999999999998</v>
      </c>
      <c r="L6" s="77">
        <v>1.2709999999999999</v>
      </c>
      <c r="M6" s="77">
        <v>1.659</v>
      </c>
      <c r="N6" s="77">
        <v>1.956</v>
      </c>
      <c r="O6" s="77">
        <v>2.165</v>
      </c>
      <c r="P6" s="75"/>
      <c r="Q6" s="77">
        <v>2.57</v>
      </c>
      <c r="R6" s="75"/>
      <c r="S6" s="77">
        <v>1.7529999999999999</v>
      </c>
      <c r="T6" s="75"/>
      <c r="U6" s="77">
        <v>2.1509999999999998</v>
      </c>
      <c r="V6" s="75"/>
    </row>
    <row r="7" spans="1:22" x14ac:dyDescent="0.25">
      <c r="A7" s="73" t="s">
        <v>281</v>
      </c>
      <c r="B7" s="72">
        <v>0.56499999999999995</v>
      </c>
      <c r="C7" s="72">
        <v>0.58299999999999996</v>
      </c>
      <c r="D7" s="72">
        <v>0.67200000000000004</v>
      </c>
      <c r="E7" s="72">
        <v>0.65800000000000003</v>
      </c>
      <c r="F7" s="72">
        <v>0.48399999999999999</v>
      </c>
      <c r="G7" s="72">
        <v>0.59599999999999997</v>
      </c>
      <c r="H7" s="72">
        <v>0.91800000000000004</v>
      </c>
      <c r="I7" s="72">
        <v>0.83799999999999997</v>
      </c>
      <c r="J7" s="72">
        <v>0.79400000000000004</v>
      </c>
      <c r="K7" s="72">
        <v>0.95</v>
      </c>
      <c r="L7" s="72">
        <v>1.2410000000000001</v>
      </c>
      <c r="M7" s="72">
        <v>1.639</v>
      </c>
      <c r="N7" s="72">
        <v>1.93</v>
      </c>
      <c r="O7" s="72">
        <v>2.145</v>
      </c>
      <c r="P7" s="71" t="s">
        <v>230</v>
      </c>
      <c r="Q7" s="72">
        <v>2.5640000000000001</v>
      </c>
      <c r="R7" s="71" t="s">
        <v>230</v>
      </c>
      <c r="S7" s="72">
        <v>1.732</v>
      </c>
      <c r="T7" s="71" t="s">
        <v>230</v>
      </c>
      <c r="U7" s="72">
        <v>2.133</v>
      </c>
      <c r="V7" s="71" t="s">
        <v>230</v>
      </c>
    </row>
    <row r="8" spans="1:22" x14ac:dyDescent="0.25">
      <c r="A8" s="69" t="s">
        <v>282</v>
      </c>
      <c r="B8" s="77">
        <v>0.627</v>
      </c>
      <c r="C8" s="77">
        <v>0.66200000000000003</v>
      </c>
      <c r="D8" s="77">
        <v>0.745</v>
      </c>
      <c r="E8" s="77">
        <v>0.754</v>
      </c>
      <c r="F8" s="77">
        <v>0.57499999999999996</v>
      </c>
      <c r="G8" s="77">
        <v>0.69</v>
      </c>
      <c r="H8" s="77">
        <v>1.016</v>
      </c>
      <c r="I8" s="77">
        <v>0.94699999999999995</v>
      </c>
      <c r="J8" s="77">
        <v>0.85799999999999998</v>
      </c>
      <c r="K8" s="77">
        <v>1.0309999999999999</v>
      </c>
      <c r="L8" s="77">
        <v>1.2889999999999999</v>
      </c>
      <c r="M8" s="77">
        <v>1.667</v>
      </c>
      <c r="N8" s="77">
        <v>1.9510000000000001</v>
      </c>
      <c r="O8" s="74"/>
      <c r="P8" s="76" t="s">
        <v>230</v>
      </c>
      <c r="Q8" s="74"/>
      <c r="R8" s="76" t="s">
        <v>230</v>
      </c>
      <c r="S8" s="74"/>
      <c r="T8" s="76" t="s">
        <v>230</v>
      </c>
      <c r="U8" s="74"/>
      <c r="V8" s="76" t="s">
        <v>230</v>
      </c>
    </row>
    <row r="9" spans="1:22" x14ac:dyDescent="0.25">
      <c r="A9" s="69" t="s">
        <v>283</v>
      </c>
      <c r="B9" s="77">
        <v>0.63200000000000001</v>
      </c>
      <c r="C9" s="77">
        <v>0.64600000000000002</v>
      </c>
      <c r="D9" s="77">
        <v>0.73299999999999998</v>
      </c>
      <c r="E9" s="77">
        <v>0.72499999999999998</v>
      </c>
      <c r="F9" s="77">
        <v>0.55100000000000005</v>
      </c>
      <c r="G9" s="77">
        <v>0.67600000000000005</v>
      </c>
      <c r="H9" s="77">
        <v>1.006</v>
      </c>
      <c r="I9" s="77">
        <v>0.93</v>
      </c>
      <c r="J9" s="77">
        <v>0.85599999999999998</v>
      </c>
      <c r="K9" s="77">
        <v>1.0580000000000001</v>
      </c>
      <c r="L9" s="77">
        <v>1.339</v>
      </c>
      <c r="M9" s="77">
        <v>1.708</v>
      </c>
      <c r="N9" s="77">
        <v>2.0219999999999998</v>
      </c>
      <c r="O9" s="77">
        <v>2.2149999999999999</v>
      </c>
      <c r="P9" s="75"/>
      <c r="Q9" s="77">
        <v>2.5830000000000002</v>
      </c>
      <c r="R9" s="75"/>
      <c r="S9" s="77">
        <v>1.7989999999999999</v>
      </c>
      <c r="T9" s="75"/>
      <c r="U9" s="77">
        <v>2.1869999999999998</v>
      </c>
      <c r="V9" s="75"/>
    </row>
    <row r="10" spans="1:22" x14ac:dyDescent="0.25">
      <c r="A10" s="73" t="s">
        <v>284</v>
      </c>
      <c r="B10" s="72">
        <v>0.64100000000000001</v>
      </c>
      <c r="C10" s="72">
        <v>0.67300000000000004</v>
      </c>
      <c r="D10" s="72">
        <v>0.76</v>
      </c>
      <c r="E10" s="72">
        <v>0.751</v>
      </c>
      <c r="F10" s="72">
        <v>0.57899999999999996</v>
      </c>
      <c r="G10" s="72">
        <v>0.69399999999999995</v>
      </c>
      <c r="H10" s="72">
        <v>1.014</v>
      </c>
      <c r="I10" s="72">
        <v>0.94499999999999995</v>
      </c>
      <c r="J10" s="72">
        <v>0.88600000000000001</v>
      </c>
      <c r="K10" s="72">
        <v>1.056</v>
      </c>
      <c r="L10" s="72">
        <v>1.3380000000000001</v>
      </c>
      <c r="M10" s="72">
        <v>1.7190000000000001</v>
      </c>
      <c r="N10" s="72">
        <v>2.024</v>
      </c>
      <c r="O10" s="72">
        <v>2.2519999999999998</v>
      </c>
      <c r="P10" s="70"/>
      <c r="Q10" s="72">
        <v>2.6360000000000001</v>
      </c>
      <c r="R10" s="70"/>
      <c r="S10" s="72">
        <v>1.8029999999999999</v>
      </c>
      <c r="T10" s="70"/>
      <c r="U10" s="72">
        <v>2.1960000000000002</v>
      </c>
      <c r="V10" s="70"/>
    </row>
    <row r="11" spans="1:22" x14ac:dyDescent="0.25">
      <c r="A11" s="69" t="s">
        <v>281</v>
      </c>
      <c r="B11" s="77">
        <v>0.63300000000000001</v>
      </c>
      <c r="C11" s="77">
        <v>0.65100000000000002</v>
      </c>
      <c r="D11" s="77">
        <v>0.73699999999999999</v>
      </c>
      <c r="E11" s="77">
        <v>0.72299999999999998</v>
      </c>
      <c r="F11" s="77">
        <v>0.55000000000000004</v>
      </c>
      <c r="G11" s="77">
        <v>0.65800000000000003</v>
      </c>
      <c r="H11" s="77">
        <v>0.97699999999999998</v>
      </c>
      <c r="I11" s="77">
        <v>0.90100000000000002</v>
      </c>
      <c r="J11" s="77">
        <v>0.85199999999999998</v>
      </c>
      <c r="K11" s="77">
        <v>1.0149999999999999</v>
      </c>
      <c r="L11" s="77">
        <v>1.304</v>
      </c>
      <c r="M11" s="77">
        <v>1.6970000000000001</v>
      </c>
      <c r="N11" s="77">
        <v>1.992</v>
      </c>
      <c r="O11" s="77">
        <v>2.2349999999999999</v>
      </c>
      <c r="P11" s="76" t="s">
        <v>230</v>
      </c>
      <c r="Q11" s="77">
        <v>2.6110000000000002</v>
      </c>
      <c r="R11" s="76" t="s">
        <v>230</v>
      </c>
      <c r="S11" s="77">
        <v>1.7769999999999999</v>
      </c>
      <c r="T11" s="76" t="s">
        <v>230</v>
      </c>
      <c r="U11" s="77">
        <v>2.1760000000000002</v>
      </c>
      <c r="V11" s="76" t="s">
        <v>230</v>
      </c>
    </row>
    <row r="12" spans="1:22" x14ac:dyDescent="0.25">
      <c r="A12" s="69" t="s">
        <v>282</v>
      </c>
      <c r="B12" s="77">
        <v>0.68899999999999995</v>
      </c>
      <c r="C12" s="77">
        <v>0.71099999999999997</v>
      </c>
      <c r="D12" s="77">
        <v>0.78900000000000003</v>
      </c>
      <c r="E12" s="77">
        <v>0.79100000000000004</v>
      </c>
      <c r="F12" s="77">
        <v>0.59899999999999998</v>
      </c>
      <c r="G12" s="77">
        <v>0.69499999999999995</v>
      </c>
      <c r="H12" s="77">
        <v>1.0209999999999999</v>
      </c>
      <c r="I12" s="77">
        <v>0.96499999999999997</v>
      </c>
      <c r="J12" s="77">
        <v>0.88500000000000001</v>
      </c>
      <c r="K12" s="77">
        <v>1.0429999999999999</v>
      </c>
      <c r="L12" s="77">
        <v>1.3049999999999999</v>
      </c>
      <c r="M12" s="77">
        <v>1.6819999999999999</v>
      </c>
      <c r="N12" s="77">
        <v>1.9990000000000001</v>
      </c>
      <c r="O12" s="74"/>
      <c r="P12" s="76" t="s">
        <v>230</v>
      </c>
      <c r="Q12" s="74"/>
      <c r="R12" s="76" t="s">
        <v>230</v>
      </c>
      <c r="S12" s="74"/>
      <c r="T12" s="76" t="s">
        <v>230</v>
      </c>
      <c r="U12" s="74"/>
      <c r="V12" s="76" t="s">
        <v>230</v>
      </c>
    </row>
    <row r="13" spans="1:22" x14ac:dyDescent="0.25">
      <c r="A13" s="73" t="s">
        <v>283</v>
      </c>
      <c r="B13" s="72">
        <v>0.72199999999999998</v>
      </c>
      <c r="C13" s="72">
        <v>0.71899999999999997</v>
      </c>
      <c r="D13" s="72">
        <v>0.80200000000000005</v>
      </c>
      <c r="E13" s="72">
        <v>0.80100000000000005</v>
      </c>
      <c r="F13" s="72">
        <v>0.63200000000000001</v>
      </c>
      <c r="G13" s="72">
        <v>0.75800000000000001</v>
      </c>
      <c r="H13" s="72">
        <v>1.08</v>
      </c>
      <c r="I13" s="72">
        <v>1.022</v>
      </c>
      <c r="J13" s="72">
        <v>0.95199999999999996</v>
      </c>
      <c r="K13" s="72">
        <v>1.1499999999999999</v>
      </c>
      <c r="L13" s="72">
        <v>1.41</v>
      </c>
      <c r="M13" s="72">
        <v>1.79</v>
      </c>
      <c r="N13" s="72">
        <v>2.1269999999999998</v>
      </c>
      <c r="O13" s="72">
        <v>2.3109999999999999</v>
      </c>
      <c r="P13" s="70"/>
      <c r="Q13" s="72">
        <v>2.73</v>
      </c>
      <c r="R13" s="70"/>
      <c r="S13" s="72">
        <v>1.903</v>
      </c>
      <c r="T13" s="71" t="s">
        <v>183</v>
      </c>
      <c r="U13" s="72">
        <v>2.2749999999999999</v>
      </c>
      <c r="V13" s="70"/>
    </row>
    <row r="14" spans="1:22" x14ac:dyDescent="0.25">
      <c r="A14" s="69" t="s">
        <v>285</v>
      </c>
      <c r="B14" s="77">
        <v>0.69599999999999995</v>
      </c>
      <c r="C14" s="77">
        <v>0.72399999999999998</v>
      </c>
      <c r="D14" s="77">
        <v>0.80400000000000005</v>
      </c>
      <c r="E14" s="77">
        <v>0.79400000000000004</v>
      </c>
      <c r="F14" s="77">
        <v>0.61799999999999999</v>
      </c>
      <c r="G14" s="77">
        <v>0.72399999999999998</v>
      </c>
      <c r="H14" s="77">
        <v>1.0549999999999999</v>
      </c>
      <c r="I14" s="77">
        <v>0.98</v>
      </c>
      <c r="J14" s="77">
        <v>0.92900000000000005</v>
      </c>
      <c r="K14" s="77">
        <v>1.105</v>
      </c>
      <c r="L14" s="77">
        <v>1.4</v>
      </c>
      <c r="M14" s="77">
        <v>1.792</v>
      </c>
      <c r="N14" s="77">
        <v>2.1219999999999999</v>
      </c>
      <c r="O14" s="77">
        <v>2.3620000000000001</v>
      </c>
      <c r="P14" s="75"/>
      <c r="Q14" s="77">
        <v>2.7490000000000001</v>
      </c>
      <c r="R14" s="75"/>
      <c r="S14" s="77">
        <v>1.9590000000000001</v>
      </c>
      <c r="T14" s="75"/>
      <c r="U14" s="77">
        <v>2.35</v>
      </c>
      <c r="V14" s="75"/>
    </row>
    <row r="15" spans="1:22" x14ac:dyDescent="0.25">
      <c r="A15" s="69" t="s">
        <v>281</v>
      </c>
      <c r="B15" s="77">
        <v>0.68600000000000005</v>
      </c>
      <c r="C15" s="77">
        <v>0.69499999999999995</v>
      </c>
      <c r="D15" s="77">
        <v>0.77700000000000002</v>
      </c>
      <c r="E15" s="77">
        <v>0.76400000000000001</v>
      </c>
      <c r="F15" s="77">
        <v>0.58699999999999997</v>
      </c>
      <c r="G15" s="77">
        <v>0.68799999999999994</v>
      </c>
      <c r="H15" s="77">
        <v>1.0129999999999999</v>
      </c>
      <c r="I15" s="77">
        <v>0.93300000000000005</v>
      </c>
      <c r="J15" s="77">
        <v>0.89700000000000002</v>
      </c>
      <c r="K15" s="77">
        <v>1.0549999999999999</v>
      </c>
      <c r="L15" s="77">
        <v>1.351</v>
      </c>
      <c r="M15" s="77">
        <v>1.756</v>
      </c>
      <c r="N15" s="77">
        <v>2.0830000000000002</v>
      </c>
      <c r="O15" s="77">
        <v>2.33</v>
      </c>
      <c r="P15" s="76" t="s">
        <v>230</v>
      </c>
      <c r="Q15" s="77">
        <v>2.7429999999999999</v>
      </c>
      <c r="R15" s="76" t="s">
        <v>230</v>
      </c>
      <c r="S15" s="77">
        <v>1.9319999999999999</v>
      </c>
      <c r="T15" s="76" t="s">
        <v>230</v>
      </c>
      <c r="U15" s="77">
        <v>2.327</v>
      </c>
      <c r="V15" s="76" t="s">
        <v>230</v>
      </c>
    </row>
    <row r="16" spans="1:22" x14ac:dyDescent="0.25">
      <c r="A16" s="73" t="s">
        <v>282</v>
      </c>
      <c r="B16" s="72">
        <v>0.75700000000000001</v>
      </c>
      <c r="C16" s="72">
        <v>0.78700000000000003</v>
      </c>
      <c r="D16" s="72">
        <v>0.85099999999999998</v>
      </c>
      <c r="E16" s="72">
        <v>0.85599999999999998</v>
      </c>
      <c r="F16" s="72">
        <v>0.67400000000000004</v>
      </c>
      <c r="G16" s="72">
        <v>0.77900000000000003</v>
      </c>
      <c r="H16" s="72">
        <v>1.119</v>
      </c>
      <c r="I16" s="72">
        <v>1.02</v>
      </c>
      <c r="J16" s="72">
        <v>0.95199999999999996</v>
      </c>
      <c r="K16" s="72">
        <v>1.131</v>
      </c>
      <c r="L16" s="72">
        <v>1.39</v>
      </c>
      <c r="M16" s="72">
        <v>1.7609999999999999</v>
      </c>
      <c r="N16" s="72">
        <v>2.0489999999999999</v>
      </c>
      <c r="O16" s="68"/>
      <c r="P16" s="71" t="s">
        <v>230</v>
      </c>
      <c r="Q16" s="68"/>
      <c r="R16" s="71" t="s">
        <v>230</v>
      </c>
      <c r="S16" s="68"/>
      <c r="T16" s="71" t="s">
        <v>230</v>
      </c>
      <c r="U16" s="68"/>
      <c r="V16" s="71" t="s">
        <v>230</v>
      </c>
    </row>
    <row r="17" spans="1:22" x14ac:dyDescent="0.25">
      <c r="A17" s="69" t="s">
        <v>283</v>
      </c>
      <c r="B17" s="77">
        <v>0.76900000000000002</v>
      </c>
      <c r="C17" s="77">
        <v>0.77900000000000003</v>
      </c>
      <c r="D17" s="77">
        <v>0.85099999999999998</v>
      </c>
      <c r="E17" s="77">
        <v>0.84499999999999997</v>
      </c>
      <c r="F17" s="77">
        <v>0.67100000000000004</v>
      </c>
      <c r="G17" s="77">
        <v>0.78700000000000003</v>
      </c>
      <c r="H17" s="77">
        <v>1.117</v>
      </c>
      <c r="I17" s="77">
        <v>1.054</v>
      </c>
      <c r="J17" s="77">
        <v>0.98599999999999999</v>
      </c>
      <c r="K17" s="77">
        <v>1.1890000000000001</v>
      </c>
      <c r="L17" s="77">
        <v>1.4670000000000001</v>
      </c>
      <c r="M17" s="77">
        <v>1.8440000000000001</v>
      </c>
      <c r="N17" s="77">
        <v>2.181</v>
      </c>
      <c r="O17" s="77">
        <v>2.407</v>
      </c>
      <c r="P17" s="75"/>
      <c r="Q17" s="77">
        <v>2.7570000000000001</v>
      </c>
      <c r="R17" s="75"/>
      <c r="S17" s="77">
        <v>1.994</v>
      </c>
      <c r="T17" s="75"/>
      <c r="U17" s="77">
        <v>2.3759999999999999</v>
      </c>
      <c r="V17" s="75"/>
    </row>
    <row r="18" spans="1:22" x14ac:dyDescent="0.25">
      <c r="A18" s="69" t="s">
        <v>286</v>
      </c>
      <c r="B18" s="77">
        <v>0.52900000000000003</v>
      </c>
      <c r="C18" s="77">
        <v>0.53600000000000003</v>
      </c>
      <c r="D18" s="77">
        <v>0.66</v>
      </c>
      <c r="E18" s="77">
        <v>0.61099999999999999</v>
      </c>
      <c r="F18" s="77">
        <v>0.45</v>
      </c>
      <c r="G18" s="77">
        <v>0.53800000000000003</v>
      </c>
      <c r="H18" s="77">
        <v>0.90100000000000002</v>
      </c>
      <c r="I18" s="77">
        <v>0.78500000000000003</v>
      </c>
      <c r="J18" s="77">
        <v>0.72799999999999998</v>
      </c>
      <c r="K18" s="77">
        <v>0.89100000000000001</v>
      </c>
      <c r="L18" s="77">
        <v>1.1779999999999999</v>
      </c>
      <c r="M18" s="77">
        <v>1.7270000000000001</v>
      </c>
      <c r="N18" s="77">
        <v>1.9990000000000001</v>
      </c>
      <c r="O18" s="77">
        <v>2.2080000000000002</v>
      </c>
      <c r="P18" s="75"/>
      <c r="Q18" s="77">
        <v>2.9750000000000001</v>
      </c>
      <c r="R18" s="75"/>
      <c r="S18" s="77">
        <v>1.7270000000000001</v>
      </c>
      <c r="T18" s="75"/>
      <c r="U18" s="77">
        <v>2.2160000000000002</v>
      </c>
      <c r="V18" s="75"/>
    </row>
    <row r="19" spans="1:22" x14ac:dyDescent="0.25">
      <c r="A19" s="73" t="s">
        <v>287</v>
      </c>
      <c r="B19" s="72">
        <v>0.53800000000000003</v>
      </c>
      <c r="C19" s="72">
        <v>0.54600000000000004</v>
      </c>
      <c r="D19" s="72">
        <v>0.66700000000000004</v>
      </c>
      <c r="E19" s="72">
        <v>0.61599999999999999</v>
      </c>
      <c r="F19" s="72">
        <v>0.45400000000000001</v>
      </c>
      <c r="G19" s="72">
        <v>0.55200000000000005</v>
      </c>
      <c r="H19" s="72">
        <v>0.90400000000000003</v>
      </c>
      <c r="I19" s="72">
        <v>0.79100000000000004</v>
      </c>
      <c r="J19" s="72">
        <v>0.73499999999999999</v>
      </c>
      <c r="K19" s="72">
        <v>0.89100000000000001</v>
      </c>
      <c r="L19" s="72">
        <v>1.1910000000000001</v>
      </c>
      <c r="M19" s="72">
        <v>1.754</v>
      </c>
      <c r="N19" s="72">
        <v>2.0289999999999999</v>
      </c>
      <c r="O19" s="72">
        <v>2.23</v>
      </c>
      <c r="P19" s="70"/>
      <c r="Q19" s="72">
        <v>3.0129999999999999</v>
      </c>
      <c r="R19" s="70"/>
      <c r="S19" s="72">
        <v>1.73</v>
      </c>
      <c r="T19" s="70"/>
      <c r="U19" s="72">
        <v>2.2189999999999999</v>
      </c>
      <c r="V19" s="70"/>
    </row>
    <row r="20" spans="1:22" x14ac:dyDescent="0.25">
      <c r="A20" s="69" t="s">
        <v>288</v>
      </c>
      <c r="B20" s="77" t="s">
        <v>229</v>
      </c>
      <c r="C20" s="77" t="s">
        <v>229</v>
      </c>
      <c r="D20" s="77" t="s">
        <v>229</v>
      </c>
      <c r="E20" s="77" t="s">
        <v>229</v>
      </c>
      <c r="F20" s="77" t="s">
        <v>229</v>
      </c>
      <c r="G20" s="77" t="s">
        <v>229</v>
      </c>
      <c r="H20" s="77" t="s">
        <v>229</v>
      </c>
      <c r="I20" s="77" t="s">
        <v>229</v>
      </c>
      <c r="J20" s="77" t="s">
        <v>229</v>
      </c>
      <c r="K20" s="77" t="s">
        <v>229</v>
      </c>
      <c r="L20" s="77" t="s">
        <v>229</v>
      </c>
      <c r="M20" s="77" t="s">
        <v>229</v>
      </c>
      <c r="N20" s="77" t="s">
        <v>229</v>
      </c>
      <c r="O20" s="77">
        <v>2.258</v>
      </c>
      <c r="P20" s="75"/>
      <c r="Q20" s="77">
        <v>3.0219999999999998</v>
      </c>
      <c r="R20" s="75"/>
      <c r="S20" s="77">
        <v>1.742</v>
      </c>
      <c r="T20" s="75"/>
      <c r="U20" s="77">
        <v>2.222</v>
      </c>
      <c r="V20" s="75"/>
    </row>
    <row r="21" spans="1:22" x14ac:dyDescent="0.25">
      <c r="A21" s="69" t="s">
        <v>289</v>
      </c>
      <c r="B21" s="77">
        <v>0.54200000000000004</v>
      </c>
      <c r="C21" s="77">
        <v>0.55100000000000005</v>
      </c>
      <c r="D21" s="77">
        <v>0.67300000000000004</v>
      </c>
      <c r="E21" s="77">
        <v>0.61899999999999999</v>
      </c>
      <c r="F21" s="77">
        <v>0.45700000000000002</v>
      </c>
      <c r="G21" s="77">
        <v>0.55700000000000005</v>
      </c>
      <c r="H21" s="77">
        <v>0.90900000000000003</v>
      </c>
      <c r="I21" s="77">
        <v>0.79400000000000004</v>
      </c>
      <c r="J21" s="77">
        <v>0.73799999999999999</v>
      </c>
      <c r="K21" s="77">
        <v>0.89500000000000002</v>
      </c>
      <c r="L21" s="77">
        <v>1.1970000000000001</v>
      </c>
      <c r="M21" s="77">
        <v>1.7609999999999999</v>
      </c>
      <c r="N21" s="77">
        <v>2.0449999999999999</v>
      </c>
      <c r="O21" s="77">
        <v>2.2109999999999999</v>
      </c>
      <c r="P21" s="75"/>
      <c r="Q21" s="77">
        <v>2.9830000000000001</v>
      </c>
      <c r="R21" s="75"/>
      <c r="S21" s="77">
        <v>1.6479999999999999</v>
      </c>
      <c r="T21" s="75"/>
      <c r="U21" s="77">
        <v>2.1800000000000002</v>
      </c>
      <c r="V21" s="75"/>
    </row>
    <row r="22" spans="1:22" x14ac:dyDescent="0.25">
      <c r="A22" s="73" t="s">
        <v>290</v>
      </c>
      <c r="B22" s="72">
        <v>0.51900000000000002</v>
      </c>
      <c r="C22" s="72">
        <v>0.52400000000000002</v>
      </c>
      <c r="D22" s="72">
        <v>0.63900000000000001</v>
      </c>
      <c r="E22" s="72">
        <v>0.60199999999999998</v>
      </c>
      <c r="F22" s="72">
        <v>0.437</v>
      </c>
      <c r="G22" s="72">
        <v>0.51900000000000002</v>
      </c>
      <c r="H22" s="72">
        <v>0.875</v>
      </c>
      <c r="I22" s="72">
        <v>0.77100000000000002</v>
      </c>
      <c r="J22" s="72">
        <v>0.71199999999999997</v>
      </c>
      <c r="K22" s="72">
        <v>0.87</v>
      </c>
      <c r="L22" s="72">
        <v>1.1459999999999999</v>
      </c>
      <c r="M22" s="72">
        <v>1.704</v>
      </c>
      <c r="N22" s="72">
        <v>1.915</v>
      </c>
      <c r="O22" s="72">
        <v>1.9590000000000001</v>
      </c>
      <c r="P22" s="70"/>
      <c r="Q22" s="72">
        <v>2.887</v>
      </c>
      <c r="R22" s="70"/>
      <c r="S22" s="72">
        <v>1.724</v>
      </c>
      <c r="T22" s="71" t="s">
        <v>183</v>
      </c>
      <c r="U22" s="72">
        <v>2.177</v>
      </c>
      <c r="V22" s="70"/>
    </row>
    <row r="23" spans="1:22" x14ac:dyDescent="0.25">
      <c r="A23" s="69" t="s">
        <v>291</v>
      </c>
      <c r="B23" s="77">
        <v>0.32200000000000001</v>
      </c>
      <c r="C23" s="77">
        <v>0.36599999999999999</v>
      </c>
      <c r="D23" s="77">
        <v>0.42699999999999999</v>
      </c>
      <c r="E23" s="77">
        <v>0.39600000000000002</v>
      </c>
      <c r="F23" s="77">
        <v>0.28399999999999997</v>
      </c>
      <c r="G23" s="77">
        <v>0.35499999999999998</v>
      </c>
      <c r="H23" s="77">
        <v>0.57899999999999996</v>
      </c>
      <c r="I23" s="77">
        <v>0.496</v>
      </c>
      <c r="J23" s="77">
        <v>0.52600000000000002</v>
      </c>
      <c r="K23" s="77">
        <v>0.67500000000000004</v>
      </c>
      <c r="L23" s="77">
        <v>0.68200000000000005</v>
      </c>
      <c r="M23" s="77">
        <v>1.006</v>
      </c>
      <c r="N23" s="77">
        <v>1.141</v>
      </c>
      <c r="O23" s="77">
        <v>1.3420000000000001</v>
      </c>
      <c r="P23" s="75"/>
      <c r="Q23" s="77">
        <v>1.851</v>
      </c>
      <c r="R23" s="75"/>
      <c r="S23" s="77">
        <v>1.341</v>
      </c>
      <c r="T23" s="75"/>
      <c r="U23" s="77">
        <v>1.7270000000000001</v>
      </c>
      <c r="V23" s="75"/>
    </row>
    <row r="24" spans="1:22" x14ac:dyDescent="0.25">
      <c r="A24" s="69" t="s">
        <v>292</v>
      </c>
      <c r="B24" s="77">
        <v>0.35</v>
      </c>
      <c r="C24" s="77">
        <v>0.38300000000000001</v>
      </c>
      <c r="D24" s="77">
        <v>0.46100000000000002</v>
      </c>
      <c r="E24" s="77">
        <v>0.42399999999999999</v>
      </c>
      <c r="F24" s="77">
        <v>0.30499999999999999</v>
      </c>
      <c r="G24" s="77">
        <v>0.38200000000000001</v>
      </c>
      <c r="H24" s="77">
        <v>0.63800000000000001</v>
      </c>
      <c r="I24" s="77">
        <v>0.54200000000000004</v>
      </c>
      <c r="J24" s="77">
        <v>0.54800000000000004</v>
      </c>
      <c r="K24" s="77">
        <v>0.73199999999999998</v>
      </c>
      <c r="L24" s="77">
        <v>0.74</v>
      </c>
      <c r="M24" s="77">
        <v>1.107</v>
      </c>
      <c r="N24" s="77">
        <v>1.2050000000000001</v>
      </c>
      <c r="O24" s="77">
        <v>1.377</v>
      </c>
      <c r="P24" s="75"/>
      <c r="Q24" s="77">
        <v>1.8979999999999999</v>
      </c>
      <c r="R24" s="75"/>
      <c r="S24" s="77">
        <v>1.349</v>
      </c>
      <c r="T24" s="75"/>
      <c r="U24" s="77">
        <v>1.8120000000000001</v>
      </c>
      <c r="V24" s="75"/>
    </row>
    <row r="25" spans="1:22" x14ac:dyDescent="0.25">
      <c r="A25" s="73" t="s">
        <v>293</v>
      </c>
      <c r="B25" s="72">
        <v>0.29799999999999999</v>
      </c>
      <c r="C25" s="72">
        <v>0.34399999999999997</v>
      </c>
      <c r="D25" s="72">
        <v>0.39700000000000002</v>
      </c>
      <c r="E25" s="72">
        <v>0.375</v>
      </c>
      <c r="F25" s="72">
        <v>0.27100000000000002</v>
      </c>
      <c r="G25" s="72">
        <v>0.33300000000000002</v>
      </c>
      <c r="H25" s="72">
        <v>0.52300000000000002</v>
      </c>
      <c r="I25" s="72">
        <v>0.438</v>
      </c>
      <c r="J25" s="72">
        <v>0.502</v>
      </c>
      <c r="K25" s="72">
        <v>0.621</v>
      </c>
      <c r="L25" s="72">
        <v>0.63800000000000001</v>
      </c>
      <c r="M25" s="72">
        <v>0.89900000000000002</v>
      </c>
      <c r="N25" s="72">
        <v>1.087</v>
      </c>
      <c r="O25" s="72">
        <v>1.3140000000000001</v>
      </c>
      <c r="P25" s="70"/>
      <c r="Q25" s="72">
        <v>1.821</v>
      </c>
      <c r="R25" s="70"/>
      <c r="S25" s="72">
        <v>1.337</v>
      </c>
      <c r="T25" s="70"/>
      <c r="U25" s="72">
        <v>1.694</v>
      </c>
      <c r="V25" s="70"/>
    </row>
    <row r="26" spans="1:22" x14ac:dyDescent="0.25">
      <c r="A26" s="69" t="s">
        <v>294</v>
      </c>
      <c r="B26" s="77">
        <v>0.33600000000000002</v>
      </c>
      <c r="C26" s="77">
        <v>0.35399999999999998</v>
      </c>
      <c r="D26" s="77">
        <v>0.47099999999999997</v>
      </c>
      <c r="E26" s="77">
        <v>0.42599999999999999</v>
      </c>
      <c r="F26" s="77">
        <v>0.29699999999999999</v>
      </c>
      <c r="G26" s="77">
        <v>0.35399999999999998</v>
      </c>
      <c r="H26" s="77">
        <v>0.60299999999999998</v>
      </c>
      <c r="I26" s="77">
        <v>0.55600000000000005</v>
      </c>
      <c r="J26" s="77">
        <v>0.44</v>
      </c>
      <c r="K26" s="77">
        <v>0.61499999999999999</v>
      </c>
      <c r="L26" s="77">
        <v>0.76100000000000001</v>
      </c>
      <c r="M26" s="77">
        <v>0.93899999999999995</v>
      </c>
      <c r="N26" s="77">
        <v>1.0409999999999999</v>
      </c>
      <c r="O26" s="77">
        <v>1.206</v>
      </c>
      <c r="P26" s="75"/>
      <c r="Q26" s="77">
        <v>1.4550000000000001</v>
      </c>
      <c r="R26" s="75"/>
      <c r="S26" s="77">
        <v>0.95499999999999996</v>
      </c>
      <c r="T26" s="75"/>
      <c r="U26" s="77">
        <v>1.226</v>
      </c>
      <c r="V26" s="75"/>
    </row>
    <row r="27" spans="1:22" x14ac:dyDescent="0.25">
      <c r="A27" s="83"/>
      <c r="B27" s="284">
        <v>0.72899999999999998</v>
      </c>
      <c r="C27" s="284">
        <v>0.76100000000000001</v>
      </c>
      <c r="D27" s="284">
        <v>0.84299999999999997</v>
      </c>
      <c r="E27" s="284">
        <v>0.83099999999999996</v>
      </c>
      <c r="F27" s="284">
        <v>0.66</v>
      </c>
      <c r="G27" s="284">
        <v>0.76200000000000001</v>
      </c>
      <c r="H27" s="284">
        <v>1.091</v>
      </c>
      <c r="I27" s="284">
        <v>1.022</v>
      </c>
      <c r="J27" s="284">
        <v>0.94299999999999995</v>
      </c>
      <c r="K27" s="284">
        <v>1.135</v>
      </c>
      <c r="L27" s="284">
        <v>1.423</v>
      </c>
      <c r="M27" s="284">
        <v>1.8280000000000001</v>
      </c>
      <c r="N27" s="284">
        <v>2.121</v>
      </c>
      <c r="O27" s="284">
        <v>2.3380000000000001</v>
      </c>
      <c r="P27" s="287"/>
      <c r="Q27" s="284">
        <v>2.7719999999999998</v>
      </c>
      <c r="R27" s="287"/>
      <c r="S27" s="284">
        <v>1.893</v>
      </c>
      <c r="T27" s="290" t="s">
        <v>183</v>
      </c>
      <c r="U27" s="284">
        <v>2.3159999999999998</v>
      </c>
      <c r="V27" s="287"/>
    </row>
    <row r="28" spans="1:22" x14ac:dyDescent="0.25">
      <c r="A28" s="82" t="s">
        <v>295</v>
      </c>
      <c r="B28" s="285"/>
      <c r="C28" s="285"/>
      <c r="D28" s="285"/>
      <c r="E28" s="285"/>
      <c r="F28" s="285"/>
      <c r="G28" s="285"/>
      <c r="H28" s="285"/>
      <c r="I28" s="285"/>
      <c r="J28" s="285"/>
      <c r="K28" s="285"/>
      <c r="L28" s="285"/>
      <c r="M28" s="285"/>
      <c r="N28" s="285"/>
      <c r="O28" s="285"/>
      <c r="P28" s="288"/>
      <c r="Q28" s="285"/>
      <c r="R28" s="288"/>
      <c r="S28" s="285"/>
      <c r="T28" s="291"/>
      <c r="U28" s="285"/>
      <c r="V28" s="288"/>
    </row>
    <row r="29" spans="1:22" x14ac:dyDescent="0.25">
      <c r="A29" s="69" t="s">
        <v>279</v>
      </c>
      <c r="B29" s="286"/>
      <c r="C29" s="286"/>
      <c r="D29" s="286"/>
      <c r="E29" s="286"/>
      <c r="F29" s="286"/>
      <c r="G29" s="286"/>
      <c r="H29" s="286"/>
      <c r="I29" s="286"/>
      <c r="J29" s="286"/>
      <c r="K29" s="286"/>
      <c r="L29" s="286"/>
      <c r="M29" s="286"/>
      <c r="N29" s="286"/>
      <c r="O29" s="286"/>
      <c r="P29" s="289"/>
      <c r="Q29" s="286"/>
      <c r="R29" s="289"/>
      <c r="S29" s="286"/>
      <c r="T29" s="292"/>
      <c r="U29" s="286"/>
      <c r="V29" s="289"/>
    </row>
    <row r="30" spans="1:22" x14ac:dyDescent="0.25">
      <c r="A30" s="69" t="s">
        <v>280</v>
      </c>
      <c r="B30" s="77">
        <v>0.69</v>
      </c>
      <c r="C30" s="77">
        <v>0.72099999999999997</v>
      </c>
      <c r="D30" s="77">
        <v>0.80900000000000005</v>
      </c>
      <c r="E30" s="77">
        <v>0.79700000000000004</v>
      </c>
      <c r="F30" s="77">
        <v>0.623</v>
      </c>
      <c r="G30" s="77">
        <v>0.72799999999999998</v>
      </c>
      <c r="H30" s="77">
        <v>1.0629999999999999</v>
      </c>
      <c r="I30" s="77">
        <v>0.99299999999999999</v>
      </c>
      <c r="J30" s="77">
        <v>0.91500000000000004</v>
      </c>
      <c r="K30" s="77">
        <v>1.1080000000000001</v>
      </c>
      <c r="L30" s="77">
        <v>1.399</v>
      </c>
      <c r="M30" s="77">
        <v>1.8069999999999999</v>
      </c>
      <c r="N30" s="77">
        <v>2.0979999999999999</v>
      </c>
      <c r="O30" s="77">
        <v>2.3130000000000002</v>
      </c>
      <c r="P30" s="75"/>
      <c r="Q30" s="77">
        <v>2.75</v>
      </c>
      <c r="R30" s="75"/>
      <c r="S30" s="77">
        <v>1.867</v>
      </c>
      <c r="T30" s="76" t="s">
        <v>183</v>
      </c>
      <c r="U30" s="77">
        <v>2.29</v>
      </c>
      <c r="V30" s="75"/>
    </row>
    <row r="31" spans="1:22" x14ac:dyDescent="0.25">
      <c r="A31" s="73" t="s">
        <v>281</v>
      </c>
      <c r="B31" s="72">
        <v>0.68500000000000005</v>
      </c>
      <c r="C31" s="72">
        <v>0.71399999999999997</v>
      </c>
      <c r="D31" s="72">
        <v>0.80100000000000005</v>
      </c>
      <c r="E31" s="72">
        <v>0.78500000000000003</v>
      </c>
      <c r="F31" s="72">
        <v>0.61</v>
      </c>
      <c r="G31" s="72">
        <v>0.70799999999999996</v>
      </c>
      <c r="H31" s="72">
        <v>1.044</v>
      </c>
      <c r="I31" s="72">
        <v>0.96799999999999997</v>
      </c>
      <c r="J31" s="72">
        <v>0.90100000000000002</v>
      </c>
      <c r="K31" s="72">
        <v>1.0820000000000001</v>
      </c>
      <c r="L31" s="72">
        <v>1.373</v>
      </c>
      <c r="M31" s="72">
        <v>1.7889999999999999</v>
      </c>
      <c r="N31" s="72">
        <v>2.073</v>
      </c>
      <c r="O31" s="72">
        <v>2.2970000000000002</v>
      </c>
      <c r="P31" s="71" t="s">
        <v>230</v>
      </c>
      <c r="Q31" s="72">
        <v>2.7309999999999999</v>
      </c>
      <c r="R31" s="71" t="s">
        <v>230</v>
      </c>
      <c r="S31" s="72">
        <v>1.8420000000000001</v>
      </c>
      <c r="T31" s="71" t="s">
        <v>296</v>
      </c>
      <c r="U31" s="72">
        <v>2.2669999999999999</v>
      </c>
      <c r="V31" s="71" t="s">
        <v>230</v>
      </c>
    </row>
    <row r="32" spans="1:22" x14ac:dyDescent="0.25">
      <c r="A32" s="69" t="s">
        <v>282</v>
      </c>
      <c r="B32" s="77">
        <v>0.73699999999999999</v>
      </c>
      <c r="C32" s="77">
        <v>0.77300000000000002</v>
      </c>
      <c r="D32" s="77">
        <v>0.86099999999999999</v>
      </c>
      <c r="E32" s="77">
        <v>0.88700000000000001</v>
      </c>
      <c r="F32" s="77">
        <v>0.69399999999999995</v>
      </c>
      <c r="G32" s="77">
        <v>0.78200000000000003</v>
      </c>
      <c r="H32" s="77">
        <v>1.1180000000000001</v>
      </c>
      <c r="I32" s="77">
        <v>1.0589999999999999</v>
      </c>
      <c r="J32" s="77">
        <v>0.96399999999999997</v>
      </c>
      <c r="K32" s="77">
        <v>1.1419999999999999</v>
      </c>
      <c r="L32" s="77">
        <v>1.4139999999999999</v>
      </c>
      <c r="M32" s="77">
        <v>1.768</v>
      </c>
      <c r="N32" s="77">
        <v>2.0760000000000001</v>
      </c>
      <c r="O32" s="74"/>
      <c r="P32" s="76" t="s">
        <v>230</v>
      </c>
      <c r="Q32" s="74"/>
      <c r="R32" s="76" t="s">
        <v>230</v>
      </c>
      <c r="S32" s="74"/>
      <c r="T32" s="76" t="s">
        <v>230</v>
      </c>
      <c r="U32" s="74"/>
      <c r="V32" s="76" t="s">
        <v>230</v>
      </c>
    </row>
    <row r="33" spans="1:22" x14ac:dyDescent="0.25">
      <c r="A33" s="69" t="s">
        <v>283</v>
      </c>
      <c r="B33" s="77">
        <v>0.74299999999999999</v>
      </c>
      <c r="C33" s="77">
        <v>0.74099999999999999</v>
      </c>
      <c r="D33" s="77">
        <v>0.83299999999999996</v>
      </c>
      <c r="E33" s="77">
        <v>0.82199999999999995</v>
      </c>
      <c r="F33" s="77">
        <v>0.65100000000000002</v>
      </c>
      <c r="G33" s="77">
        <v>0.77700000000000002</v>
      </c>
      <c r="H33" s="77">
        <v>1.109</v>
      </c>
      <c r="I33" s="77">
        <v>1.0509999999999999</v>
      </c>
      <c r="J33" s="77">
        <v>0.94899999999999995</v>
      </c>
      <c r="K33" s="77">
        <v>1.1830000000000001</v>
      </c>
      <c r="L33" s="77">
        <v>1.478</v>
      </c>
      <c r="M33" s="77">
        <v>1.861</v>
      </c>
      <c r="N33" s="77">
        <v>2.1680000000000001</v>
      </c>
      <c r="O33" s="77">
        <v>2.3570000000000002</v>
      </c>
      <c r="P33" s="75"/>
      <c r="Q33" s="77">
        <v>2.8069999999999999</v>
      </c>
      <c r="R33" s="75"/>
      <c r="S33" s="77">
        <v>1.944</v>
      </c>
      <c r="T33" s="75"/>
      <c r="U33" s="77">
        <v>2.3580000000000001</v>
      </c>
      <c r="V33" s="75"/>
    </row>
    <row r="34" spans="1:22" x14ac:dyDescent="0.25">
      <c r="A34" s="73" t="s">
        <v>284</v>
      </c>
      <c r="B34" s="72">
        <v>0.77</v>
      </c>
      <c r="C34" s="72">
        <v>0.80200000000000005</v>
      </c>
      <c r="D34" s="72">
        <v>0.88500000000000001</v>
      </c>
      <c r="E34" s="72">
        <v>0.88</v>
      </c>
      <c r="F34" s="72">
        <v>0.71099999999999997</v>
      </c>
      <c r="G34" s="72">
        <v>0.81200000000000006</v>
      </c>
      <c r="H34" s="72">
        <v>1.1459999999999999</v>
      </c>
      <c r="I34" s="72">
        <v>1.0860000000000001</v>
      </c>
      <c r="J34" s="72">
        <v>1.002</v>
      </c>
      <c r="K34" s="72">
        <v>1.1950000000000001</v>
      </c>
      <c r="L34" s="72">
        <v>1.482</v>
      </c>
      <c r="M34" s="72">
        <v>1.877</v>
      </c>
      <c r="N34" s="72">
        <v>2.1829999999999998</v>
      </c>
      <c r="O34" s="72">
        <v>2.4119999999999999</v>
      </c>
      <c r="P34" s="70"/>
      <c r="Q34" s="72">
        <v>2.8460000000000001</v>
      </c>
      <c r="R34" s="70"/>
      <c r="S34" s="72">
        <v>1.9690000000000001</v>
      </c>
      <c r="T34" s="70"/>
      <c r="U34" s="72">
        <v>2.39</v>
      </c>
      <c r="V34" s="70"/>
    </row>
    <row r="35" spans="1:22" x14ac:dyDescent="0.25">
      <c r="A35" s="69" t="s">
        <v>281</v>
      </c>
      <c r="B35" s="77">
        <v>0.76600000000000001</v>
      </c>
      <c r="C35" s="77">
        <v>0.79300000000000004</v>
      </c>
      <c r="D35" s="77">
        <v>0.874</v>
      </c>
      <c r="E35" s="77">
        <v>0.86499999999999999</v>
      </c>
      <c r="F35" s="77">
        <v>0.69499999999999995</v>
      </c>
      <c r="G35" s="77">
        <v>0.78700000000000003</v>
      </c>
      <c r="H35" s="77">
        <v>1.1220000000000001</v>
      </c>
      <c r="I35" s="77">
        <v>1.052</v>
      </c>
      <c r="J35" s="77">
        <v>0.98499999999999999</v>
      </c>
      <c r="K35" s="77">
        <v>1.1659999999999999</v>
      </c>
      <c r="L35" s="77">
        <v>1.4530000000000001</v>
      </c>
      <c r="M35" s="77">
        <v>1.855</v>
      </c>
      <c r="N35" s="77">
        <v>2.1509999999999998</v>
      </c>
      <c r="O35" s="77">
        <v>2.3889999999999998</v>
      </c>
      <c r="P35" s="76" t="s">
        <v>230</v>
      </c>
      <c r="Q35" s="77">
        <v>2.8159999999999998</v>
      </c>
      <c r="R35" s="76" t="s">
        <v>230</v>
      </c>
      <c r="S35" s="77">
        <v>1.9339999999999999</v>
      </c>
      <c r="T35" s="76" t="s">
        <v>296</v>
      </c>
      <c r="U35" s="77">
        <v>2.3570000000000002</v>
      </c>
      <c r="V35" s="76" t="s">
        <v>230</v>
      </c>
    </row>
    <row r="36" spans="1:22" x14ac:dyDescent="0.25">
      <c r="A36" s="69" t="s">
        <v>282</v>
      </c>
      <c r="B36" s="77">
        <v>0.82099999999999995</v>
      </c>
      <c r="C36" s="77">
        <v>0.83799999999999997</v>
      </c>
      <c r="D36" s="77">
        <v>0.92900000000000005</v>
      </c>
      <c r="E36" s="77">
        <v>0.96399999999999997</v>
      </c>
      <c r="F36" s="77">
        <v>0.76300000000000001</v>
      </c>
      <c r="G36" s="77">
        <v>0.85299999999999998</v>
      </c>
      <c r="H36" s="77">
        <v>1.1850000000000001</v>
      </c>
      <c r="I36" s="77">
        <v>1.1200000000000001</v>
      </c>
      <c r="J36" s="77">
        <v>1.0309999999999999</v>
      </c>
      <c r="K36" s="77">
        <v>1.1930000000000001</v>
      </c>
      <c r="L36" s="77">
        <v>1.4590000000000001</v>
      </c>
      <c r="M36" s="77">
        <v>1.8240000000000001</v>
      </c>
      <c r="N36" s="77">
        <v>2.1379999999999999</v>
      </c>
      <c r="O36" s="74"/>
      <c r="P36" s="76" t="s">
        <v>230</v>
      </c>
      <c r="Q36" s="74"/>
      <c r="R36" s="76" t="s">
        <v>230</v>
      </c>
      <c r="S36" s="74"/>
      <c r="T36" s="76" t="s">
        <v>230</v>
      </c>
      <c r="U36" s="74"/>
      <c r="V36" s="76" t="s">
        <v>230</v>
      </c>
    </row>
    <row r="37" spans="1:22" x14ac:dyDescent="0.25">
      <c r="A37" s="73" t="s">
        <v>283</v>
      </c>
      <c r="B37" s="72">
        <v>0.85099999999999998</v>
      </c>
      <c r="C37" s="72">
        <v>0.82899999999999996</v>
      </c>
      <c r="D37" s="72">
        <v>0.91600000000000004</v>
      </c>
      <c r="E37" s="72">
        <v>0.91500000000000004</v>
      </c>
      <c r="F37" s="72">
        <v>0.748</v>
      </c>
      <c r="G37" s="72">
        <v>0.86899999999999999</v>
      </c>
      <c r="H37" s="72">
        <v>1.1970000000000001</v>
      </c>
      <c r="I37" s="72">
        <v>1.1559999999999999</v>
      </c>
      <c r="J37" s="72">
        <v>1.042</v>
      </c>
      <c r="K37" s="72">
        <v>1.2769999999999999</v>
      </c>
      <c r="L37" s="72">
        <v>1.569</v>
      </c>
      <c r="M37" s="72">
        <v>1.9450000000000001</v>
      </c>
      <c r="N37" s="72">
        <v>2.2730000000000001</v>
      </c>
      <c r="O37" s="72">
        <v>2.476</v>
      </c>
      <c r="P37" s="70"/>
      <c r="Q37" s="72">
        <v>2.9359999999999999</v>
      </c>
      <c r="R37" s="70"/>
      <c r="S37" s="72">
        <v>2.077</v>
      </c>
      <c r="T37" s="70"/>
      <c r="U37" s="72">
        <v>2.4940000000000002</v>
      </c>
      <c r="V37" s="70"/>
    </row>
    <row r="38" spans="1:22" x14ac:dyDescent="0.25">
      <c r="A38" s="69" t="s">
        <v>285</v>
      </c>
      <c r="B38" s="77">
        <v>0.85199999999999998</v>
      </c>
      <c r="C38" s="77">
        <v>0.88300000000000001</v>
      </c>
      <c r="D38" s="77">
        <v>0.96199999999999997</v>
      </c>
      <c r="E38" s="77">
        <v>0.95499999999999996</v>
      </c>
      <c r="F38" s="77">
        <v>0.78600000000000003</v>
      </c>
      <c r="G38" s="77">
        <v>0.88</v>
      </c>
      <c r="H38" s="77">
        <v>1.218</v>
      </c>
      <c r="I38" s="77">
        <v>1.1539999999999999</v>
      </c>
      <c r="J38" s="77">
        <v>1.081</v>
      </c>
      <c r="K38" s="77">
        <v>1.282</v>
      </c>
      <c r="L38" s="77">
        <v>1.58</v>
      </c>
      <c r="M38" s="77">
        <v>1.988</v>
      </c>
      <c r="N38" s="77">
        <v>2.3029999999999999</v>
      </c>
      <c r="O38" s="77">
        <v>2.5289999999999999</v>
      </c>
      <c r="P38" s="75"/>
      <c r="Q38" s="77">
        <v>2.9609999999999999</v>
      </c>
      <c r="R38" s="75"/>
      <c r="S38" s="77">
        <v>2.1240000000000001</v>
      </c>
      <c r="T38" s="76" t="s">
        <v>183</v>
      </c>
      <c r="U38" s="77">
        <v>2.5419999999999998</v>
      </c>
      <c r="V38" s="75"/>
    </row>
    <row r="39" spans="1:22" x14ac:dyDescent="0.25">
      <c r="A39" s="69" t="s">
        <v>281</v>
      </c>
      <c r="B39" s="77">
        <v>0.84599999999999997</v>
      </c>
      <c r="C39" s="77">
        <v>0.871</v>
      </c>
      <c r="D39" s="77">
        <v>0.95</v>
      </c>
      <c r="E39" s="77">
        <v>0.93899999999999995</v>
      </c>
      <c r="F39" s="77">
        <v>0.76900000000000002</v>
      </c>
      <c r="G39" s="77">
        <v>0.85599999999999998</v>
      </c>
      <c r="H39" s="77">
        <v>1.1919999999999999</v>
      </c>
      <c r="I39" s="77">
        <v>1.119</v>
      </c>
      <c r="J39" s="77">
        <v>1.0629999999999999</v>
      </c>
      <c r="K39" s="77">
        <v>1.2450000000000001</v>
      </c>
      <c r="L39" s="77">
        <v>1.538</v>
      </c>
      <c r="M39" s="77">
        <v>1.958</v>
      </c>
      <c r="N39" s="77">
        <v>2.2629999999999999</v>
      </c>
      <c r="O39" s="77">
        <v>2.4969999999999999</v>
      </c>
      <c r="P39" s="76" t="s">
        <v>230</v>
      </c>
      <c r="Q39" s="77">
        <v>2.9350000000000001</v>
      </c>
      <c r="R39" s="76" t="s">
        <v>230</v>
      </c>
      <c r="S39" s="77">
        <v>2.0819999999999999</v>
      </c>
      <c r="T39" s="76" t="s">
        <v>296</v>
      </c>
      <c r="U39" s="77">
        <v>2.504</v>
      </c>
      <c r="V39" s="76" t="s">
        <v>230</v>
      </c>
    </row>
    <row r="40" spans="1:22" x14ac:dyDescent="0.25">
      <c r="A40" s="73" t="s">
        <v>282</v>
      </c>
      <c r="B40" s="72">
        <v>0.90800000000000003</v>
      </c>
      <c r="C40" s="72">
        <v>0.93799999999999994</v>
      </c>
      <c r="D40" s="72">
        <v>1.0189999999999999</v>
      </c>
      <c r="E40" s="72">
        <v>1.054</v>
      </c>
      <c r="F40" s="72">
        <v>0.84499999999999997</v>
      </c>
      <c r="G40" s="72">
        <v>0.94</v>
      </c>
      <c r="H40" s="72">
        <v>1.2789999999999999</v>
      </c>
      <c r="I40" s="72">
        <v>1.218</v>
      </c>
      <c r="J40" s="72">
        <v>1.1279999999999999</v>
      </c>
      <c r="K40" s="72">
        <v>1.3069999999999999</v>
      </c>
      <c r="L40" s="72">
        <v>1.5680000000000001</v>
      </c>
      <c r="M40" s="72">
        <v>1.915</v>
      </c>
      <c r="N40" s="72">
        <v>2.2360000000000002</v>
      </c>
      <c r="O40" s="68"/>
      <c r="P40" s="71" t="s">
        <v>230</v>
      </c>
      <c r="Q40" s="68"/>
      <c r="R40" s="71" t="s">
        <v>230</v>
      </c>
      <c r="S40" s="68"/>
      <c r="T40" s="71" t="s">
        <v>230</v>
      </c>
      <c r="U40" s="68"/>
      <c r="V40" s="71" t="s">
        <v>230</v>
      </c>
    </row>
    <row r="41" spans="1:22" x14ac:dyDescent="0.25">
      <c r="A41" s="69" t="s">
        <v>283</v>
      </c>
      <c r="B41" s="77">
        <v>0.93700000000000006</v>
      </c>
      <c r="C41" s="77">
        <v>0.91400000000000003</v>
      </c>
      <c r="D41" s="77">
        <v>0.99099999999999999</v>
      </c>
      <c r="E41" s="77">
        <v>0.98799999999999999</v>
      </c>
      <c r="F41" s="77">
        <v>0.82199999999999995</v>
      </c>
      <c r="G41" s="77">
        <v>0.93100000000000005</v>
      </c>
      <c r="H41" s="77">
        <v>1.2669999999999999</v>
      </c>
      <c r="I41" s="77">
        <v>1.2170000000000001</v>
      </c>
      <c r="J41" s="77">
        <v>1.1160000000000001</v>
      </c>
      <c r="K41" s="77">
        <v>1.355</v>
      </c>
      <c r="L41" s="77">
        <v>1.66</v>
      </c>
      <c r="M41" s="77">
        <v>2.0430000000000001</v>
      </c>
      <c r="N41" s="77">
        <v>2.3730000000000002</v>
      </c>
      <c r="O41" s="77">
        <v>2.5840000000000001</v>
      </c>
      <c r="P41" s="75"/>
      <c r="Q41" s="77">
        <v>3.004</v>
      </c>
      <c r="R41" s="75"/>
      <c r="S41" s="77">
        <v>2.1960000000000002</v>
      </c>
      <c r="T41" s="76" t="s">
        <v>183</v>
      </c>
      <c r="U41" s="77">
        <v>2.6070000000000002</v>
      </c>
      <c r="V41" s="75"/>
    </row>
    <row r="42" spans="1:22" x14ac:dyDescent="0.25">
      <c r="A42" s="69" t="s">
        <v>286</v>
      </c>
      <c r="B42" s="77">
        <v>0.67500000000000004</v>
      </c>
      <c r="C42" s="77">
        <v>0.67300000000000004</v>
      </c>
      <c r="D42" s="77">
        <v>0.79300000000000004</v>
      </c>
      <c r="E42" s="77">
        <v>0.753</v>
      </c>
      <c r="F42" s="77">
        <v>0.59899999999999998</v>
      </c>
      <c r="G42" s="77">
        <v>0.67800000000000005</v>
      </c>
      <c r="H42" s="77">
        <v>1.044</v>
      </c>
      <c r="I42" s="77">
        <v>0.94799999999999995</v>
      </c>
      <c r="J42" s="77">
        <v>0.874</v>
      </c>
      <c r="K42" s="77">
        <v>1.0580000000000001</v>
      </c>
      <c r="L42" s="77">
        <v>1.339</v>
      </c>
      <c r="M42" s="77">
        <v>1.895</v>
      </c>
      <c r="N42" s="77">
        <v>2.1760000000000002</v>
      </c>
      <c r="O42" s="77">
        <v>2.3650000000000002</v>
      </c>
      <c r="P42" s="75"/>
      <c r="Q42" s="77">
        <v>3.222</v>
      </c>
      <c r="R42" s="75"/>
      <c r="S42" s="77">
        <v>1.964</v>
      </c>
      <c r="T42" s="75"/>
      <c r="U42" s="77">
        <v>2.4489999999999998</v>
      </c>
      <c r="V42" s="75"/>
    </row>
    <row r="43" spans="1:22" x14ac:dyDescent="0.25">
      <c r="A43" s="73" t="s">
        <v>297</v>
      </c>
      <c r="B43" s="72">
        <v>0.88400000000000001</v>
      </c>
      <c r="C43" s="72">
        <v>0.86699999999999999</v>
      </c>
      <c r="D43" s="72">
        <v>0.98899999999999999</v>
      </c>
      <c r="E43" s="72">
        <v>0.98399999999999999</v>
      </c>
      <c r="F43" s="72">
        <v>0.85199999999999998</v>
      </c>
      <c r="G43" s="72">
        <v>0.876</v>
      </c>
      <c r="H43" s="72">
        <v>1.3109999999999999</v>
      </c>
      <c r="I43" s="72">
        <v>1.25</v>
      </c>
      <c r="J43" s="72">
        <v>1.129</v>
      </c>
      <c r="K43" s="72">
        <v>1.355</v>
      </c>
      <c r="L43" s="72">
        <v>1.548</v>
      </c>
      <c r="M43" s="72">
        <v>2.052</v>
      </c>
      <c r="N43" s="72">
        <v>2.3650000000000002</v>
      </c>
      <c r="O43" s="72">
        <v>2.5920000000000001</v>
      </c>
      <c r="P43" s="70"/>
      <c r="Q43" s="72">
        <v>3.2189999999999999</v>
      </c>
      <c r="R43" s="70"/>
      <c r="S43" s="72">
        <v>2.3860000000000001</v>
      </c>
      <c r="T43" s="70"/>
      <c r="U43" s="72">
        <v>2.798</v>
      </c>
      <c r="V43" s="70"/>
    </row>
    <row r="44" spans="1:22" x14ac:dyDescent="0.25">
      <c r="A44" s="69" t="s">
        <v>287</v>
      </c>
      <c r="B44" s="77">
        <v>0.628</v>
      </c>
      <c r="C44" s="77">
        <v>0.63600000000000001</v>
      </c>
      <c r="D44" s="77">
        <v>0.75700000000000001</v>
      </c>
      <c r="E44" s="77">
        <v>0.71399999999999997</v>
      </c>
      <c r="F44" s="77">
        <v>0.56200000000000006</v>
      </c>
      <c r="G44" s="77">
        <v>0.65400000000000003</v>
      </c>
      <c r="H44" s="77">
        <v>1.006</v>
      </c>
      <c r="I44" s="77">
        <v>0.91200000000000003</v>
      </c>
      <c r="J44" s="77">
        <v>0.83699999999999997</v>
      </c>
      <c r="K44" s="77">
        <v>1.008</v>
      </c>
      <c r="L44" s="77">
        <v>1.3160000000000001</v>
      </c>
      <c r="M44" s="77">
        <v>1.8859999999999999</v>
      </c>
      <c r="N44" s="77">
        <v>2.165</v>
      </c>
      <c r="O44" s="77">
        <v>2.3479999999999999</v>
      </c>
      <c r="P44" s="75"/>
      <c r="Q44" s="77">
        <v>3.23</v>
      </c>
      <c r="R44" s="75"/>
      <c r="S44" s="77">
        <v>1.9179999999999999</v>
      </c>
      <c r="T44" s="75"/>
      <c r="U44" s="77">
        <v>2.415</v>
      </c>
      <c r="V44" s="75"/>
    </row>
    <row r="45" spans="1:22" x14ac:dyDescent="0.25">
      <c r="A45" s="69" t="s">
        <v>288</v>
      </c>
      <c r="B45" s="77" t="s">
        <v>229</v>
      </c>
      <c r="C45" s="77" t="s">
        <v>229</v>
      </c>
      <c r="D45" s="77" t="s">
        <v>229</v>
      </c>
      <c r="E45" s="77" t="s">
        <v>229</v>
      </c>
      <c r="F45" s="77" t="s">
        <v>229</v>
      </c>
      <c r="G45" s="77" t="s">
        <v>229</v>
      </c>
      <c r="H45" s="77" t="s">
        <v>229</v>
      </c>
      <c r="I45" s="77" t="s">
        <v>229</v>
      </c>
      <c r="J45" s="77" t="s">
        <v>229</v>
      </c>
      <c r="K45" s="77" t="s">
        <v>229</v>
      </c>
      <c r="L45" s="77" t="s">
        <v>229</v>
      </c>
      <c r="M45" s="77" t="s">
        <v>229</v>
      </c>
      <c r="N45" s="77" t="s">
        <v>229</v>
      </c>
      <c r="O45" s="77">
        <v>2.3860000000000001</v>
      </c>
      <c r="P45" s="75"/>
      <c r="Q45" s="77">
        <v>3.2330000000000001</v>
      </c>
      <c r="R45" s="75"/>
      <c r="S45" s="77">
        <v>1.9219999999999999</v>
      </c>
      <c r="T45" s="75"/>
      <c r="U45" s="77">
        <v>2.423</v>
      </c>
      <c r="V45" s="75"/>
    </row>
    <row r="46" spans="1:22" x14ac:dyDescent="0.25">
      <c r="A46" s="73" t="s">
        <v>289</v>
      </c>
      <c r="B46" s="72">
        <v>0.64200000000000002</v>
      </c>
      <c r="C46" s="72">
        <v>0.64500000000000002</v>
      </c>
      <c r="D46" s="72">
        <v>0.76700000000000002</v>
      </c>
      <c r="E46" s="72">
        <v>0.71899999999999997</v>
      </c>
      <c r="F46" s="72">
        <v>0.56499999999999995</v>
      </c>
      <c r="G46" s="72">
        <v>0.66300000000000003</v>
      </c>
      <c r="H46" s="72">
        <v>1.014</v>
      </c>
      <c r="I46" s="72">
        <v>0.91700000000000004</v>
      </c>
      <c r="J46" s="72">
        <v>0.84099999999999997</v>
      </c>
      <c r="K46" s="72">
        <v>1.014</v>
      </c>
      <c r="L46" s="72">
        <v>1.325</v>
      </c>
      <c r="M46" s="72">
        <v>1.899</v>
      </c>
      <c r="N46" s="72">
        <v>2.1829999999999998</v>
      </c>
      <c r="O46" s="72">
        <v>2.3170000000000002</v>
      </c>
      <c r="P46" s="70"/>
      <c r="Q46" s="72">
        <v>3.2320000000000002</v>
      </c>
      <c r="R46" s="70"/>
      <c r="S46" s="72">
        <v>1.913</v>
      </c>
      <c r="T46" s="70"/>
      <c r="U46" s="72">
        <v>2.3809999999999998</v>
      </c>
      <c r="V46" s="70"/>
    </row>
    <row r="47" spans="1:22" x14ac:dyDescent="0.25">
      <c r="A47" s="69" t="s">
        <v>290</v>
      </c>
      <c r="B47" s="77">
        <v>0.59799999999999998</v>
      </c>
      <c r="C47" s="77">
        <v>0.61399999999999999</v>
      </c>
      <c r="D47" s="77">
        <v>0.73199999999999998</v>
      </c>
      <c r="E47" s="77">
        <v>0.69799999999999995</v>
      </c>
      <c r="F47" s="77">
        <v>0.55500000000000005</v>
      </c>
      <c r="G47" s="77">
        <v>0.62</v>
      </c>
      <c r="H47" s="77">
        <v>0.98099999999999998</v>
      </c>
      <c r="I47" s="77">
        <v>0.89200000000000002</v>
      </c>
      <c r="J47" s="77">
        <v>0.82199999999999995</v>
      </c>
      <c r="K47" s="77">
        <v>0.98599999999999999</v>
      </c>
      <c r="L47" s="77">
        <v>1.2809999999999999</v>
      </c>
      <c r="M47" s="77">
        <v>1.833</v>
      </c>
      <c r="N47" s="77">
        <v>2.0840000000000001</v>
      </c>
      <c r="O47" s="77">
        <v>2.1869999999999998</v>
      </c>
      <c r="P47" s="75"/>
      <c r="Q47" s="77">
        <v>3.1869999999999998</v>
      </c>
      <c r="R47" s="75"/>
      <c r="S47" s="77">
        <v>1.865</v>
      </c>
      <c r="T47" s="75"/>
      <c r="U47" s="77">
        <v>2.3079999999999998</v>
      </c>
      <c r="V47" s="75"/>
    </row>
    <row r="48" spans="1:22" x14ac:dyDescent="0.25">
      <c r="A48" s="69" t="s">
        <v>291</v>
      </c>
      <c r="B48" s="77">
        <v>0.35799999999999998</v>
      </c>
      <c r="C48" s="77">
        <v>0.39700000000000002</v>
      </c>
      <c r="D48" s="77">
        <v>0.46400000000000002</v>
      </c>
      <c r="E48" s="77">
        <v>0.42899999999999999</v>
      </c>
      <c r="F48" s="77">
        <v>0.311</v>
      </c>
      <c r="G48" s="77">
        <v>0.378</v>
      </c>
      <c r="H48" s="77">
        <v>0.60899999999999999</v>
      </c>
      <c r="I48" s="77">
        <v>0.53300000000000003</v>
      </c>
      <c r="J48" s="77">
        <v>0.56100000000000005</v>
      </c>
      <c r="K48" s="77">
        <v>0.69599999999999995</v>
      </c>
      <c r="L48" s="77">
        <v>0.72499999999999998</v>
      </c>
      <c r="M48" s="77">
        <v>1.0409999999999999</v>
      </c>
      <c r="N48" s="77">
        <v>1.212</v>
      </c>
      <c r="O48" s="77">
        <v>1.3759999999999999</v>
      </c>
      <c r="P48" s="75"/>
      <c r="Q48" s="77">
        <v>1.944</v>
      </c>
      <c r="R48" s="75"/>
      <c r="S48" s="77">
        <v>1.34</v>
      </c>
      <c r="T48" s="76" t="s">
        <v>183</v>
      </c>
      <c r="U48" s="77">
        <v>1.7290000000000001</v>
      </c>
      <c r="V48" s="75"/>
    </row>
    <row r="49" spans="1:22" x14ac:dyDescent="0.25">
      <c r="A49" s="73" t="s">
        <v>292</v>
      </c>
      <c r="B49" s="72">
        <v>0.40300000000000002</v>
      </c>
      <c r="C49" s="72">
        <v>0.433</v>
      </c>
      <c r="D49" s="72">
        <v>0.52900000000000003</v>
      </c>
      <c r="E49" s="72">
        <v>0.47199999999999998</v>
      </c>
      <c r="F49" s="72">
        <v>0.35599999999999998</v>
      </c>
      <c r="G49" s="72">
        <v>0.40600000000000003</v>
      </c>
      <c r="H49" s="72">
        <v>0.68300000000000005</v>
      </c>
      <c r="I49" s="72">
        <v>0.62</v>
      </c>
      <c r="J49" s="72">
        <v>0.61199999999999999</v>
      </c>
      <c r="K49" s="72">
        <v>0.78500000000000003</v>
      </c>
      <c r="L49" s="72">
        <v>0.79400000000000004</v>
      </c>
      <c r="M49" s="72">
        <v>1.1479999999999999</v>
      </c>
      <c r="N49" s="72">
        <v>1.3220000000000001</v>
      </c>
      <c r="O49" s="72">
        <v>1.4450000000000001</v>
      </c>
      <c r="P49" s="70"/>
      <c r="Q49" s="72">
        <v>2.0979999999999999</v>
      </c>
      <c r="R49" s="70"/>
      <c r="S49" s="72">
        <v>1.4219999999999999</v>
      </c>
      <c r="T49" s="70"/>
      <c r="U49" s="72">
        <v>1.9530000000000001</v>
      </c>
      <c r="V49" s="70"/>
    </row>
    <row r="50" spans="1:22" x14ac:dyDescent="0.25">
      <c r="A50" s="69" t="s">
        <v>293</v>
      </c>
      <c r="B50" s="77">
        <v>0.32700000000000001</v>
      </c>
      <c r="C50" s="77">
        <v>0.376</v>
      </c>
      <c r="D50" s="77">
        <v>0.43</v>
      </c>
      <c r="E50" s="77">
        <v>0.40699999999999997</v>
      </c>
      <c r="F50" s="77">
        <v>0.29199999999999998</v>
      </c>
      <c r="G50" s="77">
        <v>0.36599999999999999</v>
      </c>
      <c r="H50" s="77">
        <v>0.57599999999999996</v>
      </c>
      <c r="I50" s="77">
        <v>0.498</v>
      </c>
      <c r="J50" s="77">
        <v>0.54</v>
      </c>
      <c r="K50" s="77">
        <v>0.65100000000000002</v>
      </c>
      <c r="L50" s="77">
        <v>0.68700000000000006</v>
      </c>
      <c r="M50" s="77">
        <v>0.98499999999999999</v>
      </c>
      <c r="N50" s="77">
        <v>1.175</v>
      </c>
      <c r="O50" s="77">
        <v>1.3540000000000001</v>
      </c>
      <c r="P50" s="75"/>
      <c r="Q50" s="77">
        <v>1.8959999999999999</v>
      </c>
      <c r="R50" s="75"/>
      <c r="S50" s="77">
        <v>1.3120000000000001</v>
      </c>
      <c r="T50" s="76" t="s">
        <v>183</v>
      </c>
      <c r="U50" s="77">
        <v>1.6619999999999999</v>
      </c>
      <c r="V50" s="75"/>
    </row>
    <row r="51" spans="1:22" x14ac:dyDescent="0.25">
      <c r="A51" s="69" t="s">
        <v>294</v>
      </c>
      <c r="B51" s="77">
        <v>0.77600000000000002</v>
      </c>
      <c r="C51" s="77">
        <v>0.76600000000000001</v>
      </c>
      <c r="D51" s="77">
        <v>0.88600000000000001</v>
      </c>
      <c r="E51" s="77">
        <v>0.878</v>
      </c>
      <c r="F51" s="77">
        <v>0.77400000000000002</v>
      </c>
      <c r="G51" s="77">
        <v>0.78100000000000003</v>
      </c>
      <c r="H51" s="77">
        <v>1.048</v>
      </c>
      <c r="I51" s="77">
        <v>1.0940000000000001</v>
      </c>
      <c r="J51" s="77">
        <v>0.95799999999999996</v>
      </c>
      <c r="K51" s="77">
        <v>1.1499999999999999</v>
      </c>
      <c r="L51" s="77">
        <v>1.3069999999999999</v>
      </c>
      <c r="M51" s="77">
        <v>1.53</v>
      </c>
      <c r="N51" s="77">
        <v>1.7270000000000001</v>
      </c>
      <c r="O51" s="77">
        <v>1.8879999999999999</v>
      </c>
      <c r="P51" s="75"/>
      <c r="Q51" s="77">
        <v>2.2450000000000001</v>
      </c>
      <c r="R51" s="75"/>
      <c r="S51" s="77">
        <v>1.7769999999999999</v>
      </c>
      <c r="T51" s="75"/>
      <c r="U51" s="77">
        <v>1.976</v>
      </c>
      <c r="V51" s="75"/>
    </row>
    <row r="52" spans="1:22" x14ac:dyDescent="0.25">
      <c r="A52" s="254" t="s">
        <v>298</v>
      </c>
      <c r="B52" s="255"/>
      <c r="C52" s="255"/>
      <c r="D52" s="255"/>
      <c r="E52" s="255"/>
      <c r="F52" s="255"/>
      <c r="G52" s="255"/>
      <c r="H52" s="255"/>
      <c r="I52" s="255"/>
      <c r="J52" s="255"/>
      <c r="K52" s="255"/>
      <c r="L52" s="255" t="s">
        <v>299</v>
      </c>
      <c r="M52" s="255"/>
      <c r="N52" s="255"/>
      <c r="O52" s="255"/>
      <c r="P52" s="255"/>
      <c r="Q52" s="255"/>
      <c r="R52" s="255"/>
      <c r="S52" s="255"/>
      <c r="T52" s="255"/>
      <c r="U52" s="255"/>
      <c r="V52" s="276"/>
    </row>
    <row r="53" spans="1:22" x14ac:dyDescent="0.25">
      <c r="A53" s="238" t="s">
        <v>300</v>
      </c>
      <c r="B53" s="239"/>
      <c r="C53" s="239"/>
      <c r="D53" s="239"/>
      <c r="E53" s="239"/>
      <c r="F53" s="239"/>
      <c r="G53" s="239"/>
      <c r="H53" s="239"/>
      <c r="I53" s="239"/>
      <c r="J53" s="239"/>
      <c r="K53" s="239"/>
      <c r="L53" s="246" t="s">
        <v>301</v>
      </c>
      <c r="M53" s="246"/>
      <c r="N53" s="246"/>
      <c r="O53" s="246"/>
      <c r="P53" s="246"/>
      <c r="Q53" s="246"/>
      <c r="R53" s="246"/>
      <c r="S53" s="246"/>
      <c r="T53" s="246"/>
      <c r="U53" s="246"/>
      <c r="V53" s="247"/>
    </row>
    <row r="54" spans="1:22" x14ac:dyDescent="0.25">
      <c r="A54" s="242" t="s">
        <v>302</v>
      </c>
      <c r="B54" s="243"/>
      <c r="C54" s="243"/>
      <c r="D54" s="243"/>
      <c r="E54" s="243"/>
      <c r="F54" s="243"/>
      <c r="G54" s="243"/>
      <c r="H54" s="243"/>
      <c r="I54" s="243"/>
      <c r="J54" s="243"/>
      <c r="K54" s="243"/>
      <c r="L54" s="246"/>
      <c r="M54" s="246"/>
      <c r="N54" s="246"/>
      <c r="O54" s="246"/>
      <c r="P54" s="246"/>
      <c r="Q54" s="246"/>
      <c r="R54" s="246"/>
      <c r="S54" s="246"/>
      <c r="T54" s="246"/>
      <c r="U54" s="246"/>
      <c r="V54" s="247"/>
    </row>
    <row r="55" spans="1:22" x14ac:dyDescent="0.25">
      <c r="A55" s="242" t="s">
        <v>303</v>
      </c>
      <c r="B55" s="243"/>
      <c r="C55" s="243"/>
      <c r="D55" s="243"/>
      <c r="E55" s="243"/>
      <c r="F55" s="243"/>
      <c r="G55" s="243"/>
      <c r="H55" s="243"/>
      <c r="I55" s="243"/>
      <c r="J55" s="243"/>
      <c r="K55" s="243"/>
      <c r="L55" s="246"/>
      <c r="M55" s="246"/>
      <c r="N55" s="246"/>
      <c r="O55" s="246"/>
      <c r="P55" s="246"/>
      <c r="Q55" s="246"/>
      <c r="R55" s="246"/>
      <c r="S55" s="246"/>
      <c r="T55" s="246"/>
      <c r="U55" s="246"/>
      <c r="V55" s="247"/>
    </row>
    <row r="56" spans="1:22" ht="15" customHeight="1" x14ac:dyDescent="0.25">
      <c r="A56" s="238" t="s">
        <v>304</v>
      </c>
      <c r="B56" s="239"/>
      <c r="C56" s="239"/>
      <c r="D56" s="239"/>
      <c r="E56" s="239"/>
      <c r="F56" s="239"/>
      <c r="G56" s="239"/>
      <c r="H56" s="239"/>
      <c r="I56" s="239"/>
      <c r="J56" s="239"/>
      <c r="K56" s="239"/>
      <c r="L56" s="240" t="s">
        <v>305</v>
      </c>
      <c r="M56" s="240"/>
      <c r="N56" s="240"/>
      <c r="O56" s="240"/>
      <c r="P56" s="240"/>
      <c r="Q56" s="240"/>
      <c r="R56" s="240"/>
      <c r="S56" s="240"/>
      <c r="T56" s="240"/>
      <c r="U56" s="240"/>
      <c r="V56" s="241"/>
    </row>
    <row r="57" spans="1:22" x14ac:dyDescent="0.25">
      <c r="A57" s="238" t="s">
        <v>306</v>
      </c>
      <c r="B57" s="239"/>
      <c r="C57" s="239"/>
      <c r="D57" s="239"/>
      <c r="E57" s="239"/>
      <c r="F57" s="239"/>
      <c r="G57" s="239"/>
      <c r="H57" s="239"/>
      <c r="I57" s="239"/>
      <c r="J57" s="239"/>
      <c r="K57" s="239"/>
      <c r="L57" s="246" t="s">
        <v>307</v>
      </c>
      <c r="M57" s="246"/>
      <c r="N57" s="246"/>
      <c r="O57" s="246"/>
      <c r="P57" s="246"/>
      <c r="Q57" s="246"/>
      <c r="R57" s="246"/>
      <c r="S57" s="246"/>
      <c r="T57" s="246"/>
      <c r="U57" s="246"/>
      <c r="V57" s="247"/>
    </row>
    <row r="58" spans="1:22" x14ac:dyDescent="0.25">
      <c r="A58" s="238"/>
      <c r="B58" s="239"/>
      <c r="C58" s="239"/>
      <c r="D58" s="239"/>
      <c r="E58" s="239"/>
      <c r="F58" s="239"/>
      <c r="G58" s="239"/>
      <c r="H58" s="239"/>
      <c r="I58" s="239"/>
      <c r="J58" s="239"/>
      <c r="K58" s="239"/>
      <c r="L58" s="246" t="s">
        <v>308</v>
      </c>
      <c r="M58" s="246"/>
      <c r="N58" s="246"/>
      <c r="O58" s="246"/>
      <c r="P58" s="246"/>
      <c r="Q58" s="246"/>
      <c r="R58" s="246"/>
      <c r="S58" s="246"/>
      <c r="T58" s="246"/>
      <c r="U58" s="246"/>
      <c r="V58" s="247"/>
    </row>
    <row r="59" spans="1:22" x14ac:dyDescent="0.25">
      <c r="A59" s="238"/>
      <c r="B59" s="239"/>
      <c r="C59" s="239"/>
      <c r="D59" s="239"/>
      <c r="E59" s="239"/>
      <c r="F59" s="239"/>
      <c r="G59" s="239"/>
      <c r="H59" s="239"/>
      <c r="I59" s="239"/>
      <c r="J59" s="239"/>
      <c r="K59" s="239"/>
      <c r="L59" s="246" t="s">
        <v>309</v>
      </c>
      <c r="M59" s="246"/>
      <c r="N59" s="246"/>
      <c r="O59" s="246"/>
      <c r="P59" s="246"/>
      <c r="Q59" s="246"/>
      <c r="R59" s="246"/>
      <c r="S59" s="246"/>
      <c r="T59" s="246"/>
      <c r="U59" s="246"/>
      <c r="V59" s="247"/>
    </row>
    <row r="60" spans="1:22" x14ac:dyDescent="0.25">
      <c r="A60" s="238"/>
      <c r="B60" s="239"/>
      <c r="C60" s="239"/>
      <c r="D60" s="239"/>
      <c r="E60" s="239"/>
      <c r="F60" s="239"/>
      <c r="G60" s="239"/>
      <c r="H60" s="239"/>
      <c r="I60" s="239"/>
      <c r="J60" s="239"/>
      <c r="K60" s="239"/>
      <c r="L60" s="246" t="s">
        <v>310</v>
      </c>
      <c r="M60" s="246"/>
      <c r="N60" s="246"/>
      <c r="O60" s="246"/>
      <c r="P60" s="246"/>
      <c r="Q60" s="246"/>
      <c r="R60" s="246"/>
      <c r="S60" s="246"/>
      <c r="T60" s="246"/>
      <c r="U60" s="246"/>
      <c r="V60" s="247"/>
    </row>
    <row r="61" spans="1:22" x14ac:dyDescent="0.25">
      <c r="A61" s="244" t="s">
        <v>311</v>
      </c>
      <c r="B61" s="245"/>
      <c r="C61" s="245"/>
      <c r="D61" s="245"/>
      <c r="E61" s="245"/>
      <c r="F61" s="245"/>
      <c r="G61" s="245"/>
      <c r="H61" s="245"/>
      <c r="I61" s="245"/>
      <c r="J61" s="245"/>
      <c r="K61" s="245"/>
      <c r="L61" s="293"/>
      <c r="M61" s="293"/>
      <c r="N61" s="293"/>
      <c r="O61" s="293"/>
      <c r="P61" s="293"/>
      <c r="Q61" s="293"/>
      <c r="R61" s="293"/>
      <c r="S61" s="293"/>
      <c r="T61" s="293"/>
      <c r="U61" s="293"/>
      <c r="V61" s="294"/>
    </row>
  </sheetData>
  <mergeCells count="63">
    <mergeCell ref="G4:G5"/>
    <mergeCell ref="A1:V1"/>
    <mergeCell ref="A2:V2"/>
    <mergeCell ref="O3:P3"/>
    <mergeCell ref="Q3:R3"/>
    <mergeCell ref="S3:T3"/>
    <mergeCell ref="U3:V3"/>
    <mergeCell ref="B4:B5"/>
    <mergeCell ref="C4:C5"/>
    <mergeCell ref="D4:D5"/>
    <mergeCell ref="E4:E5"/>
    <mergeCell ref="F4:F5"/>
    <mergeCell ref="I4:I5"/>
    <mergeCell ref="J4:J5"/>
    <mergeCell ref="K4:K5"/>
    <mergeCell ref="A52:K52"/>
    <mergeCell ref="L52:V52"/>
    <mergeCell ref="H4:H5"/>
    <mergeCell ref="K27:K29"/>
    <mergeCell ref="L27:L29"/>
    <mergeCell ref="M27:M29"/>
    <mergeCell ref="N27:N29"/>
    <mergeCell ref="M4:M5"/>
    <mergeCell ref="U4:U5"/>
    <mergeCell ref="V4:V5"/>
    <mergeCell ref="B27:B29"/>
    <mergeCell ref="C27:C29"/>
    <mergeCell ref="N4:N5"/>
    <mergeCell ref="O4:O5"/>
    <mergeCell ref="P4:P5"/>
    <mergeCell ref="Q4:Q5"/>
    <mergeCell ref="H27:H29"/>
    <mergeCell ref="R4:R5"/>
    <mergeCell ref="T4:T5"/>
    <mergeCell ref="U27:U29"/>
    <mergeCell ref="V27:V29"/>
    <mergeCell ref="L4:L5"/>
    <mergeCell ref="S4:S5"/>
    <mergeCell ref="A61:K61"/>
    <mergeCell ref="L61:V61"/>
    <mergeCell ref="A56:K56"/>
    <mergeCell ref="L56:V56"/>
    <mergeCell ref="A57:K60"/>
    <mergeCell ref="L57:V57"/>
    <mergeCell ref="L58:V58"/>
    <mergeCell ref="L59:V59"/>
    <mergeCell ref="L60:V60"/>
    <mergeCell ref="D27:D29"/>
    <mergeCell ref="A53:K53"/>
    <mergeCell ref="L53:V55"/>
    <mergeCell ref="A54:K54"/>
    <mergeCell ref="A55:K55"/>
    <mergeCell ref="O27:O29"/>
    <mergeCell ref="P27:P29"/>
    <mergeCell ref="Q27:Q29"/>
    <mergeCell ref="R27:R29"/>
    <mergeCell ref="S27:S29"/>
    <mergeCell ref="T27:T29"/>
    <mergeCell ref="I27:I29"/>
    <mergeCell ref="J27:J29"/>
    <mergeCell ref="E27:E29"/>
    <mergeCell ref="F27:F29"/>
    <mergeCell ref="G27:G29"/>
  </mergeCells>
  <hyperlinks>
    <hyperlink ref="L56" r:id="rId1" display="http://www.eia.gov/petroleum/" xr:uid="{00000000-0004-0000-1000-000000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C5:I11"/>
  <sheetViews>
    <sheetView workbookViewId="0">
      <selection activeCell="A25" sqref="A25"/>
    </sheetView>
  </sheetViews>
  <sheetFormatPr defaultRowHeight="12.75" x14ac:dyDescent="0.2"/>
  <cols>
    <col min="5" max="5" width="10.7109375" customWidth="1"/>
    <col min="6" max="6" width="14.5703125" customWidth="1"/>
    <col min="7" max="7" width="16.140625" customWidth="1"/>
    <col min="9" max="9" width="10.42578125" bestFit="1" customWidth="1"/>
  </cols>
  <sheetData>
    <row r="5" spans="3:9" ht="13.5" thickBot="1" x14ac:dyDescent="0.25">
      <c r="D5" s="11" t="s">
        <v>34</v>
      </c>
      <c r="E5" s="11" t="s">
        <v>37</v>
      </c>
      <c r="F5" s="11" t="s">
        <v>33</v>
      </c>
      <c r="G5" s="11" t="s">
        <v>35</v>
      </c>
    </row>
    <row r="6" spans="3:9" x14ac:dyDescent="0.2">
      <c r="C6" t="s">
        <v>2</v>
      </c>
      <c r="D6" t="s">
        <v>32</v>
      </c>
      <c r="E6">
        <v>20.742000000000001</v>
      </c>
      <c r="F6" t="s">
        <v>36</v>
      </c>
      <c r="G6">
        <f>1000*E6*0.000001</f>
        <v>2.0742E-2</v>
      </c>
    </row>
    <row r="7" spans="3:9" x14ac:dyDescent="0.2">
      <c r="C7" t="s">
        <v>6</v>
      </c>
      <c r="D7" t="s">
        <v>38</v>
      </c>
      <c r="E7">
        <v>5.8250000000000002</v>
      </c>
      <c r="F7" t="s">
        <v>39</v>
      </c>
      <c r="G7">
        <f>1000*E7*0.000001</f>
        <v>5.8249999999999994E-3</v>
      </c>
    </row>
    <row r="8" spans="3:9" x14ac:dyDescent="0.2">
      <c r="C8" t="s">
        <v>40</v>
      </c>
      <c r="D8" t="s">
        <v>38</v>
      </c>
      <c r="E8">
        <v>6.2869999999999999</v>
      </c>
      <c r="F8" t="s">
        <v>39</v>
      </c>
      <c r="G8">
        <f>1000*E8*0.000001</f>
        <v>6.2870000000000001E-3</v>
      </c>
    </row>
    <row r="9" spans="3:9" x14ac:dyDescent="0.2">
      <c r="C9" t="s">
        <v>9</v>
      </c>
      <c r="D9" t="s">
        <v>41</v>
      </c>
      <c r="E9">
        <f>1.028*0.001</f>
        <v>1.0280000000000001E-3</v>
      </c>
      <c r="F9" t="s">
        <v>43</v>
      </c>
      <c r="G9">
        <f>E9*1000</f>
        <v>1.028</v>
      </c>
      <c r="I9">
        <f>1000000000*1003</f>
        <v>1003000000000</v>
      </c>
    </row>
    <row r="10" spans="3:9" x14ac:dyDescent="0.2">
      <c r="C10" t="s">
        <v>11</v>
      </c>
      <c r="D10" t="s">
        <v>38</v>
      </c>
      <c r="E10">
        <v>5.2530000000000001</v>
      </c>
      <c r="F10" t="s">
        <v>42</v>
      </c>
      <c r="G10">
        <f>E10/42*1000000*0.000001</f>
        <v>0.12507142857142858</v>
      </c>
    </row>
    <row r="11" spans="3:9" x14ac:dyDescent="0.2">
      <c r="C11" t="s">
        <v>58</v>
      </c>
      <c r="D11" t="s">
        <v>61</v>
      </c>
      <c r="E11">
        <f>3412*0.000001</f>
        <v>3.4119999999999997E-3</v>
      </c>
      <c r="F11" t="s">
        <v>62</v>
      </c>
      <c r="G11">
        <f>E11*0.001</f>
        <v>3.4119999999999997E-6</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 1997-2002</vt:lpstr>
      <vt:lpstr>Major_uses</vt:lpstr>
      <vt:lpstr>Industrial </vt:lpstr>
      <vt:lpstr>Sheet1 (2)</vt:lpstr>
      <vt:lpstr>Data 1997-2007_NOT USED</vt:lpstr>
      <vt:lpstr>Data 1987-2017</vt:lpstr>
      <vt:lpstr>Preliminary estimates - 2017</vt:lpstr>
      <vt:lpstr>Pivot_Table_2012</vt:lpstr>
      <vt:lpstr>Pivot table 2017 (prelim)</vt:lpstr>
      <vt:lpstr>Sector Table </vt:lpstr>
      <vt:lpstr>Sector_estimates</vt:lpstr>
      <vt:lpstr>Compute_intensities</vt:lpstr>
      <vt:lpstr>BEA&amp;BLS_Output_data</vt:lpstr>
      <vt:lpstr>NEA_Data</vt:lpstr>
      <vt:lpstr>Prices</vt:lpstr>
      <vt:lpstr>stb0709</vt:lpstr>
      <vt:lpstr>stb0608</vt:lpstr>
      <vt:lpstr>stb0523</vt:lpstr>
      <vt:lpstr>Conversion_Factors</vt:lpstr>
    </vt:vector>
  </TitlesOfParts>
  <Company>Pacific Northwest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Belzer</dc:creator>
  <cp:lastModifiedBy>David</cp:lastModifiedBy>
  <cp:lastPrinted>2005-01-20T23:26:32Z</cp:lastPrinted>
  <dcterms:created xsi:type="dcterms:W3CDTF">2004-11-12T18:12:52Z</dcterms:created>
  <dcterms:modified xsi:type="dcterms:W3CDTF">2020-03-31T00:30:03Z</dcterms:modified>
</cp:coreProperties>
</file>