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C:\Users\irabidea\Documents\GitHub\EnergyIntensityIndicators\EnergyIntensityIndicators\Transportation\Data\"/>
    </mc:Choice>
  </mc:AlternateContent>
  <xr:revisionPtr revIDLastSave="0" documentId="8_{F4C41222-08E9-46CF-ADB7-6E65A9CCDE7B}" xr6:coauthVersionLast="46" xr6:coauthVersionMax="46" xr10:uidLastSave="{00000000-0000-0000-0000-000000000000}"/>
  <bookViews>
    <workbookView xWindow="-110" yWindow="-110" windowWidth="19420" windowHeight="10420" xr2:uid="{697D8481-4FEB-4B6E-963C-80E01132B7CB}"/>
  </bookViews>
  <sheets>
    <sheet name="FuelConsump" sheetId="1" r:id="rId1"/>
  </sheets>
  <externalReferences>
    <externalReference r:id="rId2"/>
  </externalReferences>
  <definedNames>
    <definedName name="Base_row">[1]General_inputs!$M$6</definedName>
    <definedName name="Base_row2">[1]General_inputs!$M$7</definedName>
    <definedName name="Base_year">[1]General_inputs!$F$6</definedName>
    <definedName name="Base_year2">[1]General_inputs!$F$7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T102" i="1" l="1"/>
  <c r="BY102" i="1" s="1"/>
  <c r="BY101" i="1"/>
  <c r="BW101" i="1"/>
  <c r="BT101" i="1"/>
  <c r="BW99" i="1"/>
  <c r="BT99" i="1"/>
  <c r="BY99" i="1" s="1"/>
  <c r="BT98" i="1"/>
  <c r="BY98" i="1" s="1"/>
  <c r="BY97" i="1"/>
  <c r="BW97" i="1"/>
  <c r="BS97" i="1"/>
  <c r="BY96" i="1"/>
  <c r="BW96" i="1"/>
  <c r="BU96" i="1"/>
  <c r="BS96" i="1"/>
  <c r="BY95" i="1"/>
  <c r="BW95" i="1"/>
  <c r="BS95" i="1"/>
  <c r="BY92" i="1"/>
  <c r="BW92" i="1"/>
  <c r="BS92" i="1"/>
  <c r="BY91" i="1"/>
  <c r="BW91" i="1"/>
  <c r="BS91" i="1"/>
  <c r="BY90" i="1"/>
  <c r="BT90" i="1"/>
  <c r="BW90" i="1" s="1"/>
  <c r="BS90" i="1"/>
  <c r="BW89" i="1"/>
  <c r="BS89" i="1"/>
  <c r="AM89" i="1"/>
  <c r="BT88" i="1"/>
  <c r="BW88" i="1" s="1"/>
  <c r="BX89" i="1" s="1"/>
  <c r="BY89" i="1" s="1"/>
  <c r="AD86" i="1"/>
  <c r="AH85" i="1"/>
  <c r="AH84" i="1"/>
  <c r="AF84" i="1"/>
  <c r="AH83" i="1"/>
  <c r="AF83" i="1"/>
  <c r="AH82" i="1"/>
  <c r="AF82" i="1"/>
  <c r="AH81" i="1"/>
  <c r="AF81" i="1"/>
  <c r="AH80" i="1"/>
  <c r="AF80" i="1"/>
  <c r="AE80" i="1"/>
  <c r="AH79" i="1"/>
  <c r="AE79" i="1"/>
  <c r="AD79" i="1"/>
  <c r="AF79" i="1" s="1"/>
  <c r="AF85" i="1" s="1"/>
  <c r="AS78" i="1"/>
  <c r="AQ78" i="1"/>
  <c r="BP76" i="1"/>
  <c r="BO76" i="1"/>
  <c r="BF76" i="1"/>
  <c r="BH76" i="1" s="1"/>
  <c r="DO75" i="1"/>
  <c r="DF75" i="1"/>
  <c r="DE75" i="1"/>
  <c r="DD75" i="1"/>
  <c r="DC75" i="1"/>
  <c r="AW75" i="1" s="1"/>
  <c r="DB75" i="1"/>
  <c r="AV75" i="1" s="1"/>
  <c r="BP75" i="1"/>
  <c r="BH75" i="1"/>
  <c r="BF75" i="1"/>
  <c r="Z75" i="1"/>
  <c r="AC75" i="1" s="1"/>
  <c r="V75" i="1"/>
  <c r="Y75" i="1" s="1"/>
  <c r="U75" i="1"/>
  <c r="T75" i="1"/>
  <c r="S75" i="1"/>
  <c r="R75" i="1"/>
  <c r="K75" i="1"/>
  <c r="I75" i="1"/>
  <c r="H75" i="1"/>
  <c r="G75" i="1"/>
  <c r="DO74" i="1"/>
  <c r="DF74" i="1"/>
  <c r="DE74" i="1"/>
  <c r="DI74" i="1" s="1"/>
  <c r="DJ74" i="1" s="1"/>
  <c r="DD74" i="1"/>
  <c r="DC74" i="1"/>
  <c r="AW74" i="1" s="1"/>
  <c r="DB74" i="1"/>
  <c r="AV74" i="1" s="1"/>
  <c r="BO74" i="1"/>
  <c r="BP74" i="1" s="1"/>
  <c r="BH74" i="1"/>
  <c r="BF74" i="1"/>
  <c r="Z74" i="1"/>
  <c r="AC74" i="1" s="1"/>
  <c r="V74" i="1"/>
  <c r="Y74" i="1" s="1"/>
  <c r="U74" i="1"/>
  <c r="T74" i="1"/>
  <c r="S74" i="1"/>
  <c r="R74" i="1"/>
  <c r="K74" i="1"/>
  <c r="I74" i="1"/>
  <c r="H74" i="1"/>
  <c r="G74" i="1"/>
  <c r="DO73" i="1"/>
  <c r="DF73" i="1"/>
  <c r="DE73" i="1"/>
  <c r="DI73" i="1" s="1"/>
  <c r="DJ73" i="1" s="1"/>
  <c r="DD73" i="1"/>
  <c r="DC73" i="1"/>
  <c r="AW73" i="1" s="1"/>
  <c r="DB73" i="1"/>
  <c r="AV73" i="1" s="1"/>
  <c r="BO73" i="1"/>
  <c r="BP73" i="1" s="1"/>
  <c r="BH73" i="1"/>
  <c r="BF73" i="1"/>
  <c r="Z73" i="1"/>
  <c r="AC73" i="1" s="1"/>
  <c r="V73" i="1"/>
  <c r="Y73" i="1" s="1"/>
  <c r="U73" i="1"/>
  <c r="T73" i="1"/>
  <c r="S73" i="1"/>
  <c r="R73" i="1"/>
  <c r="K73" i="1"/>
  <c r="I73" i="1"/>
  <c r="H73" i="1"/>
  <c r="G73" i="1"/>
  <c r="DO72" i="1"/>
  <c r="DF72" i="1"/>
  <c r="DE72" i="1"/>
  <c r="DI72" i="1" s="1"/>
  <c r="DJ72" i="1" s="1"/>
  <c r="DD72" i="1"/>
  <c r="DC72" i="1"/>
  <c r="AW72" i="1" s="1"/>
  <c r="DB72" i="1"/>
  <c r="AV72" i="1" s="1"/>
  <c r="BO72" i="1"/>
  <c r="BP72" i="1" s="1"/>
  <c r="BH72" i="1"/>
  <c r="BF72" i="1"/>
  <c r="Z72" i="1"/>
  <c r="AC72" i="1" s="1"/>
  <c r="V72" i="1"/>
  <c r="Y72" i="1" s="1"/>
  <c r="U72" i="1"/>
  <c r="T72" i="1"/>
  <c r="S72" i="1"/>
  <c r="R72" i="1" s="1"/>
  <c r="K72" i="1"/>
  <c r="I72" i="1"/>
  <c r="H72" i="1"/>
  <c r="G72" i="1" s="1"/>
  <c r="DO71" i="1"/>
  <c r="DI71" i="1"/>
  <c r="DJ71" i="1" s="1"/>
  <c r="DF71" i="1"/>
  <c r="DE71" i="1"/>
  <c r="DD71" i="1"/>
  <c r="DC71" i="1"/>
  <c r="AW71" i="1" s="1"/>
  <c r="DB71" i="1"/>
  <c r="BO71" i="1"/>
  <c r="BP71" i="1" s="1"/>
  <c r="BH71" i="1"/>
  <c r="BF71" i="1"/>
  <c r="AV71" i="1"/>
  <c r="AC71" i="1"/>
  <c r="AB71" i="1"/>
  <c r="AA71" i="1" s="1"/>
  <c r="Z71" i="1"/>
  <c r="Y71" i="1"/>
  <c r="X71" i="1"/>
  <c r="W71" i="1" s="1"/>
  <c r="V71" i="1"/>
  <c r="U71" i="1"/>
  <c r="T71" i="1"/>
  <c r="S71" i="1"/>
  <c r="R71" i="1" s="1"/>
  <c r="K71" i="1"/>
  <c r="I71" i="1"/>
  <c r="H71" i="1"/>
  <c r="G71" i="1" s="1"/>
  <c r="DO70" i="1"/>
  <c r="DE70" i="1"/>
  <c r="DD70" i="1"/>
  <c r="DI70" i="1" s="1"/>
  <c r="DJ70" i="1" s="1"/>
  <c r="DC70" i="1"/>
  <c r="DB70" i="1"/>
  <c r="CA70" i="1"/>
  <c r="CA71" i="1" s="1"/>
  <c r="CA72" i="1" s="1"/>
  <c r="CA73" i="1" s="1"/>
  <c r="CA74" i="1" s="1"/>
  <c r="CA75" i="1" s="1"/>
  <c r="BP70" i="1"/>
  <c r="BO70" i="1"/>
  <c r="BF70" i="1"/>
  <c r="BH70" i="1" s="1"/>
  <c r="AW70" i="1"/>
  <c r="AV70" i="1"/>
  <c r="AC70" i="1"/>
  <c r="AB70" i="1"/>
  <c r="Z70" i="1"/>
  <c r="AA70" i="1" s="1"/>
  <c r="Y70" i="1"/>
  <c r="X70" i="1"/>
  <c r="V70" i="1"/>
  <c r="W70" i="1" s="1"/>
  <c r="U70" i="1"/>
  <c r="T70" i="1"/>
  <c r="R70" i="1" s="1"/>
  <c r="S70" i="1"/>
  <c r="K70" i="1"/>
  <c r="I70" i="1"/>
  <c r="G70" i="1" s="1"/>
  <c r="H70" i="1"/>
  <c r="DO69" i="1"/>
  <c r="DE69" i="1"/>
  <c r="DD69" i="1"/>
  <c r="DI69" i="1" s="1"/>
  <c r="DJ69" i="1" s="1"/>
  <c r="DC69" i="1"/>
  <c r="DB69" i="1"/>
  <c r="AV69" i="1" s="1"/>
  <c r="BS69" i="1"/>
  <c r="BP69" i="1"/>
  <c r="BO69" i="1"/>
  <c r="BF69" i="1"/>
  <c r="BH69" i="1" s="1"/>
  <c r="AW69" i="1"/>
  <c r="Z69" i="1"/>
  <c r="AC69" i="1" s="1"/>
  <c r="V69" i="1"/>
  <c r="Y69" i="1" s="1"/>
  <c r="U69" i="1"/>
  <c r="T69" i="1"/>
  <c r="S69" i="1"/>
  <c r="R69" i="1" s="1"/>
  <c r="K69" i="1"/>
  <c r="I69" i="1"/>
  <c r="H69" i="1"/>
  <c r="G69" i="1" s="1"/>
  <c r="DO68" i="1"/>
  <c r="DI68" i="1"/>
  <c r="DJ68" i="1" s="1"/>
  <c r="DF68" i="1"/>
  <c r="DE68" i="1"/>
  <c r="DD68" i="1"/>
  <c r="DC68" i="1"/>
  <c r="DB68" i="1"/>
  <c r="BS68" i="1"/>
  <c r="BO68" i="1"/>
  <c r="BP68" i="1" s="1"/>
  <c r="BH68" i="1"/>
  <c r="BG68" i="1"/>
  <c r="BF68" i="1"/>
  <c r="AW68" i="1"/>
  <c r="AV68" i="1"/>
  <c r="AN68" i="1"/>
  <c r="AN69" i="1" s="1"/>
  <c r="Z68" i="1"/>
  <c r="AC68" i="1" s="1"/>
  <c r="V68" i="1"/>
  <c r="Y68" i="1" s="1"/>
  <c r="U68" i="1"/>
  <c r="T68" i="1"/>
  <c r="S68" i="1"/>
  <c r="R68" i="1"/>
  <c r="K68" i="1"/>
  <c r="I68" i="1"/>
  <c r="H68" i="1"/>
  <c r="G68" i="1"/>
  <c r="DO67" i="1"/>
  <c r="DF67" i="1"/>
  <c r="DE67" i="1"/>
  <c r="DD67" i="1"/>
  <c r="DI67" i="1" s="1"/>
  <c r="DJ67" i="1" s="1"/>
  <c r="DC67" i="1"/>
  <c r="DB67" i="1"/>
  <c r="BS67" i="1"/>
  <c r="BP67" i="1"/>
  <c r="BO67" i="1"/>
  <c r="BH67" i="1"/>
  <c r="BG67" i="1"/>
  <c r="BF67" i="1"/>
  <c r="AW67" i="1"/>
  <c r="AV67" i="1"/>
  <c r="AB67" i="1"/>
  <c r="Z67" i="1"/>
  <c r="X67" i="1"/>
  <c r="V67" i="1"/>
  <c r="U67" i="1"/>
  <c r="T67" i="1"/>
  <c r="R67" i="1" s="1"/>
  <c r="S67" i="1"/>
  <c r="K67" i="1"/>
  <c r="I67" i="1"/>
  <c r="G67" i="1" s="1"/>
  <c r="H67" i="1"/>
  <c r="DO66" i="1"/>
  <c r="DE66" i="1"/>
  <c r="DD66" i="1"/>
  <c r="DI66" i="1" s="1"/>
  <c r="DJ66" i="1" s="1"/>
  <c r="DC66" i="1"/>
  <c r="DB66" i="1"/>
  <c r="BS66" i="1"/>
  <c r="BP66" i="1"/>
  <c r="BO66" i="1"/>
  <c r="BG66" i="1"/>
  <c r="BF66" i="1"/>
  <c r="BH66" i="1" s="1"/>
  <c r="AW66" i="1"/>
  <c r="AV66" i="1"/>
  <c r="Z66" i="1"/>
  <c r="AC66" i="1" s="1"/>
  <c r="V66" i="1"/>
  <c r="Y66" i="1" s="1"/>
  <c r="U66" i="1"/>
  <c r="T66" i="1"/>
  <c r="S66" i="1"/>
  <c r="R66" i="1"/>
  <c r="P66" i="1"/>
  <c r="O66" i="1"/>
  <c r="N66" i="1"/>
  <c r="M66" i="1"/>
  <c r="K66" i="1"/>
  <c r="I66" i="1"/>
  <c r="H66" i="1"/>
  <c r="G66" i="1"/>
  <c r="E66" i="1"/>
  <c r="D66" i="1"/>
  <c r="C66" i="1" s="1"/>
  <c r="DO65" i="1"/>
  <c r="DE65" i="1"/>
  <c r="DI65" i="1" s="1"/>
  <c r="DJ65" i="1" s="1"/>
  <c r="DD65" i="1"/>
  <c r="DF65" i="1" s="1"/>
  <c r="DC65" i="1"/>
  <c r="DB65" i="1"/>
  <c r="BS65" i="1"/>
  <c r="BO65" i="1"/>
  <c r="BP65" i="1" s="1"/>
  <c r="BG65" i="1"/>
  <c r="BF65" i="1"/>
  <c r="BH65" i="1" s="1"/>
  <c r="AW65" i="1"/>
  <c r="AV65" i="1"/>
  <c r="AC65" i="1"/>
  <c r="Z65" i="1"/>
  <c r="AB65" i="1" s="1"/>
  <c r="AA65" i="1" s="1"/>
  <c r="Y65" i="1"/>
  <c r="V65" i="1"/>
  <c r="X65" i="1" s="1"/>
  <c r="W65" i="1" s="1"/>
  <c r="U65" i="1"/>
  <c r="T65" i="1"/>
  <c r="S65" i="1"/>
  <c r="R65" i="1" s="1"/>
  <c r="P65" i="1"/>
  <c r="O65" i="1"/>
  <c r="N65" i="1"/>
  <c r="M65" i="1" s="1"/>
  <c r="K65" i="1"/>
  <c r="I65" i="1"/>
  <c r="H65" i="1"/>
  <c r="G65" i="1" s="1"/>
  <c r="E65" i="1"/>
  <c r="B65" i="1"/>
  <c r="D65" i="1" s="1"/>
  <c r="C65" i="1" s="1"/>
  <c r="DF64" i="1"/>
  <c r="DE64" i="1"/>
  <c r="DD64" i="1"/>
  <c r="DI64" i="1" s="1"/>
  <c r="DJ64" i="1" s="1"/>
  <c r="DC64" i="1"/>
  <c r="DB64" i="1"/>
  <c r="BS64" i="1"/>
  <c r="BP64" i="1"/>
  <c r="BO64" i="1"/>
  <c r="BH64" i="1"/>
  <c r="BG64" i="1"/>
  <c r="BF64" i="1"/>
  <c r="AW64" i="1"/>
  <c r="AV64" i="1"/>
  <c r="AH64" i="1"/>
  <c r="AC64" i="1"/>
  <c r="AB64" i="1"/>
  <c r="AA64" i="1" s="1"/>
  <c r="Z64" i="1"/>
  <c r="Y64" i="1"/>
  <c r="X64" i="1"/>
  <c r="W64" i="1" s="1"/>
  <c r="V64" i="1"/>
  <c r="P64" i="1"/>
  <c r="O64" i="1"/>
  <c r="N64" i="1"/>
  <c r="K64" i="1"/>
  <c r="E64" i="1"/>
  <c r="D64" i="1"/>
  <c r="B64" i="1"/>
  <c r="DE63" i="1"/>
  <c r="DD63" i="1"/>
  <c r="DF63" i="1" s="1"/>
  <c r="DC63" i="1"/>
  <c r="AW63" i="1" s="1"/>
  <c r="DB63" i="1"/>
  <c r="BS63" i="1"/>
  <c r="BO63" i="1"/>
  <c r="BP63" i="1" s="1"/>
  <c r="BG63" i="1"/>
  <c r="BF63" i="1"/>
  <c r="BH63" i="1" s="1"/>
  <c r="AV63" i="1"/>
  <c r="AH63" i="1"/>
  <c r="AB63" i="1"/>
  <c r="AA63" i="1"/>
  <c r="Z63" i="1"/>
  <c r="AC63" i="1" s="1"/>
  <c r="V63" i="1"/>
  <c r="Y63" i="1" s="1"/>
  <c r="P63" i="1"/>
  <c r="O63" i="1"/>
  <c r="N63" i="1"/>
  <c r="M63" i="1"/>
  <c r="K63" i="1"/>
  <c r="E63" i="1"/>
  <c r="D63" i="1"/>
  <c r="C63" i="1"/>
  <c r="B63" i="1"/>
  <c r="DF62" i="1"/>
  <c r="DE62" i="1"/>
  <c r="DD62" i="1"/>
  <c r="DI62" i="1" s="1"/>
  <c r="DJ62" i="1" s="1"/>
  <c r="DC62" i="1"/>
  <c r="DB62" i="1"/>
  <c r="AV62" i="1" s="1"/>
  <c r="CF62" i="1"/>
  <c r="BS62" i="1"/>
  <c r="BO62" i="1"/>
  <c r="BP62" i="1" s="1"/>
  <c r="BG62" i="1"/>
  <c r="BH62" i="1" s="1"/>
  <c r="BF62" i="1"/>
  <c r="AW62" i="1"/>
  <c r="AH62" i="1"/>
  <c r="AB62" i="1"/>
  <c r="AA62" i="1"/>
  <c r="Z62" i="1"/>
  <c r="AC62" i="1" s="1"/>
  <c r="V62" i="1"/>
  <c r="Y62" i="1" s="1"/>
  <c r="P62" i="1"/>
  <c r="O62" i="1"/>
  <c r="N62" i="1"/>
  <c r="M62" i="1"/>
  <c r="K62" i="1"/>
  <c r="E62" i="1"/>
  <c r="D62" i="1"/>
  <c r="C62" i="1"/>
  <c r="B62" i="1"/>
  <c r="DF61" i="1"/>
  <c r="DE61" i="1"/>
  <c r="DD61" i="1"/>
  <c r="DI61" i="1" s="1"/>
  <c r="DJ61" i="1" s="1"/>
  <c r="DC61" i="1"/>
  <c r="DB61" i="1"/>
  <c r="AV61" i="1" s="1"/>
  <c r="CF61" i="1"/>
  <c r="BS61" i="1"/>
  <c r="BO61" i="1"/>
  <c r="BP61" i="1" s="1"/>
  <c r="BG61" i="1"/>
  <c r="BH61" i="1" s="1"/>
  <c r="BF61" i="1"/>
  <c r="AW61" i="1"/>
  <c r="Z61" i="1"/>
  <c r="AB61" i="1" s="1"/>
  <c r="V61" i="1"/>
  <c r="X61" i="1" s="1"/>
  <c r="P61" i="1"/>
  <c r="O61" i="1"/>
  <c r="N61" i="1"/>
  <c r="M61" i="1" s="1"/>
  <c r="K61" i="1"/>
  <c r="B61" i="1"/>
  <c r="E61" i="1" s="1"/>
  <c r="DF60" i="1"/>
  <c r="DE60" i="1"/>
  <c r="DD60" i="1"/>
  <c r="DI60" i="1" s="1"/>
  <c r="DC60" i="1"/>
  <c r="DB60" i="1"/>
  <c r="BS60" i="1"/>
  <c r="BP60" i="1"/>
  <c r="BO60" i="1"/>
  <c r="BH60" i="1"/>
  <c r="BG60" i="1"/>
  <c r="BF60" i="1"/>
  <c r="AW60" i="1"/>
  <c r="AV60" i="1"/>
  <c r="AB60" i="1"/>
  <c r="AA60" i="1"/>
  <c r="Z60" i="1"/>
  <c r="AC60" i="1" s="1"/>
  <c r="V60" i="1"/>
  <c r="Y60" i="1" s="1"/>
  <c r="P60" i="1"/>
  <c r="O60" i="1"/>
  <c r="N60" i="1"/>
  <c r="M60" i="1"/>
  <c r="K60" i="1"/>
  <c r="E60" i="1"/>
  <c r="D60" i="1"/>
  <c r="C60" i="1"/>
  <c r="B60" i="1"/>
  <c r="DE59" i="1"/>
  <c r="DF59" i="1" s="1"/>
  <c r="DD59" i="1"/>
  <c r="DC59" i="1"/>
  <c r="AW59" i="1" s="1"/>
  <c r="DB59" i="1"/>
  <c r="BS59" i="1"/>
  <c r="BO59" i="1"/>
  <c r="BP59" i="1" s="1"/>
  <c r="BH59" i="1"/>
  <c r="BG59" i="1"/>
  <c r="BF59" i="1"/>
  <c r="AV59" i="1"/>
  <c r="AS59" i="1"/>
  <c r="AS60" i="1" s="1"/>
  <c r="AS61" i="1" s="1"/>
  <c r="AS62" i="1" s="1"/>
  <c r="AS63" i="1" s="1"/>
  <c r="AS64" i="1" s="1"/>
  <c r="AS65" i="1" s="1"/>
  <c r="AS66" i="1" s="1"/>
  <c r="AS67" i="1" s="1"/>
  <c r="AS68" i="1" s="1"/>
  <c r="AS69" i="1" s="1"/>
  <c r="AS70" i="1" s="1"/>
  <c r="AS71" i="1" s="1"/>
  <c r="AS72" i="1" s="1"/>
  <c r="AC59" i="1"/>
  <c r="AA59" i="1" s="1"/>
  <c r="AB59" i="1"/>
  <c r="Z59" i="1"/>
  <c r="Y59" i="1"/>
  <c r="W59" i="1" s="1"/>
  <c r="X59" i="1"/>
  <c r="V59" i="1"/>
  <c r="P59" i="1"/>
  <c r="O59" i="1"/>
  <c r="N59" i="1"/>
  <c r="K59" i="1"/>
  <c r="E59" i="1"/>
  <c r="B59" i="1"/>
  <c r="DF58" i="1"/>
  <c r="DE58" i="1"/>
  <c r="DD58" i="1"/>
  <c r="DI58" i="1" s="1"/>
  <c r="DC58" i="1"/>
  <c r="DB58" i="1"/>
  <c r="BS58" i="1"/>
  <c r="BP58" i="1"/>
  <c r="BO58" i="1"/>
  <c r="BH58" i="1"/>
  <c r="BG58" i="1"/>
  <c r="BF58" i="1"/>
  <c r="AW58" i="1"/>
  <c r="AV58" i="1"/>
  <c r="AS58" i="1"/>
  <c r="AQ58" i="1"/>
  <c r="AQ59" i="1" s="1"/>
  <c r="AQ60" i="1" s="1"/>
  <c r="AQ61" i="1" s="1"/>
  <c r="AQ62" i="1" s="1"/>
  <c r="AQ63" i="1" s="1"/>
  <c r="AQ64" i="1" s="1"/>
  <c r="AQ65" i="1" s="1"/>
  <c r="AQ66" i="1" s="1"/>
  <c r="AQ67" i="1" s="1"/>
  <c r="AQ68" i="1" s="1"/>
  <c r="AQ69" i="1" s="1"/>
  <c r="AQ70" i="1" s="1"/>
  <c r="AQ71" i="1" s="1"/>
  <c r="AQ72" i="1" s="1"/>
  <c r="AQ73" i="1" s="1"/>
  <c r="AQ74" i="1" s="1"/>
  <c r="AQ75" i="1" s="1"/>
  <c r="AC58" i="1"/>
  <c r="AB58" i="1"/>
  <c r="Z58" i="1"/>
  <c r="V58" i="1"/>
  <c r="Y58" i="1" s="1"/>
  <c r="P58" i="1"/>
  <c r="O58" i="1"/>
  <c r="N58" i="1"/>
  <c r="M58" i="1"/>
  <c r="K58" i="1"/>
  <c r="B58" i="1"/>
  <c r="D58" i="1" s="1"/>
  <c r="DE57" i="1"/>
  <c r="DF57" i="1" s="1"/>
  <c r="DD57" i="1"/>
  <c r="DC57" i="1"/>
  <c r="DM57" i="1" s="1"/>
  <c r="DB57" i="1"/>
  <c r="DL57" i="1" s="1"/>
  <c r="BS57" i="1"/>
  <c r="BO57" i="1"/>
  <c r="BP57" i="1" s="1"/>
  <c r="BH57" i="1"/>
  <c r="BG57" i="1"/>
  <c r="BF57" i="1"/>
  <c r="AS57" i="1"/>
  <c r="AQ57" i="1"/>
  <c r="AC57" i="1"/>
  <c r="AA57" i="1"/>
  <c r="Z57" i="1"/>
  <c r="AB57" i="1" s="1"/>
  <c r="V57" i="1"/>
  <c r="X57" i="1" s="1"/>
  <c r="L57" i="1"/>
  <c r="O57" i="1" s="1"/>
  <c r="K57" i="1"/>
  <c r="E57" i="1"/>
  <c r="D57" i="1"/>
  <c r="C57" i="1"/>
  <c r="B57" i="1"/>
  <c r="DM56" i="1"/>
  <c r="DL56" i="1"/>
  <c r="DI56" i="1"/>
  <c r="DE56" i="1"/>
  <c r="DD56" i="1"/>
  <c r="DF56" i="1" s="1"/>
  <c r="DC56" i="1"/>
  <c r="DB56" i="1"/>
  <c r="CF56" i="1"/>
  <c r="BS56" i="1"/>
  <c r="BP56" i="1"/>
  <c r="BO56" i="1"/>
  <c r="BG56" i="1"/>
  <c r="BF56" i="1"/>
  <c r="BH56" i="1" s="1"/>
  <c r="AS56" i="1"/>
  <c r="AQ56" i="1"/>
  <c r="Z56" i="1"/>
  <c r="AC56" i="1" s="1"/>
  <c r="X56" i="1"/>
  <c r="V56" i="1"/>
  <c r="Y56" i="1" s="1"/>
  <c r="P56" i="1"/>
  <c r="L56" i="1"/>
  <c r="N56" i="1" s="1"/>
  <c r="K56" i="1"/>
  <c r="B56" i="1"/>
  <c r="E56" i="1" s="1"/>
  <c r="DL55" i="1"/>
  <c r="DE55" i="1"/>
  <c r="DD55" i="1"/>
  <c r="DI55" i="1" s="1"/>
  <c r="DC55" i="1"/>
  <c r="DM55" i="1" s="1"/>
  <c r="DB55" i="1"/>
  <c r="BS55" i="1"/>
  <c r="BP55" i="1"/>
  <c r="BO55" i="1"/>
  <c r="BG55" i="1"/>
  <c r="BF55" i="1"/>
  <c r="BH55" i="1" s="1"/>
  <c r="AS55" i="1"/>
  <c r="AQ55" i="1"/>
  <c r="AB55" i="1"/>
  <c r="AA55" i="1"/>
  <c r="Z55" i="1"/>
  <c r="AC55" i="1" s="1"/>
  <c r="V55" i="1"/>
  <c r="Y55" i="1" s="1"/>
  <c r="P55" i="1"/>
  <c r="O55" i="1"/>
  <c r="N55" i="1"/>
  <c r="M55" i="1"/>
  <c r="K55" i="1"/>
  <c r="E55" i="1"/>
  <c r="D55" i="1"/>
  <c r="C55" i="1"/>
  <c r="B55" i="1"/>
  <c r="DL54" i="1"/>
  <c r="DI54" i="1"/>
  <c r="DE54" i="1"/>
  <c r="DD54" i="1"/>
  <c r="DF54" i="1" s="1"/>
  <c r="DC54" i="1"/>
  <c r="DM54" i="1" s="1"/>
  <c r="DB54" i="1"/>
  <c r="BS54" i="1"/>
  <c r="BO54" i="1"/>
  <c r="BP54" i="1" s="1"/>
  <c r="BG54" i="1"/>
  <c r="BF54" i="1"/>
  <c r="BH54" i="1" s="1"/>
  <c r="AS54" i="1"/>
  <c r="AQ54" i="1"/>
  <c r="AC54" i="1"/>
  <c r="AB54" i="1"/>
  <c r="AA54" i="1"/>
  <c r="Z54" i="1"/>
  <c r="Y54" i="1"/>
  <c r="X54" i="1"/>
  <c r="W54" i="1"/>
  <c r="V54" i="1"/>
  <c r="N54" i="1"/>
  <c r="L54" i="1"/>
  <c r="O54" i="1" s="1"/>
  <c r="K54" i="1"/>
  <c r="E54" i="1"/>
  <c r="B54" i="1"/>
  <c r="D54" i="1" s="1"/>
  <c r="C54" i="1" s="1"/>
  <c r="DM53" i="1"/>
  <c r="DE53" i="1"/>
  <c r="DF53" i="1" s="1"/>
  <c r="DD53" i="1"/>
  <c r="DC53" i="1"/>
  <c r="DB53" i="1"/>
  <c r="DL53" i="1" s="1"/>
  <c r="CR53" i="1"/>
  <c r="BS53" i="1"/>
  <c r="BP53" i="1"/>
  <c r="BO53" i="1"/>
  <c r="BH53" i="1"/>
  <c r="BG53" i="1"/>
  <c r="BF53" i="1"/>
  <c r="AS53" i="1"/>
  <c r="AQ53" i="1"/>
  <c r="Z53" i="1"/>
  <c r="V53" i="1"/>
  <c r="P53" i="1"/>
  <c r="O53" i="1"/>
  <c r="N53" i="1"/>
  <c r="M53" i="1"/>
  <c r="K53" i="1"/>
  <c r="E53" i="1"/>
  <c r="D53" i="1"/>
  <c r="C53" i="1"/>
  <c r="B53" i="1"/>
  <c r="DL52" i="1"/>
  <c r="DI52" i="1"/>
  <c r="DE52" i="1"/>
  <c r="DD52" i="1"/>
  <c r="DF52" i="1" s="1"/>
  <c r="DC52" i="1"/>
  <c r="DM52" i="1" s="1"/>
  <c r="DB52" i="1"/>
  <c r="CR52" i="1"/>
  <c r="BS52" i="1"/>
  <c r="BP52" i="1"/>
  <c r="BO52" i="1"/>
  <c r="BG52" i="1"/>
  <c r="BF52" i="1"/>
  <c r="AS52" i="1"/>
  <c r="AQ52" i="1"/>
  <c r="AF52" i="1"/>
  <c r="AB52" i="1"/>
  <c r="Z52" i="1"/>
  <c r="AC52" i="1" s="1"/>
  <c r="X52" i="1"/>
  <c r="V52" i="1"/>
  <c r="Y52" i="1" s="1"/>
  <c r="P52" i="1"/>
  <c r="O52" i="1"/>
  <c r="M52" i="1" s="1"/>
  <c r="N52" i="1"/>
  <c r="K52" i="1"/>
  <c r="E52" i="1"/>
  <c r="B52" i="1"/>
  <c r="D52" i="1" s="1"/>
  <c r="C52" i="1" s="1"/>
  <c r="DM51" i="1"/>
  <c r="DE51" i="1"/>
  <c r="DF51" i="1" s="1"/>
  <c r="DD51" i="1"/>
  <c r="DC51" i="1"/>
  <c r="DB51" i="1"/>
  <c r="DL51" i="1" s="1"/>
  <c r="CR51" i="1"/>
  <c r="AM51" i="1" s="1"/>
  <c r="BS51" i="1"/>
  <c r="BP51" i="1"/>
  <c r="BO51" i="1"/>
  <c r="BF51" i="1"/>
  <c r="AS51" i="1"/>
  <c r="AQ51" i="1"/>
  <c r="AF51" i="1"/>
  <c r="Z51" i="1"/>
  <c r="V51" i="1"/>
  <c r="P51" i="1"/>
  <c r="O51" i="1"/>
  <c r="N51" i="1"/>
  <c r="M51" i="1"/>
  <c r="K51" i="1"/>
  <c r="E51" i="1"/>
  <c r="D51" i="1"/>
  <c r="C51" i="1"/>
  <c r="B51" i="1"/>
  <c r="DL50" i="1"/>
  <c r="DI50" i="1"/>
  <c r="DE50" i="1"/>
  <c r="DD50" i="1"/>
  <c r="DF50" i="1" s="1"/>
  <c r="DC50" i="1"/>
  <c r="DM50" i="1" s="1"/>
  <c r="DB50" i="1"/>
  <c r="CR50" i="1"/>
  <c r="AM50" i="1" s="1"/>
  <c r="BS50" i="1"/>
  <c r="BP50" i="1"/>
  <c r="BO50" i="1"/>
  <c r="BH50" i="1"/>
  <c r="BG50" i="1"/>
  <c r="BF50" i="1"/>
  <c r="AS50" i="1"/>
  <c r="AQ50" i="1"/>
  <c r="AF50" i="1"/>
  <c r="AE50" i="1"/>
  <c r="AC50" i="1"/>
  <c r="AB50" i="1"/>
  <c r="AA50" i="1"/>
  <c r="Z50" i="1"/>
  <c r="Y50" i="1"/>
  <c r="X50" i="1"/>
  <c r="W50" i="1"/>
  <c r="V50" i="1"/>
  <c r="P50" i="1"/>
  <c r="O50" i="1"/>
  <c r="N50" i="1"/>
  <c r="M50" i="1" s="1"/>
  <c r="K50" i="1"/>
  <c r="D50" i="1"/>
  <c r="B50" i="1"/>
  <c r="E50" i="1" s="1"/>
  <c r="DM49" i="1"/>
  <c r="DL49" i="1"/>
  <c r="DE49" i="1"/>
  <c r="DD49" i="1"/>
  <c r="DI49" i="1" s="1"/>
  <c r="DC49" i="1"/>
  <c r="DB49" i="1"/>
  <c r="CP49" i="1"/>
  <c r="CR49" i="1" s="1"/>
  <c r="AM49" i="1" s="1"/>
  <c r="BS49" i="1"/>
  <c r="BP49" i="1"/>
  <c r="BO49" i="1"/>
  <c r="BH49" i="1"/>
  <c r="BH48" i="1" s="1"/>
  <c r="BG49" i="1"/>
  <c r="BF49" i="1"/>
  <c r="AS49" i="1"/>
  <c r="AQ49" i="1"/>
  <c r="AF49" i="1"/>
  <c r="AB49" i="1"/>
  <c r="Z49" i="1"/>
  <c r="AC49" i="1" s="1"/>
  <c r="X49" i="1"/>
  <c r="V49" i="1"/>
  <c r="Y49" i="1" s="1"/>
  <c r="P49" i="1"/>
  <c r="O49" i="1"/>
  <c r="M49" i="1" s="1"/>
  <c r="N49" i="1"/>
  <c r="K49" i="1"/>
  <c r="E49" i="1"/>
  <c r="B49" i="1"/>
  <c r="D49" i="1" s="1"/>
  <c r="C49" i="1" s="1"/>
  <c r="DM48" i="1"/>
  <c r="DE48" i="1"/>
  <c r="DF48" i="1" s="1"/>
  <c r="DD48" i="1"/>
  <c r="DC48" i="1"/>
  <c r="DB48" i="1"/>
  <c r="DL48" i="1" s="1"/>
  <c r="CR48" i="1"/>
  <c r="CP48" i="1"/>
  <c r="BS48" i="1"/>
  <c r="BR48" i="1"/>
  <c r="BP48" i="1"/>
  <c r="BO48" i="1"/>
  <c r="BG48" i="1"/>
  <c r="BF48" i="1"/>
  <c r="BA48" i="1"/>
  <c r="AS48" i="1"/>
  <c r="AQ48" i="1"/>
  <c r="AM48" i="1"/>
  <c r="AF48" i="1"/>
  <c r="AC48" i="1"/>
  <c r="AB48" i="1"/>
  <c r="AA48" i="1"/>
  <c r="Z48" i="1"/>
  <c r="Y48" i="1"/>
  <c r="X48" i="1"/>
  <c r="W48" i="1"/>
  <c r="V48" i="1"/>
  <c r="P48" i="1"/>
  <c r="O48" i="1"/>
  <c r="N48" i="1"/>
  <c r="M48" i="1" s="1"/>
  <c r="K48" i="1"/>
  <c r="E48" i="1"/>
  <c r="D48" i="1"/>
  <c r="B48" i="1"/>
  <c r="C48" i="1" s="1"/>
  <c r="DM47" i="1"/>
  <c r="DL47" i="1"/>
  <c r="DE47" i="1"/>
  <c r="DD47" i="1"/>
  <c r="DI47" i="1" s="1"/>
  <c r="DC47" i="1"/>
  <c r="DB47" i="1"/>
  <c r="CP47" i="1"/>
  <c r="CR47" i="1" s="1"/>
  <c r="AM47" i="1" s="1"/>
  <c r="BS47" i="1"/>
  <c r="BO47" i="1"/>
  <c r="BP47" i="1" s="1"/>
  <c r="BH47" i="1"/>
  <c r="BG47" i="1"/>
  <c r="BF47" i="1"/>
  <c r="AS47" i="1"/>
  <c r="AQ47" i="1"/>
  <c r="AF47" i="1"/>
  <c r="AC47" i="1"/>
  <c r="AB47" i="1"/>
  <c r="Z47" i="1"/>
  <c r="Y47" i="1"/>
  <c r="X47" i="1"/>
  <c r="V47" i="1"/>
  <c r="W47" i="1" s="1"/>
  <c r="P47" i="1"/>
  <c r="O47" i="1"/>
  <c r="M47" i="1" s="1"/>
  <c r="N47" i="1"/>
  <c r="K47" i="1"/>
  <c r="E47" i="1"/>
  <c r="B47" i="1"/>
  <c r="D47" i="1" s="1"/>
  <c r="DM46" i="1"/>
  <c r="DE46" i="1"/>
  <c r="DD46" i="1"/>
  <c r="DC46" i="1"/>
  <c r="DB46" i="1"/>
  <c r="DL46" i="1" s="1"/>
  <c r="CR46" i="1"/>
  <c r="AM46" i="1" s="1"/>
  <c r="CP46" i="1"/>
  <c r="BS46" i="1"/>
  <c r="BO46" i="1"/>
  <c r="BP46" i="1" s="1"/>
  <c r="BG46" i="1"/>
  <c r="BH46" i="1" s="1"/>
  <c r="BF46" i="1"/>
  <c r="BB46" i="1"/>
  <c r="BA46" i="1"/>
  <c r="AS46" i="1"/>
  <c r="AQ46" i="1"/>
  <c r="AF46" i="1"/>
  <c r="AC46" i="1"/>
  <c r="AB46" i="1"/>
  <c r="AA46" i="1"/>
  <c r="Z46" i="1"/>
  <c r="Y46" i="1"/>
  <c r="X46" i="1"/>
  <c r="W46" i="1"/>
  <c r="V46" i="1"/>
  <c r="P46" i="1"/>
  <c r="O46" i="1"/>
  <c r="N46" i="1"/>
  <c r="M46" i="1" s="1"/>
  <c r="K46" i="1"/>
  <c r="E46" i="1"/>
  <c r="D46" i="1"/>
  <c r="B46" i="1"/>
  <c r="DL45" i="1"/>
  <c r="DE45" i="1"/>
  <c r="DD45" i="1"/>
  <c r="DF45" i="1" s="1"/>
  <c r="DC45" i="1"/>
  <c r="DM45" i="1" s="1"/>
  <c r="DB45" i="1"/>
  <c r="CP45" i="1"/>
  <c r="CR45" i="1" s="1"/>
  <c r="AM45" i="1" s="1"/>
  <c r="BS45" i="1"/>
  <c r="BO45" i="1"/>
  <c r="BP45" i="1" s="1"/>
  <c r="BG45" i="1"/>
  <c r="BF45" i="1"/>
  <c r="BB45" i="1"/>
  <c r="BA45" i="1"/>
  <c r="AS45" i="1"/>
  <c r="AQ45" i="1"/>
  <c r="AF45" i="1"/>
  <c r="AC45" i="1"/>
  <c r="Z45" i="1"/>
  <c r="AB45" i="1" s="1"/>
  <c r="Y45" i="1"/>
  <c r="V45" i="1"/>
  <c r="X45" i="1" s="1"/>
  <c r="P45" i="1"/>
  <c r="M45" i="1" s="1"/>
  <c r="O45" i="1"/>
  <c r="N45" i="1"/>
  <c r="K45" i="1"/>
  <c r="B45" i="1"/>
  <c r="DE44" i="1"/>
  <c r="DF44" i="1" s="1"/>
  <c r="DD44" i="1"/>
  <c r="DC44" i="1"/>
  <c r="DM44" i="1" s="1"/>
  <c r="DB44" i="1"/>
  <c r="DL44" i="1" s="1"/>
  <c r="CR44" i="1"/>
  <c r="CP44" i="1"/>
  <c r="BS44" i="1"/>
  <c r="BO44" i="1"/>
  <c r="BP44" i="1" s="1"/>
  <c r="BG44" i="1"/>
  <c r="BF44" i="1"/>
  <c r="BB44" i="1"/>
  <c r="BA44" i="1"/>
  <c r="AS44" i="1"/>
  <c r="AQ44" i="1"/>
  <c r="AM44" i="1"/>
  <c r="AF44" i="1"/>
  <c r="AC44" i="1"/>
  <c r="AB44" i="1"/>
  <c r="AA44" i="1"/>
  <c r="Z44" i="1"/>
  <c r="Y44" i="1"/>
  <c r="X44" i="1"/>
  <c r="W44" i="1"/>
  <c r="V44" i="1"/>
  <c r="P44" i="1"/>
  <c r="O44" i="1"/>
  <c r="N44" i="1"/>
  <c r="M44" i="1" s="1"/>
  <c r="K44" i="1"/>
  <c r="E44" i="1"/>
  <c r="D44" i="1"/>
  <c r="B44" i="1"/>
  <c r="C44" i="1" s="1"/>
  <c r="DL43" i="1"/>
  <c r="DE43" i="1"/>
  <c r="DD43" i="1"/>
  <c r="DF43" i="1" s="1"/>
  <c r="DC43" i="1"/>
  <c r="DM43" i="1" s="1"/>
  <c r="DB43" i="1"/>
  <c r="CP43" i="1"/>
  <c r="CR43" i="1" s="1"/>
  <c r="AM43" i="1" s="1"/>
  <c r="BS43" i="1"/>
  <c r="BO43" i="1"/>
  <c r="BP43" i="1" s="1"/>
  <c r="BG43" i="1"/>
  <c r="BF43" i="1"/>
  <c r="AS43" i="1"/>
  <c r="AQ43" i="1"/>
  <c r="AF43" i="1"/>
  <c r="AC43" i="1"/>
  <c r="Z43" i="1"/>
  <c r="AB43" i="1" s="1"/>
  <c r="Y43" i="1"/>
  <c r="V43" i="1"/>
  <c r="X43" i="1" s="1"/>
  <c r="P43" i="1"/>
  <c r="M43" i="1" s="1"/>
  <c r="O43" i="1"/>
  <c r="N43" i="1"/>
  <c r="K43" i="1"/>
  <c r="B43" i="1"/>
  <c r="DF42" i="1"/>
  <c r="DE42" i="1"/>
  <c r="DD42" i="1"/>
  <c r="DC42" i="1"/>
  <c r="DM42" i="1" s="1"/>
  <c r="DB42" i="1"/>
  <c r="DL42" i="1" s="1"/>
  <c r="CR42" i="1"/>
  <c r="CP42" i="1"/>
  <c r="BS42" i="1"/>
  <c r="BP42" i="1"/>
  <c r="BO42" i="1"/>
  <c r="BG42" i="1"/>
  <c r="BE42" i="1"/>
  <c r="BD42" i="1"/>
  <c r="BF42" i="1" s="1"/>
  <c r="BB42" i="1"/>
  <c r="BA42" i="1"/>
  <c r="AS42" i="1"/>
  <c r="AQ42" i="1"/>
  <c r="AM42" i="1"/>
  <c r="AF42" i="1"/>
  <c r="AC42" i="1"/>
  <c r="AB42" i="1"/>
  <c r="AA42" i="1" s="1"/>
  <c r="Z42" i="1"/>
  <c r="Y42" i="1"/>
  <c r="X42" i="1"/>
  <c r="W42" i="1" s="1"/>
  <c r="V42" i="1"/>
  <c r="P42" i="1"/>
  <c r="O42" i="1"/>
  <c r="N42" i="1"/>
  <c r="K42" i="1"/>
  <c r="E42" i="1"/>
  <c r="D42" i="1"/>
  <c r="B42" i="1"/>
  <c r="DL41" i="1"/>
  <c r="DE41" i="1"/>
  <c r="DD41" i="1"/>
  <c r="DF41" i="1" s="1"/>
  <c r="DC41" i="1"/>
  <c r="DM41" i="1" s="1"/>
  <c r="DB41" i="1"/>
  <c r="CQ41" i="1"/>
  <c r="AF41" i="1" s="1"/>
  <c r="BS41" i="1"/>
  <c r="BP41" i="1"/>
  <c r="BO41" i="1"/>
  <c r="BI41" i="1"/>
  <c r="BG41" i="1"/>
  <c r="BF41" i="1"/>
  <c r="BE41" i="1"/>
  <c r="BD41" i="1"/>
  <c r="AS41" i="1"/>
  <c r="AQ41" i="1"/>
  <c r="AB41" i="1"/>
  <c r="Z41" i="1"/>
  <c r="AC41" i="1" s="1"/>
  <c r="AA41" i="1" s="1"/>
  <c r="X41" i="1"/>
  <c r="W41" i="1" s="1"/>
  <c r="V41" i="1"/>
  <c r="Y41" i="1" s="1"/>
  <c r="P41" i="1"/>
  <c r="O41" i="1"/>
  <c r="N41" i="1"/>
  <c r="K41" i="1"/>
  <c r="E41" i="1"/>
  <c r="D41" i="1"/>
  <c r="B41" i="1"/>
  <c r="DL40" i="1"/>
  <c r="DE40" i="1"/>
  <c r="DD40" i="1"/>
  <c r="DF40" i="1" s="1"/>
  <c r="DC40" i="1"/>
  <c r="DM40" i="1" s="1"/>
  <c r="DB40" i="1"/>
  <c r="CQ40" i="1"/>
  <c r="BS40" i="1"/>
  <c r="BP40" i="1"/>
  <c r="BO40" i="1"/>
  <c r="BJ40" i="1"/>
  <c r="BJ41" i="1" s="1"/>
  <c r="BI40" i="1"/>
  <c r="BG40" i="1"/>
  <c r="BF40" i="1"/>
  <c r="BE40" i="1"/>
  <c r="BD40" i="1"/>
  <c r="AS40" i="1"/>
  <c r="AQ40" i="1"/>
  <c r="AF40" i="1"/>
  <c r="AB40" i="1"/>
  <c r="AA40" i="1"/>
  <c r="Z40" i="1"/>
  <c r="AC40" i="1" s="1"/>
  <c r="X40" i="1"/>
  <c r="V40" i="1"/>
  <c r="Y40" i="1" s="1"/>
  <c r="W40" i="1" s="1"/>
  <c r="P40" i="1"/>
  <c r="O40" i="1"/>
  <c r="N40" i="1"/>
  <c r="M40" i="1" s="1"/>
  <c r="K40" i="1"/>
  <c r="E40" i="1"/>
  <c r="D40" i="1"/>
  <c r="B40" i="1"/>
  <c r="DL39" i="1"/>
  <c r="DE39" i="1"/>
  <c r="DD39" i="1"/>
  <c r="DF39" i="1" s="1"/>
  <c r="DC39" i="1"/>
  <c r="DM39" i="1" s="1"/>
  <c r="DB39" i="1"/>
  <c r="CQ39" i="1"/>
  <c r="BS39" i="1"/>
  <c r="BP39" i="1"/>
  <c r="BO39" i="1"/>
  <c r="BJ39" i="1"/>
  <c r="BI39" i="1"/>
  <c r="BG39" i="1"/>
  <c r="BF39" i="1"/>
  <c r="BE39" i="1"/>
  <c r="BD39" i="1"/>
  <c r="AS39" i="1"/>
  <c r="AQ39" i="1"/>
  <c r="AF39" i="1"/>
  <c r="AB39" i="1"/>
  <c r="AA39" i="1" s="1"/>
  <c r="Z39" i="1"/>
  <c r="AC39" i="1" s="1"/>
  <c r="X39" i="1"/>
  <c r="W39" i="1"/>
  <c r="V39" i="1"/>
  <c r="Y39" i="1" s="1"/>
  <c r="P39" i="1"/>
  <c r="O39" i="1"/>
  <c r="N39" i="1"/>
  <c r="M39" i="1" s="1"/>
  <c r="K39" i="1"/>
  <c r="E39" i="1"/>
  <c r="D39" i="1"/>
  <c r="C39" i="1" s="1"/>
  <c r="B39" i="1"/>
  <c r="DL38" i="1"/>
  <c r="DE38" i="1"/>
  <c r="DD38" i="1"/>
  <c r="DF38" i="1" s="1"/>
  <c r="DC38" i="1"/>
  <c r="DM38" i="1" s="1"/>
  <c r="DB38" i="1"/>
  <c r="CQ38" i="1"/>
  <c r="BX38" i="1"/>
  <c r="BS38" i="1"/>
  <c r="BP38" i="1"/>
  <c r="BO38" i="1"/>
  <c r="BJ38" i="1"/>
  <c r="BJ37" i="1" s="1"/>
  <c r="BI38" i="1"/>
  <c r="BG38" i="1"/>
  <c r="BE38" i="1"/>
  <c r="BD38" i="1"/>
  <c r="BF38" i="1" s="1"/>
  <c r="AS38" i="1"/>
  <c r="AQ38" i="1"/>
  <c r="AF38" i="1"/>
  <c r="AC38" i="1"/>
  <c r="AB38" i="1"/>
  <c r="AA38" i="1" s="1"/>
  <c r="Z38" i="1"/>
  <c r="Y38" i="1"/>
  <c r="X38" i="1"/>
  <c r="W38" i="1" s="1"/>
  <c r="V38" i="1"/>
  <c r="P38" i="1"/>
  <c r="O38" i="1"/>
  <c r="N38" i="1"/>
  <c r="K38" i="1"/>
  <c r="E38" i="1"/>
  <c r="D38" i="1"/>
  <c r="B38" i="1"/>
  <c r="DL37" i="1"/>
  <c r="DE37" i="1"/>
  <c r="DD37" i="1"/>
  <c r="DC37" i="1"/>
  <c r="DM37" i="1" s="1"/>
  <c r="DB37" i="1"/>
  <c r="CQ37" i="1"/>
  <c r="AF37" i="1" s="1"/>
  <c r="BX37" i="1"/>
  <c r="BS37" i="1"/>
  <c r="BO37" i="1"/>
  <c r="BP37" i="1" s="1"/>
  <c r="BI37" i="1"/>
  <c r="BG37" i="1"/>
  <c r="BE37" i="1"/>
  <c r="AS37" i="1"/>
  <c r="AQ37" i="1"/>
  <c r="Z37" i="1"/>
  <c r="AC37" i="1" s="1"/>
  <c r="V37" i="1"/>
  <c r="Y37" i="1" s="1"/>
  <c r="P37" i="1"/>
  <c r="O37" i="1"/>
  <c r="K37" i="1"/>
  <c r="E37" i="1"/>
  <c r="D37" i="1"/>
  <c r="B37" i="1"/>
  <c r="DE36" i="1"/>
  <c r="DD36" i="1"/>
  <c r="DC36" i="1"/>
  <c r="DM36" i="1" s="1"/>
  <c r="DB36" i="1"/>
  <c r="DL36" i="1" s="1"/>
  <c r="CQ36" i="1"/>
  <c r="BX36" i="1"/>
  <c r="BS36" i="1"/>
  <c r="BO36" i="1"/>
  <c r="BP36" i="1" s="1"/>
  <c r="BG36" i="1"/>
  <c r="BF36" i="1"/>
  <c r="AS36" i="1"/>
  <c r="AQ36" i="1"/>
  <c r="AF36" i="1"/>
  <c r="Z36" i="1"/>
  <c r="V36" i="1"/>
  <c r="P36" i="1"/>
  <c r="O36" i="1"/>
  <c r="M36" i="1"/>
  <c r="K36" i="1"/>
  <c r="B36" i="1"/>
  <c r="DM35" i="1"/>
  <c r="DE35" i="1"/>
  <c r="DF35" i="1" s="1"/>
  <c r="DD35" i="1"/>
  <c r="DC35" i="1"/>
  <c r="DB35" i="1"/>
  <c r="DL35" i="1" s="1"/>
  <c r="CQ35" i="1"/>
  <c r="BX35" i="1"/>
  <c r="BS35" i="1"/>
  <c r="BO35" i="1"/>
  <c r="BP35" i="1" s="1"/>
  <c r="BJ35" i="1"/>
  <c r="BI35" i="1"/>
  <c r="BG35" i="1"/>
  <c r="BE35" i="1"/>
  <c r="BF35" i="1" s="1"/>
  <c r="BD35" i="1"/>
  <c r="AS35" i="1"/>
  <c r="AQ35" i="1"/>
  <c r="AF35" i="1"/>
  <c r="Z35" i="1"/>
  <c r="V35" i="1"/>
  <c r="P35" i="1"/>
  <c r="O35" i="1"/>
  <c r="M35" i="1"/>
  <c r="K35" i="1"/>
  <c r="B35" i="1"/>
  <c r="DM34" i="1"/>
  <c r="DE34" i="1"/>
  <c r="DF34" i="1" s="1"/>
  <c r="DD34" i="1"/>
  <c r="DC34" i="1"/>
  <c r="DB34" i="1"/>
  <c r="DL34" i="1" s="1"/>
  <c r="CQ34" i="1"/>
  <c r="AF34" i="1" s="1"/>
  <c r="BS34" i="1"/>
  <c r="BO34" i="1"/>
  <c r="BP34" i="1" s="1"/>
  <c r="BL34" i="1"/>
  <c r="BL35" i="1" s="1"/>
  <c r="BJ34" i="1"/>
  <c r="BI34" i="1"/>
  <c r="BG34" i="1"/>
  <c r="BE34" i="1"/>
  <c r="BD34" i="1"/>
  <c r="BF34" i="1" s="1"/>
  <c r="AZ34" i="1"/>
  <c r="AY34" i="1"/>
  <c r="AS34" i="1"/>
  <c r="AQ34" i="1"/>
  <c r="AB34" i="1"/>
  <c r="Z34" i="1"/>
  <c r="AC34" i="1" s="1"/>
  <c r="AA34" i="1" s="1"/>
  <c r="X34" i="1"/>
  <c r="V34" i="1"/>
  <c r="Y34" i="1" s="1"/>
  <c r="W34" i="1" s="1"/>
  <c r="P34" i="1"/>
  <c r="O34" i="1"/>
  <c r="M34" i="1"/>
  <c r="K34" i="1"/>
  <c r="D34" i="1"/>
  <c r="B34" i="1"/>
  <c r="E34" i="1" s="1"/>
  <c r="C34" i="1" s="1"/>
  <c r="DF33" i="1"/>
  <c r="DE33" i="1"/>
  <c r="DD33" i="1"/>
  <c r="DC33" i="1"/>
  <c r="DM33" i="1" s="1"/>
  <c r="DB33" i="1"/>
  <c r="DL33" i="1" s="1"/>
  <c r="CQ33" i="1"/>
  <c r="AF33" i="1" s="1"/>
  <c r="BS33" i="1"/>
  <c r="BO33" i="1"/>
  <c r="BP33" i="1" s="1"/>
  <c r="BL33" i="1"/>
  <c r="BK33" i="1" s="1"/>
  <c r="BJ33" i="1"/>
  <c r="BI33" i="1"/>
  <c r="BG33" i="1"/>
  <c r="BE33" i="1"/>
  <c r="BF33" i="1" s="1"/>
  <c r="BD33" i="1"/>
  <c r="AY33" i="1"/>
  <c r="AZ33" i="1" s="1"/>
  <c r="AS33" i="1"/>
  <c r="AQ33" i="1"/>
  <c r="AC33" i="1"/>
  <c r="AB33" i="1"/>
  <c r="AA33" i="1" s="1"/>
  <c r="Z33" i="1"/>
  <c r="Y33" i="1"/>
  <c r="X33" i="1"/>
  <c r="W33" i="1" s="1"/>
  <c r="V33" i="1"/>
  <c r="P33" i="1"/>
  <c r="O33" i="1"/>
  <c r="M33" i="1" s="1"/>
  <c r="K33" i="1"/>
  <c r="E33" i="1"/>
  <c r="D33" i="1"/>
  <c r="C33" i="1" s="1"/>
  <c r="B33" i="1"/>
  <c r="DL32" i="1"/>
  <c r="DE32" i="1"/>
  <c r="DD32" i="1"/>
  <c r="DF32" i="1" s="1"/>
  <c r="DC32" i="1"/>
  <c r="DM32" i="1" s="1"/>
  <c r="DB32" i="1"/>
  <c r="CQ32" i="1"/>
  <c r="BS32" i="1"/>
  <c r="BP32" i="1"/>
  <c r="BO32" i="1"/>
  <c r="BL32" i="1"/>
  <c r="BK32" i="1"/>
  <c r="BJ32" i="1"/>
  <c r="BI32" i="1"/>
  <c r="BG32" i="1"/>
  <c r="BF32" i="1"/>
  <c r="BE32" i="1"/>
  <c r="BD32" i="1"/>
  <c r="AY32" i="1"/>
  <c r="AZ32" i="1" s="1"/>
  <c r="AF32" i="1"/>
  <c r="AB32" i="1"/>
  <c r="Z32" i="1"/>
  <c r="AC32" i="1" s="1"/>
  <c r="AA32" i="1" s="1"/>
  <c r="X32" i="1"/>
  <c r="V32" i="1"/>
  <c r="Y32" i="1" s="1"/>
  <c r="W32" i="1" s="1"/>
  <c r="P32" i="1"/>
  <c r="O32" i="1"/>
  <c r="M32" i="1"/>
  <c r="K32" i="1"/>
  <c r="D32" i="1"/>
  <c r="B32" i="1"/>
  <c r="E32" i="1" s="1"/>
  <c r="C32" i="1" s="1"/>
  <c r="DF31" i="1"/>
  <c r="DE31" i="1"/>
  <c r="DD31" i="1"/>
  <c r="DC31" i="1"/>
  <c r="DM31" i="1" s="1"/>
  <c r="DB31" i="1"/>
  <c r="DL31" i="1" s="1"/>
  <c r="CQ31" i="1"/>
  <c r="AF31" i="1" s="1"/>
  <c r="BS31" i="1"/>
  <c r="BO31" i="1"/>
  <c r="BP31" i="1" s="1"/>
  <c r="BG31" i="1"/>
  <c r="AZ31" i="1"/>
  <c r="AY31" i="1"/>
  <c r="AC31" i="1"/>
  <c r="AB31" i="1"/>
  <c r="AA31" i="1" s="1"/>
  <c r="Z31" i="1"/>
  <c r="Y31" i="1"/>
  <c r="X31" i="1"/>
  <c r="W31" i="1" s="1"/>
  <c r="V31" i="1"/>
  <c r="P31" i="1"/>
  <c r="O31" i="1"/>
  <c r="M31" i="1" s="1"/>
  <c r="K31" i="1"/>
  <c r="E31" i="1"/>
  <c r="D31" i="1"/>
  <c r="C31" i="1" s="1"/>
  <c r="B31" i="1"/>
  <c r="DL30" i="1"/>
  <c r="DE30" i="1"/>
  <c r="DD30" i="1"/>
  <c r="DF30" i="1" s="1"/>
  <c r="DC30" i="1"/>
  <c r="DM30" i="1" s="1"/>
  <c r="DB30" i="1"/>
  <c r="CQ30" i="1"/>
  <c r="BS30" i="1"/>
  <c r="BP30" i="1"/>
  <c r="BO30" i="1"/>
  <c r="AZ30" i="1"/>
  <c r="AY30" i="1"/>
  <c r="AF30" i="1"/>
  <c r="AC30" i="1"/>
  <c r="AB30" i="1"/>
  <c r="AA30" i="1" s="1"/>
  <c r="Z30" i="1"/>
  <c r="Y30" i="1"/>
  <c r="X30" i="1"/>
  <c r="W30" i="1" s="1"/>
  <c r="V30" i="1"/>
  <c r="P30" i="1"/>
  <c r="O30" i="1"/>
  <c r="M30" i="1" s="1"/>
  <c r="K30" i="1"/>
  <c r="E30" i="1"/>
  <c r="D30" i="1"/>
  <c r="C30" i="1" s="1"/>
  <c r="B30" i="1"/>
  <c r="DL29" i="1"/>
  <c r="DE29" i="1"/>
  <c r="DD29" i="1"/>
  <c r="DF29" i="1" s="1"/>
  <c r="DC29" i="1"/>
  <c r="DM29" i="1" s="1"/>
  <c r="DB29" i="1"/>
  <c r="CQ29" i="1"/>
  <c r="BS29" i="1"/>
  <c r="BP29" i="1"/>
  <c r="BO29" i="1"/>
  <c r="BE29" i="1"/>
  <c r="BE30" i="1" s="1"/>
  <c r="BE31" i="1" s="1"/>
  <c r="BD29" i="1"/>
  <c r="BD30" i="1" s="1"/>
  <c r="AZ29" i="1"/>
  <c r="AY29" i="1"/>
  <c r="AF29" i="1"/>
  <c r="AC29" i="1"/>
  <c r="AB29" i="1"/>
  <c r="AA29" i="1" s="1"/>
  <c r="Z29" i="1"/>
  <c r="Y29" i="1"/>
  <c r="X29" i="1"/>
  <c r="W29" i="1" s="1"/>
  <c r="V29" i="1"/>
  <c r="P29" i="1"/>
  <c r="O29" i="1"/>
  <c r="M29" i="1" s="1"/>
  <c r="K29" i="1"/>
  <c r="E29" i="1"/>
  <c r="D29" i="1"/>
  <c r="C29" i="1" s="1"/>
  <c r="B29" i="1"/>
  <c r="DL28" i="1"/>
  <c r="DE28" i="1"/>
  <c r="DD28" i="1"/>
  <c r="DF28" i="1" s="1"/>
  <c r="DC28" i="1"/>
  <c r="DM28" i="1" s="1"/>
  <c r="DB28" i="1"/>
  <c r="CQ28" i="1"/>
  <c r="BS28" i="1"/>
  <c r="BP28" i="1"/>
  <c r="BO28" i="1"/>
  <c r="BJ28" i="1"/>
  <c r="BJ29" i="1" s="1"/>
  <c r="BJ30" i="1" s="1"/>
  <c r="BJ31" i="1" s="1"/>
  <c r="BI28" i="1"/>
  <c r="BI29" i="1" s="1"/>
  <c r="BI30" i="1" s="1"/>
  <c r="BI31" i="1" s="1"/>
  <c r="AZ28" i="1"/>
  <c r="AY28" i="1"/>
  <c r="AF28" i="1"/>
  <c r="AC28" i="1"/>
  <c r="Z28" i="1"/>
  <c r="AB28" i="1" s="1"/>
  <c r="Y28" i="1"/>
  <c r="V28" i="1"/>
  <c r="X28" i="1" s="1"/>
  <c r="P28" i="1"/>
  <c r="O28" i="1"/>
  <c r="M28" i="1" s="1"/>
  <c r="K28" i="1"/>
  <c r="E28" i="1"/>
  <c r="B28" i="1"/>
  <c r="D28" i="1" s="1"/>
  <c r="CQ27" i="1"/>
  <c r="AF27" i="1" s="1"/>
  <c r="BO27" i="1"/>
  <c r="P27" i="1"/>
  <c r="O27" i="1"/>
  <c r="M27" i="1" s="1"/>
  <c r="J27" i="1"/>
  <c r="K27" i="1" s="1"/>
  <c r="B27" i="1"/>
  <c r="CQ26" i="1"/>
  <c r="BO26" i="1"/>
  <c r="AF26" i="1"/>
  <c r="P26" i="1"/>
  <c r="O26" i="1"/>
  <c r="M26" i="1" s="1"/>
  <c r="J26" i="1"/>
  <c r="K26" i="1" s="1"/>
  <c r="CQ25" i="1"/>
  <c r="BO25" i="1"/>
  <c r="AF25" i="1"/>
  <c r="P25" i="1"/>
  <c r="O25" i="1"/>
  <c r="M25" i="1"/>
  <c r="K25" i="1"/>
  <c r="J25" i="1"/>
  <c r="B25" i="1" s="1"/>
  <c r="CQ24" i="1"/>
  <c r="AF24" i="1" s="1"/>
  <c r="BO24" i="1"/>
  <c r="P24" i="1"/>
  <c r="O24" i="1"/>
  <c r="M24" i="1"/>
  <c r="K24" i="1"/>
  <c r="J24" i="1"/>
  <c r="B24" i="1"/>
  <c r="CQ23" i="1"/>
  <c r="AF23" i="1" s="1"/>
  <c r="BO23" i="1"/>
  <c r="J23" i="1"/>
  <c r="K23" i="1" s="1"/>
  <c r="BO22" i="1"/>
  <c r="J22" i="1"/>
  <c r="K22" i="1" s="1"/>
  <c r="BO21" i="1"/>
  <c r="J21" i="1"/>
  <c r="K21" i="1" s="1"/>
  <c r="BO20" i="1"/>
  <c r="J20" i="1"/>
  <c r="K20" i="1" s="1"/>
  <c r="CA19" i="1"/>
  <c r="BO19" i="1"/>
  <c r="K19" i="1"/>
  <c r="J19" i="1"/>
  <c r="B19" i="1" s="1"/>
  <c r="BZ18" i="1"/>
  <c r="CA18" i="1" s="1"/>
  <c r="BO18" i="1"/>
  <c r="J18" i="1"/>
  <c r="K18" i="1" s="1"/>
  <c r="B18" i="1"/>
  <c r="BZ17" i="1"/>
  <c r="BY17" i="1"/>
  <c r="CA17" i="1" s="1"/>
  <c r="BO17" i="1"/>
  <c r="J17" i="1"/>
  <c r="K17" i="1" s="1"/>
  <c r="B17" i="1"/>
  <c r="BO16" i="1"/>
  <c r="J16" i="1"/>
  <c r="K16" i="1" s="1"/>
  <c r="B16" i="1"/>
  <c r="BO15" i="1"/>
  <c r="J15" i="1"/>
  <c r="K15" i="1" s="1"/>
  <c r="B15" i="1"/>
  <c r="BO14" i="1"/>
  <c r="J14" i="1"/>
  <c r="K14" i="1" s="1"/>
  <c r="B14" i="1"/>
  <c r="BO13" i="1"/>
  <c r="J13" i="1"/>
  <c r="K13" i="1" s="1"/>
  <c r="B13" i="1"/>
  <c r="BO12" i="1"/>
  <c r="J12" i="1"/>
  <c r="K12" i="1" s="1"/>
  <c r="B12" i="1"/>
  <c r="BO11" i="1"/>
  <c r="J11" i="1"/>
  <c r="K11" i="1" s="1"/>
  <c r="B11" i="1"/>
  <c r="BO10" i="1"/>
  <c r="J10" i="1"/>
  <c r="K10" i="1" s="1"/>
  <c r="B10" i="1"/>
  <c r="BO9" i="1"/>
  <c r="J9" i="1"/>
  <c r="K9" i="1" s="1"/>
  <c r="B9" i="1"/>
  <c r="BO8" i="1"/>
  <c r="J8" i="1"/>
  <c r="K8" i="1" s="1"/>
  <c r="B8" i="1"/>
  <c r="K7" i="1"/>
  <c r="J7" i="1"/>
  <c r="B7" i="1"/>
  <c r="BD31" i="1" l="1"/>
  <c r="BF31" i="1" s="1"/>
  <c r="BF30" i="1"/>
  <c r="BL36" i="1"/>
  <c r="BK35" i="1"/>
  <c r="AA36" i="1"/>
  <c r="C28" i="1"/>
  <c r="W28" i="1"/>
  <c r="AA28" i="1"/>
  <c r="D35" i="1"/>
  <c r="C35" i="1" s="1"/>
  <c r="X35" i="1"/>
  <c r="W35" i="1" s="1"/>
  <c r="AB35" i="1"/>
  <c r="D36" i="1"/>
  <c r="C36" i="1" s="1"/>
  <c r="X36" i="1"/>
  <c r="W36" i="1" s="1"/>
  <c r="AB36" i="1"/>
  <c r="X37" i="1"/>
  <c r="BD37" i="1"/>
  <c r="BF37" i="1" s="1"/>
  <c r="C40" i="1"/>
  <c r="M41" i="1"/>
  <c r="C42" i="1"/>
  <c r="M42" i="1"/>
  <c r="BH45" i="1"/>
  <c r="BH44" i="1" s="1"/>
  <c r="BH43" i="1" s="1"/>
  <c r="BH42" i="1" s="1"/>
  <c r="BH41" i="1" s="1"/>
  <c r="BH40" i="1" s="1"/>
  <c r="BH39" i="1" s="1"/>
  <c r="BH38" i="1" s="1"/>
  <c r="BH37" i="1" s="1"/>
  <c r="BH36" i="1" s="1"/>
  <c r="BH35" i="1" s="1"/>
  <c r="BH34" i="1" s="1"/>
  <c r="BH33" i="1" s="1"/>
  <c r="BH32" i="1" s="1"/>
  <c r="BH31" i="1" s="1"/>
  <c r="BH30" i="1" s="1"/>
  <c r="BH29" i="1" s="1"/>
  <c r="BH28" i="1" s="1"/>
  <c r="B20" i="1"/>
  <c r="B21" i="1"/>
  <c r="B22" i="1"/>
  <c r="B23" i="1"/>
  <c r="B26" i="1"/>
  <c r="BF29" i="1"/>
  <c r="BK34" i="1"/>
  <c r="E35" i="1"/>
  <c r="Y35" i="1"/>
  <c r="AC35" i="1"/>
  <c r="AA35" i="1" s="1"/>
  <c r="E36" i="1"/>
  <c r="Y36" i="1"/>
  <c r="AC36" i="1"/>
  <c r="DF36" i="1"/>
  <c r="C37" i="1"/>
  <c r="M37" i="1"/>
  <c r="DF37" i="1"/>
  <c r="C38" i="1"/>
  <c r="M38" i="1"/>
  <c r="C41" i="1"/>
  <c r="E45" i="1"/>
  <c r="C45" i="1" s="1"/>
  <c r="D45" i="1"/>
  <c r="C46" i="1"/>
  <c r="AA37" i="1"/>
  <c r="AA47" i="1"/>
  <c r="W37" i="1"/>
  <c r="AB37" i="1"/>
  <c r="E43" i="1"/>
  <c r="D43" i="1"/>
  <c r="C43" i="1" s="1"/>
  <c r="DF46" i="1"/>
  <c r="DI46" i="1"/>
  <c r="W43" i="1"/>
  <c r="AA43" i="1"/>
  <c r="W45" i="1"/>
  <c r="AA45" i="1"/>
  <c r="C47" i="1"/>
  <c r="DF47" i="1"/>
  <c r="DI48" i="1"/>
  <c r="DF49" i="1"/>
  <c r="X51" i="1"/>
  <c r="W51" i="1" s="1"/>
  <c r="AB51" i="1"/>
  <c r="AA51" i="1" s="1"/>
  <c r="DI51" i="1"/>
  <c r="X53" i="1"/>
  <c r="AB53" i="1"/>
  <c r="AA53" i="1" s="1"/>
  <c r="DI53" i="1"/>
  <c r="P54" i="1"/>
  <c r="X55" i="1"/>
  <c r="DF55" i="1"/>
  <c r="N57" i="1"/>
  <c r="Y57" i="1"/>
  <c r="DI57" i="1"/>
  <c r="E58" i="1"/>
  <c r="C58" i="1" s="1"/>
  <c r="M59" i="1"/>
  <c r="DI59" i="1"/>
  <c r="X60" i="1"/>
  <c r="W60" i="1" s="1"/>
  <c r="AC61" i="1"/>
  <c r="X62" i="1"/>
  <c r="X63" i="1"/>
  <c r="W67" i="1"/>
  <c r="W49" i="1"/>
  <c r="AA49" i="1"/>
  <c r="C50" i="1"/>
  <c r="Y51" i="1"/>
  <c r="AC51" i="1"/>
  <c r="W52" i="1"/>
  <c r="AA52" i="1"/>
  <c r="Y53" i="1"/>
  <c r="W53" i="1" s="1"/>
  <c r="AC53" i="1"/>
  <c r="M54" i="1"/>
  <c r="D56" i="1"/>
  <c r="C56" i="1" s="1"/>
  <c r="O56" i="1"/>
  <c r="M56" i="1" s="1"/>
  <c r="P57" i="1"/>
  <c r="AA58" i="1"/>
  <c r="D59" i="1"/>
  <c r="C59" i="1" s="1"/>
  <c r="D61" i="1"/>
  <c r="C61" i="1" s="1"/>
  <c r="Y61" i="1"/>
  <c r="W61" i="1" s="1"/>
  <c r="DI63" i="1"/>
  <c r="DJ63" i="1" s="1"/>
  <c r="W55" i="1"/>
  <c r="W56" i="1"/>
  <c r="AB56" i="1"/>
  <c r="AA56" i="1" s="1"/>
  <c r="M57" i="1"/>
  <c r="W57" i="1"/>
  <c r="X58" i="1"/>
  <c r="W58" i="1" s="1"/>
  <c r="AA61" i="1"/>
  <c r="W62" i="1"/>
  <c r="W63" i="1"/>
  <c r="C64" i="1"/>
  <c r="M64" i="1"/>
  <c r="W66" i="1"/>
  <c r="AA66" i="1"/>
  <c r="Y67" i="1"/>
  <c r="AC67" i="1"/>
  <c r="AA67" i="1" s="1"/>
  <c r="AA68" i="1"/>
  <c r="X69" i="1"/>
  <c r="W69" i="1" s="1"/>
  <c r="AB69" i="1"/>
  <c r="AA69" i="1" s="1"/>
  <c r="DF69" i="1"/>
  <c r="X72" i="1"/>
  <c r="W72" i="1" s="1"/>
  <c r="AB72" i="1"/>
  <c r="AA72" i="1" s="1"/>
  <c r="W74" i="1"/>
  <c r="BW98" i="1"/>
  <c r="X66" i="1"/>
  <c r="AB66" i="1"/>
  <c r="DF66" i="1"/>
  <c r="X68" i="1"/>
  <c r="W68" i="1" s="1"/>
  <c r="AB68" i="1"/>
  <c r="DF70" i="1"/>
  <c r="X73" i="1"/>
  <c r="W73" i="1" s="1"/>
  <c r="AB73" i="1"/>
  <c r="AA73" i="1" s="1"/>
  <c r="X74" i="1"/>
  <c r="AB74" i="1"/>
  <c r="AA74" i="1" s="1"/>
  <c r="X75" i="1"/>
  <c r="W75" i="1" s="1"/>
  <c r="AB75" i="1"/>
  <c r="AA75" i="1" s="1"/>
  <c r="BW102" i="1"/>
  <c r="BL37" i="1" l="1"/>
  <c r="BK36" i="1"/>
  <c r="BL38" i="1" l="1"/>
  <c r="BK37" i="1"/>
  <c r="BL39" i="1" l="1"/>
  <c r="BK38" i="1"/>
  <c r="BL40" i="1" l="1"/>
  <c r="BK39" i="1"/>
  <c r="BL41" i="1" l="1"/>
  <c r="BK40" i="1"/>
  <c r="BL42" i="1" l="1"/>
  <c r="BK41" i="1"/>
  <c r="BL43" i="1" l="1"/>
  <c r="BK43" i="1" s="1"/>
  <c r="BK4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David B. Belzer</author>
    <author>D. Belzer</author>
    <author>Karen Belzer</author>
  </authors>
  <commentList>
    <comment ref="CP23" authorId="0" shapeId="0" xr:uid="{94299D01-B7EA-4A2F-9179-ADC6C0AA6FA4}">
      <text>
        <r>
          <rPr>
            <b/>
            <sz val="8"/>
            <color indexed="81"/>
            <rFont val="Tahoma"/>
            <family val="2"/>
          </rPr>
          <t>David B. Belzer:</t>
        </r>
        <r>
          <rPr>
            <sz val="8"/>
            <color indexed="81"/>
            <rFont val="Tahoma"/>
            <family val="2"/>
          </rPr>
          <t xml:space="preserve">
Table 31, Appendix A of of 2009 Public Transportion Fact Book, APTA.  </t>
        </r>
      </text>
    </comment>
    <comment ref="CQ23" authorId="0" shapeId="0" xr:uid="{18CC658D-C862-4E08-B3AD-4D4344412F17}">
      <text>
        <r>
          <rPr>
            <b/>
            <sz val="8"/>
            <color indexed="81"/>
            <rFont val="Tahoma"/>
            <family val="2"/>
          </rPr>
          <t>David B. Belzer:</t>
        </r>
        <r>
          <rPr>
            <sz val="8"/>
            <color indexed="81"/>
            <rFont val="Tahoma"/>
            <family val="2"/>
          </rPr>
          <t xml:space="preserve">
All gasoline assumed to be for busses between 1965 and 1983
</t>
        </r>
      </text>
    </comment>
    <comment ref="DL24" authorId="1" shapeId="0" xr:uid="{576E5C47-5BA7-4B53-A91F-A7928BF2AB14}">
      <text>
        <r>
          <rPr>
            <b/>
            <sz val="8"/>
            <color indexed="81"/>
            <rFont val="Tahoma"/>
            <family val="2"/>
          </rPr>
          <t>D. Belzer:</t>
        </r>
        <r>
          <rPr>
            <sz val="8"/>
            <color indexed="81"/>
            <rFont val="Tahoma"/>
            <family val="2"/>
          </rPr>
          <t xml:space="preserve">
The original fuel consumption estimate from ORNL in 2002 used Eno as a source.  These columns compare Eno with consumption from EIA's Fuel Oil and Kerosene Sales report
</t>
        </r>
      </text>
    </comment>
    <comment ref="CP42" authorId="0" shapeId="0" xr:uid="{7B5293D4-0B23-4E72-BDF4-C724D56C20EB}">
      <text>
        <r>
          <rPr>
            <b/>
            <sz val="8"/>
            <color indexed="81"/>
            <rFont val="Tahoma"/>
            <family val="2"/>
          </rPr>
          <t>David B. Belzer:</t>
        </r>
        <r>
          <rPr>
            <sz val="8"/>
            <color indexed="81"/>
            <rFont val="Tahoma"/>
            <family val="2"/>
          </rPr>
          <t xml:space="preserve">
Estimated as 85% of non-diesel use, based on data for 1992
</t>
        </r>
      </text>
    </comment>
    <comment ref="DG46" authorId="1" shapeId="0" xr:uid="{B1791409-02A5-4A41-AA19-3C566554BC4D}">
      <text>
        <r>
          <rPr>
            <b/>
            <sz val="8"/>
            <color indexed="81"/>
            <rFont val="Tahoma"/>
            <family val="2"/>
          </rPr>
          <t>D. Belzer:</t>
        </r>
        <r>
          <rPr>
            <sz val="8"/>
            <color indexed="81"/>
            <rFont val="Tahoma"/>
            <family val="2"/>
          </rPr>
          <t xml:space="preserve">
From notes to TEDB Ed. 16 for Table 2.15 (Page A-15).  Numbers are from DOC Report on bunker fuels that was discontinued in 1989
</t>
        </r>
      </text>
    </comment>
    <comment ref="Z56" authorId="2" shapeId="0" xr:uid="{C4408E89-4984-4310-B545-CDE2F4AE1487}">
      <text>
        <r>
          <rPr>
            <b/>
            <sz val="8"/>
            <color indexed="81"/>
            <rFont val="Tahoma"/>
            <family val="2"/>
          </rPr>
          <t xml:space="preserve">David Belzer:
The fuel consumption numbers from FHWA are adjusted to smooth MPG changes for 1998 and for 2005 and 2006. See columns AW to BA.   DBB, 6/2/2010
</t>
        </r>
        <r>
          <rPr>
            <sz val="8"/>
            <color indexed="81"/>
            <rFont val="Tahoma"/>
            <family val="2"/>
          </rPr>
          <t xml:space="preserve">
</t>
        </r>
      </text>
    </comment>
    <comment ref="CF56" authorId="2" shapeId="0" xr:uid="{186C2DC2-1470-4B25-8839-894D116F94A2}">
      <text>
        <r>
          <rPr>
            <b/>
            <sz val="8"/>
            <color indexed="81"/>
            <rFont val="Tahoma"/>
            <family val="2"/>
          </rPr>
          <t xml:space="preserve">David Belzer:
The fuel consumption numbers from FHWA are adjusted to smooth MPG changes for 1998 and for 2005 and 2006. See columns AW to BA.   DBB, 6/2/2010
</t>
        </r>
        <r>
          <rPr>
            <sz val="8"/>
            <color indexed="81"/>
            <rFont val="Tahoma"/>
            <family val="2"/>
          </rPr>
          <t xml:space="preserve">
</t>
        </r>
      </text>
    </comment>
    <comment ref="Z61" authorId="2" shapeId="0" xr:uid="{62EFC61C-95D0-4B53-B895-194FFB5A7E57}">
      <text>
        <r>
          <rPr>
            <b/>
            <sz val="8"/>
            <color indexed="81"/>
            <rFont val="Tahoma"/>
            <family val="2"/>
          </rPr>
          <t xml:space="preserve">David Belzer:
The fuel consumption numbers from FHWA are adjusted to smooth MPG changes for 1998 and for 2005 and 2006. See columns AW to BA.   DBB, 6/2/2010
</t>
        </r>
        <r>
          <rPr>
            <sz val="8"/>
            <color indexed="81"/>
            <rFont val="Tahoma"/>
            <family val="2"/>
          </rPr>
          <t xml:space="preserve">
</t>
        </r>
      </text>
    </comment>
    <comment ref="CF61" authorId="2" shapeId="0" xr:uid="{370A4AB2-13A6-4078-A467-DBFAE1E8D3D6}">
      <text>
        <r>
          <rPr>
            <b/>
            <sz val="8"/>
            <color indexed="81"/>
            <rFont val="Tahoma"/>
            <family val="2"/>
          </rPr>
          <t xml:space="preserve">David Belzer:
The fuel consumption numbers from FHWA are adjusted to smooth MPG changes for 1998 and for 2005 and 2006. See columns AW to BA.   DBB, 6/2/2010
</t>
        </r>
        <r>
          <rPr>
            <sz val="8"/>
            <color indexed="81"/>
            <rFont val="Tahoma"/>
            <family val="2"/>
          </rPr>
          <t xml:space="preserve">
</t>
        </r>
      </text>
    </comment>
  </commentList>
</comments>
</file>

<file path=xl/sharedStrings.xml><?xml version="1.0" encoding="utf-8"?>
<sst xmlns="http://schemas.openxmlformats.org/spreadsheetml/2006/main" count="434" uniqueCount="323">
  <si>
    <t>Annual Fuel Consumption by Mode, 1949-2017</t>
  </si>
  <si>
    <t>Other Single-Unit &amp; Heavy Truck Fuel Use Shares by Fuel Type</t>
  </si>
  <si>
    <t>Passenger Cars</t>
  </si>
  <si>
    <t>Buses and Paratransit</t>
  </si>
  <si>
    <t>Vehicle-Miles - Busses</t>
  </si>
  <si>
    <t>(million gallons, unless otherwise specified)</t>
  </si>
  <si>
    <t>Conversion factor</t>
  </si>
  <si>
    <t>Includes Motorcycles</t>
  </si>
  <si>
    <t>Non-Diesel</t>
  </si>
  <si>
    <t>Gasoline</t>
  </si>
  <si>
    <t>Bus</t>
  </si>
  <si>
    <t>Paratransit</t>
  </si>
  <si>
    <t>This section of worksheet work to reconcile various estimates of fuel use for waterborne commerce</t>
  </si>
  <si>
    <t>As Published by ORNL, Fuel Consumption Data  (No longer used)</t>
  </si>
  <si>
    <t>through 1969</t>
  </si>
  <si>
    <t>All Modes</t>
  </si>
  <si>
    <t>(estimated)</t>
  </si>
  <si>
    <t>Highway</t>
  </si>
  <si>
    <t>Waterborne</t>
  </si>
  <si>
    <t>Air</t>
  </si>
  <si>
    <t>Rail</t>
  </si>
  <si>
    <t>Pipeline</t>
  </si>
  <si>
    <t/>
  </si>
  <si>
    <t>Bunker Fuel</t>
  </si>
  <si>
    <t xml:space="preserve">Passenger Car </t>
  </si>
  <si>
    <t>Short Wheelbase Vehicles</t>
  </si>
  <si>
    <t>Motorcycles</t>
  </si>
  <si>
    <t>Light Trucks</t>
  </si>
  <si>
    <t>Long Wheelbase Vehicles</t>
  </si>
  <si>
    <t>Other Single-Unit Truck, Adjusted (see columns BR-BU)</t>
  </si>
  <si>
    <t>Combination Truck, Adjusted (See column BV-BY)</t>
  </si>
  <si>
    <t>Bus - Urban</t>
  </si>
  <si>
    <t>Paratransit (demand response, "dial-a-ride")</t>
  </si>
  <si>
    <t>Bus - School</t>
  </si>
  <si>
    <t>Bus - Intercity</t>
  </si>
  <si>
    <t>Not Used</t>
  </si>
  <si>
    <t>Domestic &amp; Foreign Commerce in U.S. Waters</t>
  </si>
  <si>
    <t>Commercial Carrier</t>
  </si>
  <si>
    <t>General Aviation</t>
  </si>
  <si>
    <t>Intercity (Amtrak)</t>
  </si>
  <si>
    <t>Commuter Rail</t>
  </si>
  <si>
    <t>Heavy Rail</t>
  </si>
  <si>
    <t>Light Rail</t>
  </si>
  <si>
    <t>Class I Freight</t>
  </si>
  <si>
    <t>Natural Gas Pipeline</t>
  </si>
  <si>
    <t>Oil Pipeline</t>
  </si>
  <si>
    <t>Other Single-Unit Truck</t>
  </si>
  <si>
    <t>Combination Truck</t>
  </si>
  <si>
    <t>Distillate</t>
  </si>
  <si>
    <t>Residual</t>
  </si>
  <si>
    <t>Year</t>
  </si>
  <si>
    <t>All Fuel</t>
  </si>
  <si>
    <t>Gasohol</t>
  </si>
  <si>
    <t>Diesel</t>
  </si>
  <si>
    <t>LPG</t>
  </si>
  <si>
    <t>CNG</t>
  </si>
  <si>
    <t>LNG</t>
  </si>
  <si>
    <t xml:space="preserve">Bio Diesel </t>
  </si>
  <si>
    <t>Other</t>
  </si>
  <si>
    <t>School</t>
  </si>
  <si>
    <t>School (million bbl)</t>
  </si>
  <si>
    <t>Intercity</t>
  </si>
  <si>
    <t>Intercity (million bbl)</t>
  </si>
  <si>
    <t>Diesel Fuel &amp; Distillate (1,000 bbl)</t>
  </si>
  <si>
    <t>Residual Fuel Oil (1,000 bbl)</t>
  </si>
  <si>
    <t xml:space="preserve">Domestic Operations </t>
  </si>
  <si>
    <t xml:space="preserve">International Operations </t>
  </si>
  <si>
    <t>Gasoline (million gallons)</t>
  </si>
  <si>
    <t>Jet fuel (million gallons)</t>
  </si>
  <si>
    <t>Diesel (million gallons)</t>
  </si>
  <si>
    <t>Electricity (GWhrs)</t>
  </si>
  <si>
    <t xml:space="preserve">Total Energy (Tbtu) </t>
  </si>
  <si>
    <t>Total Energy (Tbtu) - old series</t>
  </si>
  <si>
    <t>Total Energy (Tbtu)</t>
  </si>
  <si>
    <t>Distillate Fuel Oil</t>
  </si>
  <si>
    <t>Natural Gas (million cu. ft.)</t>
  </si>
  <si>
    <t>Electricity (million kWh)</t>
  </si>
  <si>
    <t>1982 TIUS</t>
  </si>
  <si>
    <t>1987 TIUS</t>
  </si>
  <si>
    <t>1992 TIUS</t>
  </si>
  <si>
    <t>1997 VIUS</t>
  </si>
  <si>
    <t>Heat content (kBtu/gal)</t>
  </si>
  <si>
    <t>Energy Use (Tbtu)</t>
  </si>
  <si>
    <t>Calculated</t>
  </si>
  <si>
    <t>Published</t>
  </si>
  <si>
    <t>Compare Quantities</t>
  </si>
  <si>
    <t xml:space="preserve"> Distillate</t>
  </si>
  <si>
    <t xml:space="preserve"> Residual</t>
  </si>
  <si>
    <t xml:space="preserve"> Total</t>
  </si>
  <si>
    <t>Domestic</t>
  </si>
  <si>
    <t xml:space="preserve"> TEDB Ed.</t>
  </si>
  <si>
    <t xml:space="preserve">  New - Orig ORNL)</t>
  </si>
  <si>
    <t xml:space="preserve">    Percent Domestic</t>
  </si>
  <si>
    <t>Energy Use</t>
  </si>
  <si>
    <t>24, T. 9.5</t>
  </si>
  <si>
    <t xml:space="preserve"> Th. Barrels</t>
  </si>
  <si>
    <t xml:space="preserve"> Th. Gallons</t>
  </si>
  <si>
    <t xml:space="preserve"> Tril. Btu</t>
  </si>
  <si>
    <t>Table A.6 (TEDB-34)</t>
  </si>
  <si>
    <t>Not Used in Calc</t>
  </si>
  <si>
    <t>Replaced ORNL Series</t>
  </si>
  <si>
    <t>Developed from TEDB, Edition 21 data</t>
  </si>
  <si>
    <t>Fuel Consumption for Passenger Vehicles</t>
  </si>
  <si>
    <t>TEDB Ed. 32 - Not Used</t>
  </si>
  <si>
    <t>Cars</t>
  </si>
  <si>
    <t>See worksheet</t>
  </si>
  <si>
    <t>Detailed Data_</t>
  </si>
  <si>
    <t xml:space="preserve">      Intercity buses</t>
  </si>
  <si>
    <t>Note:  No up-to-date source data is available for cells with values in red.   Extrapolations made on basis of related series or value is set equal to previous year.</t>
  </si>
  <si>
    <t>Source:  TEDB-37, T. A-6</t>
  </si>
  <si>
    <t>Used ORNL shares as published</t>
  </si>
  <si>
    <t>Source: TEDB, Edition 38, for 1970-2017, Table A.10</t>
  </si>
  <si>
    <t>Check 2010</t>
  </si>
  <si>
    <t>million bbls</t>
  </si>
  <si>
    <t>Source:</t>
  </si>
  <si>
    <t>distillate</t>
  </si>
  <si>
    <t>http://tonto.eia.doe.gov/dnav/pet/pet_cons_821dsta_dcu_nus_a.htm</t>
  </si>
  <si>
    <t>Fuel Consumption</t>
  </si>
  <si>
    <t>from TEDB-32</t>
  </si>
  <si>
    <t xml:space="preserve"> (alternative)</t>
  </si>
  <si>
    <t xml:space="preserve">fuel oil </t>
  </si>
  <si>
    <t>http://tonto.eia.doe.gov/dnav/pet/pet_cons_821rsda_dcu_nus_a.htm</t>
  </si>
  <si>
    <t xml:space="preserve">  All Fuels</t>
  </si>
  <si>
    <t>Adjustment of fuel consumption to account for discontinuities</t>
  </si>
  <si>
    <r>
      <t xml:space="preserve">1949-1969: Federal Highway Administration. </t>
    </r>
    <r>
      <rPr>
        <i/>
        <sz val="10"/>
        <rFont val="Arial"/>
        <family val="2"/>
      </rPr>
      <t>Highway Statistics Summary to 1995.</t>
    </r>
    <r>
      <rPr>
        <sz val="10"/>
        <rFont val="Arial"/>
        <family val="2"/>
      </rPr>
      <t xml:space="preserve"> Table VM-201A, April 1997.</t>
    </r>
  </si>
  <si>
    <t>caused by 1997 VIUS and 2002 VIUS, applied in 1998 and 2003-2004</t>
  </si>
  <si>
    <r>
      <t xml:space="preserve">1970-2002: Secondary Source:  </t>
    </r>
    <r>
      <rPr>
        <i/>
        <sz val="10"/>
        <rFont val="Arial"/>
        <family val="2"/>
      </rPr>
      <t xml:space="preserve">Transportation Energy Data Book, Edition 24.  </t>
    </r>
    <r>
      <rPr>
        <sz val="10"/>
        <rFont val="Arial"/>
        <family val="2"/>
      </rPr>
      <t>Tables 4.1 and A.1   Original sources from:</t>
    </r>
  </si>
  <si>
    <t>Combination Trucks</t>
  </si>
  <si>
    <r>
      <t xml:space="preserve">      1970-1995:  U.S. Department of Transportation, Federal Highway Administration, </t>
    </r>
    <r>
      <rPr>
        <i/>
        <sz val="10"/>
        <rFont val="Arial"/>
        <family val="2"/>
      </rPr>
      <t>Highway Statistics Summary to 1995</t>
    </r>
  </si>
  <si>
    <t xml:space="preserve">           As Published and Revised in FHWA VM-1 for Fuel Use and VMT</t>
  </si>
  <si>
    <t xml:space="preserve">      1996-2008:</t>
  </si>
  <si>
    <t xml:space="preserve">        Data from:</t>
  </si>
  <si>
    <r>
      <t xml:space="preserve">2020 ORNL </t>
    </r>
    <r>
      <rPr>
        <i/>
        <sz val="10"/>
        <rFont val="Arial"/>
        <family val="2"/>
      </rPr>
      <t>Transportation Energy Data Book</t>
    </r>
    <r>
      <rPr>
        <sz val="10"/>
        <rFont val="Arial"/>
        <family val="2"/>
      </rPr>
      <t>, Ed. 38, Table 4.1</t>
    </r>
  </si>
  <si>
    <t xml:space="preserve">  Fuel Use (bill. Gal.)</t>
  </si>
  <si>
    <t>VMT</t>
  </si>
  <si>
    <t xml:space="preserve"> Orig. Pub. MPG</t>
  </si>
  <si>
    <t>Calc. MPG</t>
  </si>
  <si>
    <t>Adj. MPG</t>
  </si>
  <si>
    <t>Adj. Fuel</t>
  </si>
  <si>
    <t xml:space="preserve">         </t>
  </si>
  <si>
    <t>Elec</t>
  </si>
  <si>
    <t xml:space="preserve">  Diesel and other fuels</t>
  </si>
  <si>
    <r>
      <t xml:space="preserve">Estimated shares for diesel and gasohol from 2020 </t>
    </r>
    <r>
      <rPr>
        <i/>
        <sz val="10"/>
        <rFont val="Arial"/>
        <family val="2"/>
      </rPr>
      <t>Transportation Energy Data Book, Edition 38.</t>
    </r>
    <r>
      <rPr>
        <sz val="10"/>
        <rFont val="Arial"/>
        <family val="2"/>
      </rPr>
      <t xml:space="preserve"> Table A.1</t>
    </r>
  </si>
  <si>
    <t xml:space="preserve">Note:  Gasohol is defined here as E10 or less (10 percent or less total ethanol used); see </t>
  </si>
  <si>
    <t>http://www.fhwa.dot.gov/policy/ohim/hs04/htm/mf33e.htm</t>
  </si>
  <si>
    <t xml:space="preserve">2007-2017 </t>
  </si>
  <si>
    <r>
      <t xml:space="preserve">Federal Highway Administration, </t>
    </r>
    <r>
      <rPr>
        <i/>
        <sz val="10"/>
        <rFont val="Arial"/>
        <family val="2"/>
      </rPr>
      <t>Highway Statistics</t>
    </r>
    <r>
      <rPr>
        <sz val="10"/>
        <rFont val="Arial"/>
        <family val="2"/>
      </rPr>
      <t>, Table VM-1</t>
    </r>
  </si>
  <si>
    <t>https://www.fhwa.dot.gov/policyinformation/statistics.cfm</t>
  </si>
  <si>
    <t>1949-1969:  Based upon data published in Table 4_11 of Bureau of Transportation Statistics (BTS), fuel consumption is based assumption of 50 miles per gallon</t>
  </si>
  <si>
    <t>1970-2017</t>
  </si>
  <si>
    <t xml:space="preserve">2020 Transportation Energy Data Book, Edition 38, Table A.2  </t>
  </si>
  <si>
    <t>Discontinuity in 2007 due to change in methodology from FHWA</t>
  </si>
  <si>
    <t xml:space="preserve"> Alternative: 2017 data from Highway Statistics, Table VM-1.</t>
  </si>
  <si>
    <t xml:space="preserve">Light Trucks (2-axle, 4-tire trucks), </t>
  </si>
  <si>
    <r>
      <t xml:space="preserve">1970-2002: Secondary Source:  </t>
    </r>
    <r>
      <rPr>
        <i/>
        <sz val="10"/>
        <rFont val="Arial"/>
        <family val="2"/>
      </rPr>
      <t xml:space="preserve">Transportation Energy Data Book, Edition 24.  </t>
    </r>
    <r>
      <rPr>
        <sz val="10"/>
        <rFont val="Arial"/>
        <family val="2"/>
      </rPr>
      <t>Tables 4.2 and A.1   Original sources from:</t>
    </r>
  </si>
  <si>
    <r>
      <t xml:space="preserve">      1996-2001:  Primary source:  U.S. Department of Transportation, Federal Highway Administration, </t>
    </r>
    <r>
      <rPr>
        <i/>
        <sz val="10"/>
        <rFont val="Arial"/>
        <family val="2"/>
      </rPr>
      <t xml:space="preserve">Highway Statistics, </t>
    </r>
    <r>
      <rPr>
        <sz val="10"/>
        <rFont val="Arial"/>
        <family val="2"/>
      </rPr>
      <t>Annual Editions, Table VM-1</t>
    </r>
  </si>
  <si>
    <t>1996-2008</t>
  </si>
  <si>
    <r>
      <t xml:space="preserve">2020 </t>
    </r>
    <r>
      <rPr>
        <i/>
        <sz val="10"/>
        <rFont val="Arial"/>
        <family val="2"/>
      </rPr>
      <t>Transportation Energy Data Book</t>
    </r>
    <r>
      <rPr>
        <sz val="10"/>
        <rFont val="Arial"/>
        <family val="2"/>
      </rPr>
      <t>, Edition 38, Table 4.2</t>
    </r>
  </si>
  <si>
    <t>Note:  The Federal Highway Administration in the 2006 edition of Highway Statistics states:</t>
  </si>
  <si>
    <r>
      <t xml:space="preserve">   "Distribution (</t>
    </r>
    <r>
      <rPr>
        <i/>
        <sz val="10"/>
        <rFont val="Arial"/>
        <family val="2"/>
      </rPr>
      <t>of fuel use</t>
    </r>
    <r>
      <rPr>
        <sz val="10"/>
        <rFont val="Arial"/>
        <family val="2"/>
      </rPr>
      <t>) by vehicle use is estimated by the FHWA base on miles per</t>
    </r>
  </si>
  <si>
    <t xml:space="preserve">     gallon for both diesel and gasoline powered vehicles using State-supplied data,</t>
  </si>
  <si>
    <r>
      <t xml:space="preserve">Estimated shares for diesel and gasohol from 2020 </t>
    </r>
    <r>
      <rPr>
        <i/>
        <sz val="10"/>
        <rFont val="Arial"/>
        <family val="2"/>
      </rPr>
      <t>Transportation Energy Data Book, Edition 38.</t>
    </r>
    <r>
      <rPr>
        <sz val="10"/>
        <rFont val="Arial"/>
        <family val="2"/>
      </rPr>
      <t xml:space="preserve"> Table A.5</t>
    </r>
  </si>
  <si>
    <t xml:space="preserve">     average MPG for combination trucks from 5.9 to 5.2</t>
  </si>
  <si>
    <t>Other Single Unit Trucks</t>
  </si>
  <si>
    <t xml:space="preserve"> All Fuels</t>
  </si>
  <si>
    <t>1970-2006</t>
  </si>
  <si>
    <t>Historical series adjusted to match methodolgy/data revision by FHWA for 2007.  See PNNL-22267, Appendix A.</t>
  </si>
  <si>
    <t>2007-2014</t>
  </si>
  <si>
    <r>
      <t xml:space="preserve">ORNL 2016 </t>
    </r>
    <r>
      <rPr>
        <i/>
        <sz val="10"/>
        <rFont val="Arial"/>
        <family val="2"/>
      </rPr>
      <t>Transportation Energy Data Book, Edition 35.</t>
    </r>
    <r>
      <rPr>
        <sz val="10"/>
        <rFont val="Arial"/>
        <family val="2"/>
      </rPr>
      <t xml:space="preserve"> Table 5.1</t>
    </r>
  </si>
  <si>
    <r>
      <t xml:space="preserve">2002-2004:  Estimated shares for diesel and LPG from </t>
    </r>
    <r>
      <rPr>
        <i/>
        <sz val="10"/>
        <rFont val="Arial"/>
        <family val="2"/>
      </rPr>
      <t>Transportation Energy Data Book, Edition 24.</t>
    </r>
    <r>
      <rPr>
        <sz val="10"/>
        <rFont val="Arial"/>
        <family val="2"/>
      </rPr>
      <t xml:space="preserve"> Table A.6 </t>
    </r>
  </si>
  <si>
    <r>
      <t xml:space="preserve">2005-2014:  Estimated shares for diesel and LPG from </t>
    </r>
    <r>
      <rPr>
        <i/>
        <sz val="10"/>
        <rFont val="Arial"/>
        <family val="2"/>
      </rPr>
      <t>Transportation Energy Data Book, Edition 35.</t>
    </r>
    <r>
      <rPr>
        <sz val="10"/>
        <rFont val="Arial"/>
        <family val="2"/>
      </rPr>
      <t xml:space="preserve"> Table A.6</t>
    </r>
  </si>
  <si>
    <t>Combination trucks</t>
  </si>
  <si>
    <r>
      <t xml:space="preserve">ORNL 2016 </t>
    </r>
    <r>
      <rPr>
        <i/>
        <sz val="10"/>
        <rFont val="Arial"/>
        <family val="2"/>
      </rPr>
      <t>Transportation Energy Data Book, Edition 35.</t>
    </r>
    <r>
      <rPr>
        <sz val="10"/>
        <rFont val="Arial"/>
        <family val="2"/>
      </rPr>
      <t xml:space="preserve"> Table 5.2</t>
    </r>
  </si>
  <si>
    <r>
      <t xml:space="preserve">2002-2004:  Estimates shares for diesel and LPG from </t>
    </r>
    <r>
      <rPr>
        <i/>
        <sz val="10"/>
        <rFont val="Arial"/>
        <family val="2"/>
      </rPr>
      <t>Transportation Energy Data Book, Edition 24.</t>
    </r>
    <r>
      <rPr>
        <sz val="10"/>
        <rFont val="Arial"/>
        <family val="2"/>
      </rPr>
      <t xml:space="preserve"> Table A.6 </t>
    </r>
  </si>
  <si>
    <t>Intercity Bus</t>
  </si>
  <si>
    <t>Estimates revised in August 2014.  See separate worksheet:  Revised_intercity_bus_estimates</t>
  </si>
  <si>
    <t>School Bus</t>
  </si>
  <si>
    <t>Estimates revised in August 2014.  See separate worksheet:  Revised_school_bus_estimates</t>
  </si>
  <si>
    <t>Urban (transit) Bus</t>
  </si>
  <si>
    <t xml:space="preserve"> (See note at end re: 2004 data)</t>
  </si>
  <si>
    <t xml:space="preserve">   For diesel:</t>
  </si>
  <si>
    <r>
      <t xml:space="preserve">1965-74: American Public Transit Association. </t>
    </r>
    <r>
      <rPr>
        <i/>
        <sz val="10"/>
        <rFont val="Arial"/>
        <family val="2"/>
      </rPr>
      <t>Transit Fact Book, 1978-79 Edition</t>
    </r>
    <r>
      <rPr>
        <sz val="10"/>
        <rFont val="Arial"/>
        <family val="2"/>
      </rPr>
      <t>. Washington, DC, Table 17, p. 40.</t>
    </r>
  </si>
  <si>
    <r>
      <t xml:space="preserve">1975-83: American Public Transit Association. </t>
    </r>
    <r>
      <rPr>
        <i/>
        <sz val="10"/>
        <rFont val="Arial"/>
        <family val="2"/>
      </rPr>
      <t>Transit Fact Book, 1988 Edition</t>
    </r>
    <r>
      <rPr>
        <sz val="10"/>
        <rFont val="Arial"/>
        <family val="2"/>
      </rPr>
      <t>. Washington, DC, Table 21, p. 39.</t>
    </r>
  </si>
  <si>
    <r>
      <t xml:space="preserve">1984-99: American Public Transportation Association. 2001. </t>
    </r>
    <r>
      <rPr>
        <i/>
        <sz val="10"/>
        <rFont val="Arial"/>
        <family val="2"/>
      </rPr>
      <t>Public Transportation Fact Book</t>
    </r>
    <r>
      <rPr>
        <sz val="10"/>
        <rFont val="Arial"/>
        <family val="2"/>
      </rPr>
      <t>, 52nd edition. Tables 65-67, pp. 112-114.</t>
    </r>
  </si>
  <si>
    <t>2000-2017</t>
  </si>
  <si>
    <t>Table 59 in Appendix A, Bus Fuel Consumption (downloaded Excel file)</t>
  </si>
  <si>
    <t>from: https://www.apta.com/research-technical-resources/transit-statistics/public-transportation-fact-book/</t>
  </si>
  <si>
    <t>Excel file:  2019-APTA-Fact-Book-Appendix-A.xlsx</t>
  </si>
  <si>
    <t xml:space="preserve">   For compressed natural gas:</t>
  </si>
  <si>
    <t>1992-1999:  same as above for diesel (Transit Fact Book)</t>
  </si>
  <si>
    <t>same as above for diesel (APTA website)</t>
  </si>
  <si>
    <t xml:space="preserve">  For LNG:</t>
  </si>
  <si>
    <t>1992-1994:  same as above for diesel (Transit Fact Book)</t>
  </si>
  <si>
    <t xml:space="preserve">  For LPG (Propane):</t>
  </si>
  <si>
    <t>1965-1994:  '</t>
  </si>
  <si>
    <t>Not separately reported by APTA in latest historical data; assumed to be negligible as 1995 value was only 0.3 million gallons</t>
  </si>
  <si>
    <r>
      <t xml:space="preserve">  For Other </t>
    </r>
    <r>
      <rPr>
        <sz val="10"/>
        <rFont val="Arial"/>
        <family val="2"/>
      </rPr>
      <t>(From APTA Table 32 notes: includes bio/soy fuel, biodiesel (through 2006), hydrogen, methanol, enthanol, and various blends.</t>
    </r>
  </si>
  <si>
    <t>1992-1993:   For these years, use data from Transit Fact book as cited above.  From queried website it appears as if "Other" is primarily methanol</t>
  </si>
  <si>
    <t xml:space="preserve">1994-2003:  </t>
  </si>
  <si>
    <t>American Public Transportation Association.  APTA Website (http://www.apta.com/research/stats/bus/busfuel.cfm). "Other" is assumed to be methanol</t>
  </si>
  <si>
    <t>While updating the 2007 number, the "other" category for years 2004-06 were set with an estimate of 2.0, while the remainder was allocated to biofuel to reflect the ramp up of biodiesel use that was counted in the other category.  Bio-diesel was added as separate category in 2007</t>
  </si>
  <si>
    <t>Bio-diesel was added as separate category in 2007</t>
  </si>
  <si>
    <t xml:space="preserve"> For gasoline:</t>
  </si>
  <si>
    <t xml:space="preserve"> For 1965:1999, same source as diesel, above   (Gasoline usage exceeds that of urban busses, includes demand vehicles and other)</t>
  </si>
  <si>
    <t>For 1965-83, we assume all gasoline, diesel, and propane in the APTA fuel consumption estimate are consumed by urban bus, since commuter rail (which can run on diesel or electricity) is excluded from the estimates.</t>
  </si>
  <si>
    <t>For 1984-1991, the APTA non-diesel fuel consumption estimate only includes gasoline. We assume all gasoline to be consumed by buses.</t>
  </si>
  <si>
    <t>For 1992 to 1994, we assume all non-diesel fuels are consumed by urban bus, except fuel categorized as “Other,” which was omitted.</t>
  </si>
  <si>
    <t>For diesel:</t>
  </si>
  <si>
    <t>1984-2017  American Public Transportation Association.  APTA Website:</t>
  </si>
  <si>
    <t>http://www.apta.com/resources/statistics/Pages/transitstats.aspx</t>
  </si>
  <si>
    <t>https://www.apta.com/research-technical-resources/transit-statistics/public-transportation-fact-book/</t>
  </si>
  <si>
    <t>Table 60 in Appendix A, Demand Response Fuel Consumption</t>
  </si>
  <si>
    <t>For gasoline:</t>
  </si>
  <si>
    <t>1994-2017</t>
  </si>
  <si>
    <t>Same website (Appendix A Fact Book) as for diesel, Table 60</t>
  </si>
  <si>
    <t xml:space="preserve">All non-diesel fuel from 1984-1991 is gasoline (based upon communication with APTA).  </t>
  </si>
  <si>
    <t>Bus use is assumed to decline to 2 million gallons per year by 1988, see column BQ, cells BQ45-BQ47 (orange values denote estimated values)</t>
  </si>
  <si>
    <t>Residual gasoline use is assumed to be for paratransit</t>
  </si>
  <si>
    <t>`</t>
  </si>
  <si>
    <t>All other fuels:</t>
  </si>
  <si>
    <t xml:space="preserve">  Other fuel is assumed to be ethanol for purposes of Btu conversion</t>
  </si>
  <si>
    <t xml:space="preserve">Based upon 1994 data from Table 31 in Appendix A of APTA Fact Book, entries prior to 1994 assumed to be negligible </t>
  </si>
  <si>
    <t>Waterborne Vessels</t>
  </si>
  <si>
    <t>Old (2002) Series</t>
  </si>
  <si>
    <r>
      <t xml:space="preserve">1970-1999: Eno Transportation Foundation. 2001. </t>
    </r>
    <r>
      <rPr>
        <i/>
        <sz val="10"/>
        <color theme="9" tint="-0.249977111117893"/>
        <rFont val="Arial"/>
        <family val="2"/>
      </rPr>
      <t>Transportation in America 2000</t>
    </r>
    <r>
      <rPr>
        <sz val="10"/>
        <color theme="9" tint="-0.249977111117893"/>
        <rFont val="Arial"/>
        <family val="2"/>
      </rPr>
      <t>. Washington, DC, pp. 24-27.</t>
    </r>
  </si>
  <si>
    <r>
      <t xml:space="preserve">2000:         Eno Transportation Foundation. 2002.  </t>
    </r>
    <r>
      <rPr>
        <i/>
        <sz val="10"/>
        <color theme="9" tint="-0.249977111117893"/>
        <rFont val="Arial"/>
        <family val="2"/>
      </rPr>
      <t>Transportation in Amerca, 19th Edition.</t>
    </r>
    <r>
      <rPr>
        <sz val="10"/>
        <color theme="9" tint="-0.249977111117893"/>
        <rFont val="Arial"/>
        <family val="2"/>
      </rPr>
      <t>, p. 51.</t>
    </r>
  </si>
  <si>
    <t>2001-2004</t>
  </si>
  <si>
    <r>
      <t xml:space="preserve">Data directly from EIA report, </t>
    </r>
    <r>
      <rPr>
        <i/>
        <sz val="10"/>
        <color theme="9" tint="-0.249977111117893"/>
        <rFont val="Arial"/>
        <family val="2"/>
      </rPr>
      <t xml:space="preserve">Fuel Oil and Kerosene Sales.  </t>
    </r>
    <r>
      <rPr>
        <sz val="10"/>
        <color theme="9" tint="-0.249977111117893"/>
        <rFont val="Arial"/>
        <family val="2"/>
      </rPr>
      <t>See Cell BD64</t>
    </r>
  </si>
  <si>
    <t>Note:  In September 2005, source was changed to energy consumption estimates for domestic vessels produced in ORNL's</t>
  </si>
  <si>
    <r>
      <t xml:space="preserve">Transportation Energy Data Book.  </t>
    </r>
    <r>
      <rPr>
        <b/>
        <sz val="9"/>
        <color theme="9" tint="-0.249977111117893"/>
        <rFont val="Arial"/>
        <family val="2"/>
      </rPr>
      <t>The ORNL methodology attempts to remove the residual fuel oil consumption used</t>
    </r>
  </si>
  <si>
    <t xml:space="preserve">for international shipping.  See Columns CS and CT for estimates used for intensity indicators.  (Intensities now match those </t>
  </si>
  <si>
    <r>
      <t xml:space="preserve">published in the </t>
    </r>
    <r>
      <rPr>
        <b/>
        <i/>
        <sz val="9"/>
        <color theme="9" tint="-0.249977111117893"/>
        <rFont val="Arial"/>
        <family val="2"/>
      </rPr>
      <t xml:space="preserve">Transportation Energy Data Book </t>
    </r>
    <r>
      <rPr>
        <b/>
        <sz val="9"/>
        <color theme="9" tint="-0.249977111117893"/>
        <rFont val="Arial"/>
        <family val="2"/>
      </rPr>
      <t>for waterborne commerce/</t>
    </r>
  </si>
  <si>
    <t>New (1970-2011) Series</t>
  </si>
  <si>
    <t>Fuel consumption estimates based on product of ton-mile estimates from Corps of Engineers, and external (Dager model) estimates of intensity.  See column N in worksheet 'Freight-based Energy Use'</t>
  </si>
  <si>
    <r>
      <t xml:space="preserve">1962-79: Research and Special Programs Administration (RSPA). 1993. </t>
    </r>
    <r>
      <rPr>
        <i/>
        <sz val="10"/>
        <rFont val="Arial"/>
        <family val="2"/>
      </rPr>
      <t>National Transportation Statistics: Annual Report, September 1993</t>
    </r>
    <r>
      <rPr>
        <sz val="10"/>
        <rFont val="Arial"/>
        <family val="2"/>
      </rPr>
      <t>. Cambridge, Massachusetts, September, Table 77, p. 171. (Original source: FAA)</t>
    </r>
  </si>
  <si>
    <r>
      <t xml:space="preserve">1980-83: Research and Special Programs Administration (RSPA). 1985. </t>
    </r>
    <r>
      <rPr>
        <i/>
        <sz val="10"/>
        <rFont val="Arial"/>
        <family val="2"/>
      </rPr>
      <t>National Transportation Statistics: Annual Report, 1985</t>
    </r>
    <r>
      <rPr>
        <sz val="10"/>
        <rFont val="Arial"/>
        <family val="2"/>
      </rPr>
      <t>. Cambridge, Massachusetts, Table 30. (Original source: FAA)</t>
    </r>
  </si>
  <si>
    <r>
      <t xml:space="preserve">1984-1989: Federal Aviation Administration (FAA). </t>
    </r>
    <r>
      <rPr>
        <i/>
        <sz val="10"/>
        <rFont val="Arial"/>
        <family val="2"/>
      </rPr>
      <t>General Aviation Activity and Avionics Survey</t>
    </r>
    <r>
      <rPr>
        <sz val="10"/>
        <rFont val="Arial"/>
        <family val="2"/>
      </rPr>
      <t>, annual issues. Washington, DC.</t>
    </r>
  </si>
  <si>
    <t xml:space="preserve">1990-1999:  </t>
  </si>
  <si>
    <t>Primary source as from 1984-1989, however data from BTS web site:</t>
  </si>
  <si>
    <t>http://www.rita.dot.gov/bts/sites/rita.dot.gov.bts/files/publications/national_transportation_statistics/html/table_04_05.html</t>
  </si>
  <si>
    <t>2000-2018</t>
  </si>
  <si>
    <r>
      <t xml:space="preserve">Oak Ridge National Laboratory.  </t>
    </r>
    <r>
      <rPr>
        <i/>
        <sz val="10"/>
        <rFont val="Arial"/>
        <family val="2"/>
      </rPr>
      <t>Transportation Energy Data Book</t>
    </r>
    <r>
      <rPr>
        <sz val="10"/>
        <rFont val="Arial"/>
        <family val="2"/>
      </rPr>
      <t>, Edition 38 - 2020, Table A.8 (Annual data from 1970 forward, matches data from source listed above).</t>
    </r>
  </si>
  <si>
    <t>2017-2018</t>
  </si>
  <si>
    <t xml:space="preserve">Alternative: From FAA website, Part 135 Activity Surveys </t>
  </si>
  <si>
    <t>https://www.faa.gov/data_research/aviation_data_statistics/general_aviation/CY2017/</t>
  </si>
  <si>
    <t>Commercial Air Carrier (Form 41 Carriers)</t>
  </si>
  <si>
    <t xml:space="preserve">Jet fuel use is sum of domestic and one-half of international operations (one half of fuel assumed to be purchased outside U.S. - consistent with treatment </t>
  </si>
  <si>
    <t>in ORNL Transportation Energy Data Book</t>
  </si>
  <si>
    <t>1970-1976</t>
  </si>
  <si>
    <t>Domestic and International operations not separated reported.  Domestic operations account for 0.828 of total in 1977.  That fraction</t>
  </si>
  <si>
    <t>was used to allocate total fuel use between domestic and international for 1970 through 1976.</t>
  </si>
  <si>
    <t>1977-1999: Bureau of Transportation Statistics (BTS), Office of Airline Information (OAI). http://www.bts.gov/programs/oai/fuel/fuelyearly.html</t>
  </si>
  <si>
    <r>
      <t xml:space="preserve">2000-2010: Alternate Source: Bureau of Transporation Statistics (BTS), </t>
    </r>
    <r>
      <rPr>
        <i/>
        <sz val="10"/>
        <rFont val="Arial"/>
        <family val="2"/>
      </rPr>
      <t>National Transportation Statistics</t>
    </r>
    <r>
      <rPr>
        <sz val="10"/>
        <rFont val="Arial"/>
        <family val="2"/>
      </rPr>
      <t xml:space="preserve">, Table 4-8.  </t>
    </r>
  </si>
  <si>
    <t>http://www.rita.dot.gov/bts/sites/rita.dot.gov.bts/files/publications/national_transportation_statistics/html/table_04_08.html</t>
  </si>
  <si>
    <t>1977-2017</t>
  </si>
  <si>
    <t>Primary Source: ORNL 2020 Transportation Energy Data Book, Edition 38, Table A.9</t>
  </si>
  <si>
    <t>Intercity Rail (Amtrak)</t>
  </si>
  <si>
    <t>Detailed values from excel file related to this table.</t>
  </si>
  <si>
    <r>
      <t xml:space="preserve">Oak Ridge National Laboratory. </t>
    </r>
    <r>
      <rPr>
        <i/>
        <sz val="10"/>
        <rFont val="Arial"/>
        <family val="2"/>
      </rPr>
      <t xml:space="preserve">Transportation Energy Data Book (TEDB), Edition 38, T. A.16 </t>
    </r>
    <r>
      <rPr>
        <sz val="10"/>
        <rFont val="Arial"/>
        <family val="2"/>
      </rPr>
      <t xml:space="preserve"> Oak Ridge, Tennessee.</t>
    </r>
  </si>
  <si>
    <t>1973-1993</t>
  </si>
  <si>
    <t>See Note b in worksheet TEDB_Ed30_Table 9.10.  Discontinuity in series between 1993 and 1994.</t>
  </si>
  <si>
    <t>Train miles were essentially constant between 1993 and 1994, and so 1993 value was set equal to 1994, Extrapolated</t>
  </si>
  <si>
    <t>to earlier years based upon published energy figures from the TEDB.</t>
  </si>
  <si>
    <t>1971-1972</t>
  </si>
  <si>
    <t>Changes in fuel consumption from 1970-1973 implausible compared to passenger-mile data.  Therefore, 1973 energy</t>
  </si>
  <si>
    <t>data extrapolated back to 1970 based upon passenger-miles.  (Implicit assumption - fuel intensity unchanged over this period)</t>
  </si>
  <si>
    <t>Amtrak was not established until May 1971.  Data for 1970 assumes same passenger activity as 1971, primarily</t>
  </si>
  <si>
    <t>included to fill out all transportation-related time series back to 1970</t>
  </si>
  <si>
    <t>Pre-2009 Sources in Columns AN - AP (No longer used, but retained for historical comparison)</t>
  </si>
  <si>
    <r>
      <t xml:space="preserve">1970-83: Based on Oak Ridge National Laboratory. </t>
    </r>
    <r>
      <rPr>
        <i/>
        <sz val="10"/>
        <color indexed="53"/>
        <rFont val="Arial"/>
        <family val="2"/>
      </rPr>
      <t xml:space="preserve">Transportation Energy Data Book, Edition 8 </t>
    </r>
    <r>
      <rPr>
        <sz val="10"/>
        <color indexed="53"/>
        <rFont val="Arial"/>
        <family val="2"/>
      </rPr>
      <t>and earlier annual editions. Oak Ridge, Tennessee.</t>
    </r>
  </si>
  <si>
    <t xml:space="preserve">1985-1999: National Railroad Passenger Corporation (Amtrak), personal communication, </t>
  </si>
  <si>
    <t xml:space="preserve">2000-2005:  Fuel consumption estimates for 1999 extrapolated by passenger-miles estimate </t>
  </si>
  <si>
    <t>Alternative data source is from BTS</t>
  </si>
  <si>
    <t>http://www.bts.gov/publications/national_transportation_statistics/html/table_04_26.html</t>
  </si>
  <si>
    <t xml:space="preserve">However, BTS consumption estimates are lower than those in the TEDB and further work is needed to reconcile.  </t>
  </si>
  <si>
    <t>Class I Rail - Freight</t>
  </si>
  <si>
    <r>
      <t xml:space="preserve">1961-67: Association of American Railroads. 1976. </t>
    </r>
    <r>
      <rPr>
        <i/>
        <sz val="10"/>
        <rFont val="Arial"/>
        <family val="2"/>
      </rPr>
      <t>Railroad Facts, 1976 Edition</t>
    </r>
    <r>
      <rPr>
        <sz val="10"/>
        <rFont val="Arial"/>
        <family val="2"/>
      </rPr>
      <t>. Washington, DC, p. 29.</t>
    </r>
  </si>
  <si>
    <r>
      <t xml:space="preserve">1968-79: Association of American Railroads. 1983. </t>
    </r>
    <r>
      <rPr>
        <i/>
        <sz val="10"/>
        <rFont val="Arial"/>
        <family val="2"/>
      </rPr>
      <t>Railroad Facts, 1983 Edition</t>
    </r>
    <r>
      <rPr>
        <sz val="10"/>
        <rFont val="Arial"/>
        <family val="2"/>
      </rPr>
      <t>. Washington, DC, September, p. 60.</t>
    </r>
  </si>
  <si>
    <r>
      <t xml:space="preserve">1980-89: Association of American Railroads. 1991. </t>
    </r>
    <r>
      <rPr>
        <i/>
        <sz val="10"/>
        <rFont val="Arial"/>
        <family val="2"/>
      </rPr>
      <t>Railroad Facts, 1991 Edition</t>
    </r>
    <r>
      <rPr>
        <sz val="10"/>
        <rFont val="Arial"/>
        <family val="2"/>
      </rPr>
      <t>. Washington, DC, September, p. 60.</t>
    </r>
  </si>
  <si>
    <t>1990-2017:</t>
  </si>
  <si>
    <r>
      <t xml:space="preserve">Oak Ridge National Laboratory. 2020 </t>
    </r>
    <r>
      <rPr>
        <i/>
        <sz val="10"/>
        <rFont val="Arial"/>
        <family val="2"/>
      </rPr>
      <t xml:space="preserve">Transportation Energy Data Book (TEDB), Edition 38, T. A.13 </t>
    </r>
    <r>
      <rPr>
        <sz val="10"/>
        <rFont val="Arial"/>
        <family val="2"/>
      </rPr>
      <t xml:space="preserve"> Oak Ridge, Tennessee.</t>
    </r>
  </si>
  <si>
    <t>Urban Rail (Commuter)</t>
  </si>
  <si>
    <r>
      <t xml:space="preserve">1965-74: American Public Transit Association. </t>
    </r>
    <r>
      <rPr>
        <i/>
        <sz val="10"/>
        <rFont val="Arial"/>
        <family val="2"/>
      </rPr>
      <t>Transit Fact Book, 1978-79 Edition</t>
    </r>
    <r>
      <rPr>
        <sz val="10"/>
        <rFont val="Arial"/>
        <family val="2"/>
      </rPr>
      <t xml:space="preserve">. Washington, DC, Table 17, p. 40. </t>
    </r>
    <r>
      <rPr>
        <sz val="10"/>
        <color indexed="12"/>
        <rFont val="Arial"/>
        <family val="2"/>
      </rPr>
      <t>(Hvy &amp; Lt only)</t>
    </r>
  </si>
  <si>
    <r>
      <t xml:space="preserve">1975-83: American Public Transit Association. </t>
    </r>
    <r>
      <rPr>
        <i/>
        <sz val="10"/>
        <rFont val="Arial"/>
        <family val="2"/>
      </rPr>
      <t>Transit Fact Book, 1988 Edition</t>
    </r>
    <r>
      <rPr>
        <sz val="10"/>
        <rFont val="Arial"/>
        <family val="2"/>
      </rPr>
      <t xml:space="preserve">. Washington, DC, Table 21, p. 39. </t>
    </r>
    <r>
      <rPr>
        <sz val="10"/>
        <color indexed="12"/>
        <rFont val="Arial"/>
        <family val="2"/>
      </rPr>
      <t>(Hvy &amp; Lt only)</t>
    </r>
  </si>
  <si>
    <r>
      <t xml:space="preserve">1970-83: ORNL. </t>
    </r>
    <r>
      <rPr>
        <i/>
        <sz val="10"/>
        <rFont val="Arial"/>
        <family val="2"/>
      </rPr>
      <t>Transportation Energy Data Book, Edition 8</t>
    </r>
    <r>
      <rPr>
        <sz val="10"/>
        <rFont val="Arial"/>
        <family val="2"/>
      </rPr>
      <t xml:space="preserve"> and earlier editions. Oak Ridge, Tennessee. </t>
    </r>
    <r>
      <rPr>
        <sz val="10"/>
        <color indexed="12"/>
        <rFont val="Arial"/>
        <family val="2"/>
      </rPr>
      <t>(Commuter only)</t>
    </r>
  </si>
  <si>
    <r>
      <t xml:space="preserve">1984-99: American Public Transportation Association. 2001. </t>
    </r>
    <r>
      <rPr>
        <i/>
        <sz val="10"/>
        <rFont val="Arial"/>
        <family val="2"/>
      </rPr>
      <t>Public Transportation Fact Book</t>
    </r>
    <r>
      <rPr>
        <sz val="10"/>
        <rFont val="Arial"/>
        <family val="2"/>
      </rPr>
      <t>, 52nd edition. Tables 65-66, pp. 112-113.</t>
    </r>
  </si>
  <si>
    <r>
      <t xml:space="preserve">1996-2005: American Public Transportation Association. 2007. </t>
    </r>
    <r>
      <rPr>
        <i/>
        <sz val="10"/>
        <rFont val="Arial"/>
        <family val="2"/>
      </rPr>
      <t>Public Transportation Fact Book</t>
    </r>
    <r>
      <rPr>
        <sz val="10"/>
        <rFont val="Arial"/>
        <family val="2"/>
      </rPr>
      <t>; Table 85</t>
    </r>
  </si>
  <si>
    <t>http://www.apta.com/research/stats/factbook/index.cfm</t>
  </si>
  <si>
    <t>2006-09:  American Public Transportation Association.  2008 Public Transportation Fact Book; Table 33</t>
  </si>
  <si>
    <t>http://www.apta.com/research/stats/index.cfm</t>
  </si>
  <si>
    <t>2010-2014</t>
  </si>
  <si>
    <t>2015-2017</t>
  </si>
  <si>
    <r>
      <t xml:space="preserve">ORNL 2020 </t>
    </r>
    <r>
      <rPr>
        <i/>
        <sz val="10"/>
        <rFont val="Arial"/>
        <family val="2"/>
      </rPr>
      <t>Transportation Energy Data Book (TEDB), Edition 38.</t>
    </r>
    <r>
      <rPr>
        <sz val="10"/>
        <rFont val="Arial"/>
        <family val="2"/>
      </rPr>
      <t xml:space="preserve"> Table A.14</t>
    </r>
  </si>
  <si>
    <t>Tables 56 and 57 in downloaded excel file</t>
  </si>
  <si>
    <t>Urban Rail (Heavy and Light)</t>
  </si>
  <si>
    <t>American Public Transit Association</t>
  </si>
  <si>
    <t>1965-2009:</t>
  </si>
  <si>
    <r>
      <t xml:space="preserve">American Public Transportation Association.  2009 </t>
    </r>
    <r>
      <rPr>
        <i/>
        <sz val="10"/>
        <rFont val="Arial"/>
        <family val="2"/>
      </rPr>
      <t>Public Transportation Fact Book</t>
    </r>
    <r>
      <rPr>
        <sz val="10"/>
        <rFont val="Arial"/>
        <family val="2"/>
      </rPr>
      <t>; Appendix A, Table 29</t>
    </r>
  </si>
  <si>
    <t>Note:  no separate data for years 1974-1983.  Values for light rail interpolated; heavy rail computed as residual (orange values in columns BB and BC).</t>
  </si>
  <si>
    <r>
      <t xml:space="preserve">ORNL 2020 </t>
    </r>
    <r>
      <rPr>
        <i/>
        <sz val="10"/>
        <rFont val="Arial"/>
        <family val="2"/>
      </rPr>
      <t>Transportation Energy Data Book, Edition 38.</t>
    </r>
    <r>
      <rPr>
        <sz val="10"/>
        <rFont val="Arial"/>
        <family val="2"/>
      </rPr>
      <t xml:space="preserve"> Table A.15</t>
    </r>
  </si>
  <si>
    <r>
      <t xml:space="preserve">American Public Transportation Association.  2019 </t>
    </r>
    <r>
      <rPr>
        <i/>
        <sz val="10"/>
        <rFont val="Arial"/>
        <family val="2"/>
      </rPr>
      <t>Public Transportation Fact Book</t>
    </r>
    <r>
      <rPr>
        <sz val="10"/>
        <rFont val="Arial"/>
        <family val="2"/>
      </rPr>
      <t>; Appendix A, Table 56 for electricity, Table 57 for fossil</t>
    </r>
  </si>
  <si>
    <r>
      <t xml:space="preserve">1950-2008:  DOE, Energy Informationa Administration, </t>
    </r>
    <r>
      <rPr>
        <i/>
        <sz val="10"/>
        <rFont val="Arial"/>
        <family val="2"/>
      </rPr>
      <t>Annual Energy Review</t>
    </r>
    <r>
      <rPr>
        <sz val="10"/>
        <rFont val="Arial"/>
        <family val="2"/>
      </rPr>
      <t xml:space="preserve">, Table 6.5 (pipeline fuel)  </t>
    </r>
  </si>
  <si>
    <t>2009-2015</t>
  </si>
  <si>
    <t>http://www.eia.doe.gov/aer/natgas.html</t>
  </si>
  <si>
    <t>2016-2017</t>
  </si>
  <si>
    <r>
      <t xml:space="preserve">ORNL 2020 </t>
    </r>
    <r>
      <rPr>
        <i/>
        <sz val="10"/>
        <rFont val="Arial"/>
        <family val="2"/>
      </rPr>
      <t>Transportation Energy Data Book, Edition 38.</t>
    </r>
    <r>
      <rPr>
        <sz val="10"/>
        <rFont val="Arial"/>
        <family val="2"/>
      </rPr>
      <t xml:space="preserve"> Table A.12</t>
    </r>
  </si>
  <si>
    <t>MER, November 2019, Table 4.3.  This table has been downloaded and inserted as a separate worksheet in this spreadsheet.</t>
  </si>
  <si>
    <t>Fuel Type Shares  -  ORNL Transportation Energy Data Book, Ed. 35, for most recent estimates of shares by type of fuel</t>
  </si>
  <si>
    <t>(Tables A.1, A.5, and A.6)</t>
  </si>
  <si>
    <r>
      <t xml:space="preserve">1970-80: DOE, Energy Information Administration, Office of Energy Markets and End Use. </t>
    </r>
    <r>
      <rPr>
        <i/>
        <sz val="10"/>
        <rFont val="Arial"/>
        <family val="2"/>
      </rPr>
      <t>Residential Energy Consumption Survey: Consumption patterns of Household Vehicles: June 1979 to December 1980</t>
    </r>
    <r>
      <rPr>
        <sz val="10"/>
        <rFont val="Arial"/>
        <family val="2"/>
      </rPr>
      <t>. Washington, DC, p. 10.</t>
    </r>
  </si>
  <si>
    <r>
      <t xml:space="preserve">1981-82: DOE, Energy Information Administration, Office of Energy Markets and End Use. </t>
    </r>
    <r>
      <rPr>
        <i/>
        <sz val="10"/>
        <rFont val="Arial"/>
        <family val="2"/>
      </rPr>
      <t>Residential Energy Consumption Survey: Consumption patterns of Household Vehicles, Supplement: January 1981 to September 1981</t>
    </r>
    <r>
      <rPr>
        <sz val="10"/>
        <rFont val="Arial"/>
        <family val="2"/>
      </rPr>
      <t>. Washington, DC, pp. 11, 13.</t>
    </r>
  </si>
  <si>
    <r>
      <t xml:space="preserve">1983-84: DOE, Energy Information Administration, Office of Energy Markets and End Use. 1985. </t>
    </r>
    <r>
      <rPr>
        <i/>
        <sz val="10"/>
        <rFont val="Arial"/>
        <family val="2"/>
      </rPr>
      <t>Residential Transportation Energy Consumption Survey: Consumption patterns of Household Vehicles, 1983</t>
    </r>
    <r>
      <rPr>
        <sz val="10"/>
        <rFont val="Arial"/>
        <family val="2"/>
      </rPr>
      <t>. Washington, DC, January, pp. 7, 9.</t>
    </r>
  </si>
  <si>
    <r>
      <t xml:space="preserve">1985-87: DOE, Energy Information Administration, Office of Energy Markets and End Use. 1987. </t>
    </r>
    <r>
      <rPr>
        <i/>
        <sz val="10"/>
        <rFont val="Arial"/>
        <family val="2"/>
      </rPr>
      <t>Residential Transportation Energy Consumption Survey: Consumption patterns of Household Vehicles, 1985</t>
    </r>
    <r>
      <rPr>
        <sz val="10"/>
        <rFont val="Arial"/>
        <family val="2"/>
      </rPr>
      <t>. Washington, DC, April, pp. 25, 27.</t>
    </r>
  </si>
  <si>
    <r>
      <t xml:space="preserve">1988-90: DOE, Energy Information Administration, Office of Energy Markets and End Use, Energy End Use Division. 1990. </t>
    </r>
    <r>
      <rPr>
        <i/>
        <sz val="10"/>
        <rFont val="Arial"/>
        <family val="2"/>
      </rPr>
      <t>Residential Transportation Energy Consumption Survey: Consumption patterns of Household Vehicles 1988</t>
    </r>
    <r>
      <rPr>
        <sz val="10"/>
        <rFont val="Arial"/>
        <family val="2"/>
      </rPr>
      <t>. Washington, DC, March, p. 65.</t>
    </r>
  </si>
  <si>
    <r>
      <t xml:space="preserve">1991-93: DOE, Energy Information Administration, Office of Energy Markets and End Use, Energy End Use Division. 1993. </t>
    </r>
    <r>
      <rPr>
        <i/>
        <sz val="10"/>
        <rFont val="Arial"/>
        <family val="2"/>
      </rPr>
      <t>Household Vehicles Energy Consumption 1991</t>
    </r>
    <r>
      <rPr>
        <sz val="10"/>
        <rFont val="Arial"/>
        <family val="2"/>
      </rPr>
      <t>. Washington, DC, December, p. 46.</t>
    </r>
  </si>
  <si>
    <t>See Table A.1 in TEDB-38 for complete history of sources used for estimates of shares by type of fuel</t>
  </si>
  <si>
    <t>Light Trucks, Other Single Unit Trucks, Combination Trucks</t>
  </si>
  <si>
    <t>1970-86: 1982 Truck Inventory and Use Survey (TIUS) Public Use Tapes.</t>
  </si>
  <si>
    <t>1987-91: 1987 Truck Inventory and Use Survey (TIUS).</t>
  </si>
  <si>
    <t>1992-96: 1992 Truck Inventory and Use Survey (TIUS).</t>
  </si>
  <si>
    <t>1997-2001: 1997 Vehicle Inventory and Use Survey (VIUS).</t>
  </si>
  <si>
    <t>2002-2017:</t>
  </si>
  <si>
    <t>See Table A.5 in TEDB-38 for complete history of sources used for estimates of shares by type of fuel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</si>
</sst>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0"/>
    <numFmt numFmtId="165" formatCode="0.000"/>
    <numFmt numFmtId="166" formatCode="0.0"/>
    <numFmt numFmtId="167" formatCode="#,##0.000"/>
    <numFmt numFmtId="168" formatCode="#,##0.00000"/>
    <numFmt numFmtId="169" formatCode="0.0000"/>
  </numFmts>
  <fonts count="35" x14ac:knownFonts="1">
    <font>
      <sz val="10"/>
      <name val="Arial"/>
    </font>
    <font>
      <sz val="14"/>
      <name val="Arial"/>
      <family val="2"/>
    </font>
    <font>
      <b/>
      <sz val="10"/>
      <name val="Arial"/>
      <family val="2"/>
    </font>
    <font>
      <b/>
      <sz val="12"/>
      <name val="Arial"/>
      <family val="2"/>
    </font>
    <font>
      <sz val="10"/>
      <color indexed="48"/>
      <name val="Arial"/>
      <family val="2"/>
    </font>
    <font>
      <b/>
      <i/>
      <sz val="10"/>
      <name val="Arial"/>
      <family val="2"/>
    </font>
    <font>
      <b/>
      <sz val="11"/>
      <name val="Arial"/>
      <family val="2"/>
    </font>
    <font>
      <sz val="10"/>
      <color indexed="9"/>
      <name val="Arial"/>
      <family val="2"/>
    </font>
    <font>
      <b/>
      <sz val="10"/>
      <color indexed="9"/>
      <name val="Arial"/>
      <family val="2"/>
    </font>
    <font>
      <sz val="10"/>
      <name val="Arial"/>
      <family val="2"/>
    </font>
    <font>
      <sz val="10"/>
      <color indexed="8"/>
      <name val="Arial"/>
      <family val="2"/>
    </font>
    <font>
      <sz val="10"/>
      <color indexed="53"/>
      <name val="Arial"/>
      <family val="2"/>
    </font>
    <font>
      <sz val="10"/>
      <color indexed="52"/>
      <name val="Arial"/>
      <family val="2"/>
    </font>
    <font>
      <sz val="10"/>
      <color indexed="10"/>
      <name val="Arial"/>
      <family val="2"/>
    </font>
    <font>
      <sz val="10"/>
      <color rgb="FFFF0000"/>
      <name val="Arial"/>
      <family val="2"/>
    </font>
    <font>
      <sz val="8"/>
      <name val="Helv"/>
    </font>
    <font>
      <sz val="11"/>
      <name val="Arial"/>
      <family val="2"/>
    </font>
    <font>
      <sz val="10"/>
      <color theme="1"/>
      <name val="Arial"/>
      <family val="2"/>
    </font>
    <font>
      <sz val="11"/>
      <color indexed="10"/>
      <name val="Arial"/>
      <family val="2"/>
    </font>
    <font>
      <b/>
      <i/>
      <sz val="10"/>
      <color indexed="10"/>
      <name val="Arial"/>
      <family val="2"/>
    </font>
    <font>
      <u/>
      <sz val="10"/>
      <color indexed="12"/>
      <name val="Arial"/>
      <family val="2"/>
    </font>
    <font>
      <i/>
      <sz val="10"/>
      <name val="Arial"/>
      <family val="2"/>
    </font>
    <font>
      <sz val="10"/>
      <color theme="9" tint="-0.249977111117893"/>
      <name val="Arial"/>
      <family val="2"/>
    </font>
    <font>
      <i/>
      <sz val="10"/>
      <color theme="9" tint="-0.249977111117893"/>
      <name val="Arial"/>
      <family val="2"/>
    </font>
    <font>
      <b/>
      <sz val="9"/>
      <color theme="9" tint="-0.249977111117893"/>
      <name val="Arial"/>
      <family val="2"/>
    </font>
    <font>
      <b/>
      <u/>
      <sz val="9"/>
      <color theme="9" tint="-0.249977111117893"/>
      <name val="Arial"/>
      <family val="2"/>
    </font>
    <font>
      <b/>
      <sz val="9"/>
      <name val="Arial"/>
      <family val="2"/>
    </font>
    <font>
      <b/>
      <i/>
      <sz val="9"/>
      <color theme="9" tint="-0.249977111117893"/>
      <name val="Arial"/>
      <family val="2"/>
    </font>
    <font>
      <b/>
      <u/>
      <sz val="9"/>
      <color indexed="12"/>
      <name val="Arial"/>
      <family val="2"/>
    </font>
    <font>
      <sz val="9"/>
      <name val="Arial"/>
      <family val="2"/>
    </font>
    <font>
      <i/>
      <sz val="10"/>
      <color indexed="53"/>
      <name val="Arial"/>
      <family val="2"/>
    </font>
    <font>
      <i/>
      <u/>
      <sz val="10"/>
      <color indexed="53"/>
      <name val="Arial"/>
      <family val="2"/>
    </font>
    <font>
      <sz val="10"/>
      <color indexed="12"/>
      <name val="Arial"/>
      <family val="2"/>
    </font>
    <font>
      <b/>
      <sz val="8"/>
      <color indexed="81"/>
      <name val="Tahoma"/>
      <family val="2"/>
    </font>
    <font>
      <sz val="8"/>
      <color indexed="81"/>
      <name val="Tahoma"/>
      <family val="2"/>
    </font>
  </fonts>
  <fills count="23">
    <fill>
      <patternFill patternType="none"/>
    </fill>
    <fill>
      <patternFill patternType="gray125"/>
    </fill>
    <fill>
      <patternFill patternType="solid">
        <fgColor indexed="48"/>
        <bgColor indexed="64"/>
      </patternFill>
    </fill>
    <fill>
      <patternFill patternType="solid">
        <fgColor indexed="12"/>
        <bgColor indexed="64"/>
      </patternFill>
    </fill>
    <fill>
      <patternFill patternType="solid">
        <fgColor indexed="18"/>
        <bgColor indexed="64"/>
      </patternFill>
    </fill>
    <fill>
      <patternFill patternType="solid">
        <fgColor indexed="21"/>
        <bgColor indexed="64"/>
      </patternFill>
    </fill>
    <fill>
      <patternFill patternType="solid">
        <fgColor indexed="43"/>
        <bgColor indexed="64"/>
      </patternFill>
    </fill>
    <fill>
      <patternFill patternType="solid">
        <fgColor indexed="22"/>
        <bgColor indexed="64"/>
      </patternFill>
    </fill>
    <fill>
      <patternFill patternType="solid">
        <fgColor theme="5" tint="0.39997558519241921"/>
        <bgColor indexed="64"/>
      </patternFill>
    </fill>
    <fill>
      <patternFill patternType="solid">
        <fgColor indexed="54"/>
        <bgColor indexed="64"/>
      </patternFill>
    </fill>
    <fill>
      <patternFill patternType="solid">
        <fgColor indexed="11"/>
        <bgColor indexed="64"/>
      </patternFill>
    </fill>
    <fill>
      <patternFill patternType="solid">
        <fgColor theme="9" tint="0.79998168889431442"/>
        <bgColor indexed="64"/>
      </patternFill>
    </fill>
    <fill>
      <patternFill patternType="solid">
        <fgColor indexed="52"/>
        <bgColor indexed="64"/>
      </patternFill>
    </fill>
    <fill>
      <patternFill patternType="solid">
        <fgColor indexed="42"/>
        <bgColor indexed="64"/>
      </patternFill>
    </fill>
    <fill>
      <patternFill patternType="solid">
        <fgColor indexed="47"/>
        <bgColor indexed="64"/>
      </patternFill>
    </fill>
    <fill>
      <patternFill patternType="solid">
        <fgColor rgb="FFFFC000"/>
        <bgColor indexed="64"/>
      </patternFill>
    </fill>
    <fill>
      <patternFill patternType="solid">
        <fgColor indexed="45"/>
        <bgColor indexed="64"/>
      </patternFill>
    </fill>
    <fill>
      <patternFill patternType="solid">
        <fgColor theme="0"/>
        <bgColor indexed="64"/>
      </patternFill>
    </fill>
    <fill>
      <patternFill patternType="solid">
        <fgColor indexed="41"/>
        <bgColor indexed="64"/>
      </patternFill>
    </fill>
    <fill>
      <patternFill patternType="solid">
        <fgColor indexed="62"/>
        <bgColor indexed="64"/>
      </patternFill>
    </fill>
    <fill>
      <patternFill patternType="solid">
        <fgColor theme="9" tint="0.59999389629810485"/>
        <bgColor indexed="64"/>
      </patternFill>
    </fill>
    <fill>
      <patternFill patternType="solid">
        <fgColor theme="5" tint="0.79998168889431442"/>
        <bgColor indexed="64"/>
      </patternFill>
    </fill>
    <fill>
      <patternFill patternType="solid">
        <fgColor indexed="13"/>
        <bgColor indexed="64"/>
      </patternFill>
    </fill>
  </fills>
  <borders count="17">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right/>
      <top/>
      <bottom style="medium">
        <color indexed="64"/>
      </bottom>
      <diagonal/>
    </border>
  </borders>
  <cellStyleXfs count="3">
    <xf numFmtId="1" fontId="0" fillId="0" borderId="0"/>
    <xf numFmtId="0" fontId="20" fillId="0" borderId="0" applyNumberFormat="0" applyFill="0" applyBorder="0" applyAlignment="0" applyProtection="0">
      <alignment vertical="top"/>
      <protection locked="0"/>
    </xf>
    <xf numFmtId="0" fontId="15" fillId="0" borderId="0">
      <alignment horizontal="left"/>
    </xf>
  </cellStyleXfs>
  <cellXfs count="209">
    <xf numFmtId="1" fontId="0" fillId="0" borderId="0" xfId="0"/>
    <xf numFmtId="1" fontId="1" fillId="0" borderId="0" xfId="0" applyFont="1"/>
    <xf numFmtId="1" fontId="1" fillId="0" borderId="0" xfId="0" applyFont="1" applyAlignment="1">
      <alignment wrapText="1"/>
    </xf>
    <xf numFmtId="1" fontId="0" fillId="0" borderId="0" xfId="0" applyAlignment="1">
      <alignment wrapText="1"/>
    </xf>
    <xf numFmtId="1" fontId="0" fillId="0" borderId="0" xfId="0" applyAlignment="1">
      <alignment wrapText="1"/>
    </xf>
    <xf numFmtId="1" fontId="2" fillId="0" borderId="0" xfId="0" applyFont="1" applyAlignment="1">
      <alignment wrapText="1"/>
    </xf>
    <xf numFmtId="1" fontId="3" fillId="0" borderId="0" xfId="0" applyFont="1" applyAlignment="1">
      <alignment wrapText="1"/>
    </xf>
    <xf numFmtId="1" fontId="3" fillId="0" borderId="0" xfId="0" applyFont="1" applyAlignment="1">
      <alignment wrapText="1"/>
    </xf>
    <xf numFmtId="1" fontId="0" fillId="0" borderId="0" xfId="0"/>
    <xf numFmtId="1" fontId="4" fillId="2" borderId="0" xfId="0" applyFont="1" applyFill="1"/>
    <xf numFmtId="1" fontId="2" fillId="0" borderId="0" xfId="0" applyFont="1"/>
    <xf numFmtId="1" fontId="4" fillId="3" borderId="0" xfId="0" applyFont="1" applyFill="1"/>
    <xf numFmtId="1" fontId="0" fillId="2" borderId="0" xfId="0" applyFill="1"/>
    <xf numFmtId="1" fontId="5" fillId="0" borderId="0" xfId="0" applyFont="1"/>
    <xf numFmtId="1" fontId="6" fillId="0" borderId="0" xfId="0" applyFont="1"/>
    <xf numFmtId="1" fontId="7" fillId="4" borderId="1" xfId="0" applyFont="1" applyFill="1" applyBorder="1" applyAlignment="1">
      <alignment wrapText="1"/>
    </xf>
    <xf numFmtId="1" fontId="8" fillId="4" borderId="2" xfId="0" applyFont="1" applyFill="1" applyBorder="1" applyAlignment="1">
      <alignment wrapText="1"/>
    </xf>
    <xf numFmtId="1" fontId="7" fillId="4" borderId="2" xfId="0" applyFont="1" applyFill="1" applyBorder="1" applyAlignment="1">
      <alignment wrapText="1"/>
    </xf>
    <xf numFmtId="1" fontId="7" fillId="4" borderId="2" xfId="0" applyFont="1" applyFill="1" applyBorder="1"/>
    <xf numFmtId="1" fontId="7" fillId="4" borderId="3" xfId="0" applyFont="1" applyFill="1" applyBorder="1"/>
    <xf numFmtId="1" fontId="7" fillId="5" borderId="1" xfId="0" applyFont="1" applyFill="1" applyBorder="1"/>
    <xf numFmtId="1" fontId="8" fillId="5" borderId="2" xfId="0" applyFont="1" applyFill="1" applyBorder="1"/>
    <xf numFmtId="1" fontId="7" fillId="5" borderId="3" xfId="0" applyFont="1" applyFill="1" applyBorder="1"/>
    <xf numFmtId="1" fontId="7" fillId="4" borderId="1" xfId="0" applyFont="1" applyFill="1" applyBorder="1"/>
    <xf numFmtId="1" fontId="8" fillId="5" borderId="3" xfId="0" applyFont="1" applyFill="1" applyBorder="1"/>
    <xf numFmtId="1" fontId="8" fillId="4" borderId="0" xfId="0" applyFont="1" applyFill="1"/>
    <xf numFmtId="1" fontId="7" fillId="4" borderId="0" xfId="0" applyFont="1" applyFill="1"/>
    <xf numFmtId="1" fontId="7" fillId="0" borderId="0" xfId="0" applyFont="1"/>
    <xf numFmtId="1" fontId="0" fillId="0" borderId="0" xfId="0" quotePrefix="1"/>
    <xf numFmtId="1" fontId="8" fillId="0" borderId="0" xfId="0" applyFont="1"/>
    <xf numFmtId="1" fontId="0" fillId="6" borderId="4" xfId="0" applyFill="1" applyBorder="1" applyAlignment="1">
      <alignment wrapText="1"/>
    </xf>
    <xf numFmtId="1" fontId="2" fillId="7" borderId="1" xfId="0" applyFont="1" applyFill="1" applyBorder="1" applyAlignment="1">
      <alignment wrapText="1"/>
    </xf>
    <xf numFmtId="1" fontId="2" fillId="7" borderId="2" xfId="0" applyFont="1" applyFill="1" applyBorder="1" applyAlignment="1">
      <alignment wrapText="1"/>
    </xf>
    <xf numFmtId="1" fontId="2" fillId="7" borderId="3" xfId="0" applyFont="1" applyFill="1" applyBorder="1" applyAlignment="1">
      <alignment wrapText="1"/>
    </xf>
    <xf numFmtId="1" fontId="2" fillId="7" borderId="1" xfId="0" applyFont="1" applyFill="1" applyBorder="1"/>
    <xf numFmtId="1" fontId="0" fillId="0" borderId="2" xfId="0" applyBorder="1"/>
    <xf numFmtId="1" fontId="0" fillId="0" borderId="3" xfId="0" applyBorder="1"/>
    <xf numFmtId="1" fontId="2" fillId="7" borderId="3" xfId="0" applyFont="1" applyFill="1" applyBorder="1"/>
    <xf numFmtId="1" fontId="2" fillId="7" borderId="5" xfId="0" applyFont="1" applyFill="1" applyBorder="1" applyAlignment="1">
      <alignment wrapText="1"/>
    </xf>
    <xf numFmtId="1" fontId="2" fillId="8" borderId="6" xfId="0" applyFont="1" applyFill="1" applyBorder="1" applyAlignment="1">
      <alignment wrapText="1"/>
    </xf>
    <xf numFmtId="1" fontId="2" fillId="8" borderId="7" xfId="0" applyFont="1" applyFill="1" applyBorder="1" applyAlignment="1">
      <alignment wrapText="1"/>
    </xf>
    <xf numFmtId="1" fontId="0" fillId="6" borderId="4" xfId="0" applyFill="1" applyBorder="1"/>
    <xf numFmtId="1" fontId="2" fillId="7" borderId="1" xfId="0" applyFont="1" applyFill="1" applyBorder="1" applyAlignment="1">
      <alignment horizontal="center" wrapText="1"/>
    </xf>
    <xf numFmtId="1" fontId="2" fillId="7" borderId="3" xfId="0" applyFont="1" applyFill="1" applyBorder="1" applyAlignment="1">
      <alignment horizontal="center" wrapText="1"/>
    </xf>
    <xf numFmtId="1" fontId="2" fillId="7" borderId="2" xfId="0" applyFont="1" applyFill="1" applyBorder="1" applyAlignment="1">
      <alignment horizontal="center" wrapText="1"/>
    </xf>
    <xf numFmtId="1" fontId="0" fillId="0" borderId="2" xfId="0" applyBorder="1" applyAlignment="1">
      <alignment horizontal="center" wrapText="1"/>
    </xf>
    <xf numFmtId="1" fontId="2" fillId="7" borderId="2" xfId="0" applyFont="1" applyFill="1" applyBorder="1" applyAlignment="1">
      <alignment wrapText="1"/>
    </xf>
    <xf numFmtId="1" fontId="2" fillId="7" borderId="8" xfId="0" applyFont="1" applyFill="1" applyBorder="1" applyAlignment="1">
      <alignment wrapText="1"/>
    </xf>
    <xf numFmtId="1" fontId="2" fillId="6" borderId="9" xfId="0" applyFont="1" applyFill="1" applyBorder="1" applyAlignment="1">
      <alignment wrapText="1"/>
    </xf>
    <xf numFmtId="1" fontId="2" fillId="7" borderId="10" xfId="0" applyFont="1" applyFill="1" applyBorder="1"/>
    <xf numFmtId="1" fontId="2" fillId="7" borderId="0" xfId="0" applyFont="1" applyFill="1" applyAlignment="1">
      <alignment wrapText="1"/>
    </xf>
    <xf numFmtId="1" fontId="2" fillId="7" borderId="11" xfId="0" applyFont="1" applyFill="1" applyBorder="1" applyAlignment="1">
      <alignment wrapText="1"/>
    </xf>
    <xf numFmtId="1" fontId="2" fillId="7" borderId="10" xfId="0" applyFont="1" applyFill="1" applyBorder="1" applyAlignment="1">
      <alignment wrapText="1"/>
    </xf>
    <xf numFmtId="1" fontId="2" fillId="7" borderId="6" xfId="0" applyFont="1" applyFill="1" applyBorder="1" applyAlignment="1">
      <alignment wrapText="1"/>
    </xf>
    <xf numFmtId="1" fontId="2" fillId="7" borderId="7" xfId="0" applyFont="1" applyFill="1" applyBorder="1" applyAlignment="1">
      <alignment wrapText="1"/>
    </xf>
    <xf numFmtId="1" fontId="2" fillId="7" borderId="5" xfId="0" applyFont="1" applyFill="1" applyBorder="1" applyAlignment="1">
      <alignment horizontal="center" wrapText="1"/>
    </xf>
    <xf numFmtId="1" fontId="2" fillId="7" borderId="6" xfId="0" applyFont="1" applyFill="1" applyBorder="1" applyAlignment="1">
      <alignment horizontal="center" wrapText="1"/>
    </xf>
    <xf numFmtId="1" fontId="2" fillId="7" borderId="7" xfId="0" applyFont="1" applyFill="1" applyBorder="1" applyAlignment="1">
      <alignment horizontal="center" wrapText="1"/>
    </xf>
    <xf numFmtId="1" fontId="2" fillId="6" borderId="11" xfId="0" applyFont="1" applyFill="1" applyBorder="1" applyAlignment="1">
      <alignment wrapText="1"/>
    </xf>
    <xf numFmtId="1" fontId="2" fillId="7" borderId="0" xfId="0" applyFont="1" applyFill="1" applyAlignment="1">
      <alignment horizontal="center" wrapText="1"/>
    </xf>
    <xf numFmtId="1" fontId="9" fillId="7" borderId="0" xfId="0" applyFont="1" applyFill="1" applyAlignment="1">
      <alignment wrapText="1"/>
    </xf>
    <xf numFmtId="1" fontId="0" fillId="7" borderId="0" xfId="0" applyFill="1" applyAlignment="1">
      <alignment wrapText="1"/>
    </xf>
    <xf numFmtId="1" fontId="0" fillId="6" borderId="9" xfId="0" applyFill="1" applyBorder="1"/>
    <xf numFmtId="3" fontId="9" fillId="0" borderId="10" xfId="0" applyNumberFormat="1" applyFont="1" applyBorder="1"/>
    <xf numFmtId="3" fontId="9" fillId="0" borderId="0" xfId="0" applyNumberFormat="1" applyFont="1"/>
    <xf numFmtId="3" fontId="9" fillId="0" borderId="11" xfId="0" applyNumberFormat="1" applyFont="1" applyBorder="1"/>
    <xf numFmtId="1" fontId="9" fillId="0" borderId="10" xfId="0" applyFont="1" applyBorder="1"/>
    <xf numFmtId="1" fontId="9" fillId="0" borderId="0" xfId="0" applyFont="1"/>
    <xf numFmtId="1" fontId="9" fillId="0" borderId="11" xfId="0" applyFont="1" applyBorder="1"/>
    <xf numFmtId="1" fontId="0" fillId="0" borderId="10" xfId="0" applyBorder="1"/>
    <xf numFmtId="1" fontId="0" fillId="0" borderId="11" xfId="0" applyBorder="1"/>
    <xf numFmtId="4" fontId="9" fillId="0" borderId="0" xfId="0" applyNumberFormat="1" applyFont="1"/>
    <xf numFmtId="4" fontId="9" fillId="0" borderId="10" xfId="0" applyNumberFormat="1" applyFont="1" applyBorder="1"/>
    <xf numFmtId="4" fontId="9" fillId="0" borderId="11" xfId="0" applyNumberFormat="1" applyFont="1" applyBorder="1"/>
    <xf numFmtId="1" fontId="0" fillId="6" borderId="11" xfId="0" applyFill="1" applyBorder="1"/>
    <xf numFmtId="164" fontId="9" fillId="0" borderId="10" xfId="0" applyNumberFormat="1" applyFont="1" applyBorder="1"/>
    <xf numFmtId="164" fontId="0" fillId="0" borderId="11" xfId="0" applyNumberFormat="1" applyBorder="1"/>
    <xf numFmtId="164" fontId="0" fillId="0" borderId="10" xfId="0" applyNumberFormat="1" applyBorder="1"/>
    <xf numFmtId="3" fontId="0" fillId="0" borderId="9" xfId="0" applyNumberFormat="1" applyBorder="1"/>
    <xf numFmtId="3" fontId="0" fillId="0" borderId="10" xfId="0" applyNumberFormat="1" applyBorder="1"/>
    <xf numFmtId="3" fontId="0" fillId="0" borderId="0" xfId="0" applyNumberFormat="1"/>
    <xf numFmtId="1" fontId="0" fillId="9" borderId="11" xfId="0" applyFill="1" applyBorder="1"/>
    <xf numFmtId="165" fontId="9" fillId="0" borderId="0" xfId="0" applyNumberFormat="1" applyFont="1"/>
    <xf numFmtId="165" fontId="4" fillId="2" borderId="0" xfId="0" applyNumberFormat="1" applyFont="1" applyFill="1"/>
    <xf numFmtId="165" fontId="4" fillId="3" borderId="0" xfId="0" applyNumberFormat="1" applyFont="1" applyFill="1"/>
    <xf numFmtId="165" fontId="9" fillId="2" borderId="0" xfId="0" applyNumberFormat="1" applyFont="1" applyFill="1"/>
    <xf numFmtId="166" fontId="0" fillId="0" borderId="0" xfId="0" applyNumberFormat="1"/>
    <xf numFmtId="166" fontId="0" fillId="10" borderId="0" xfId="0" applyNumberFormat="1" applyFill="1"/>
    <xf numFmtId="3" fontId="0" fillId="0" borderId="11" xfId="0" applyNumberFormat="1" applyBorder="1"/>
    <xf numFmtId="4" fontId="0" fillId="0" borderId="0" xfId="0" applyNumberFormat="1"/>
    <xf numFmtId="4" fontId="0" fillId="0" borderId="10" xfId="0" applyNumberFormat="1" applyBorder="1"/>
    <xf numFmtId="4" fontId="0" fillId="0" borderId="11" xfId="0" applyNumberFormat="1" applyBorder="1"/>
    <xf numFmtId="167" fontId="0" fillId="0" borderId="10" xfId="0" applyNumberFormat="1" applyBorder="1"/>
    <xf numFmtId="167" fontId="0" fillId="0" borderId="0" xfId="0" applyNumberFormat="1"/>
    <xf numFmtId="1" fontId="0" fillId="0" borderId="12" xfId="0" applyBorder="1"/>
    <xf numFmtId="167" fontId="0" fillId="0" borderId="11" xfId="0" applyNumberFormat="1" applyBorder="1"/>
    <xf numFmtId="3" fontId="10" fillId="0" borderId="10" xfId="0" applyNumberFormat="1" applyFont="1" applyBorder="1" applyAlignment="1">
      <alignment vertical="center"/>
    </xf>
    <xf numFmtId="3" fontId="10" fillId="11" borderId="10" xfId="0" applyNumberFormat="1" applyFont="1" applyFill="1" applyBorder="1" applyAlignment="1">
      <alignment vertical="center"/>
    </xf>
    <xf numFmtId="4" fontId="0" fillId="8" borderId="10" xfId="0" applyNumberFormat="1" applyFill="1" applyBorder="1"/>
    <xf numFmtId="4" fontId="0" fillId="8" borderId="11" xfId="0" applyNumberFormat="1" applyFill="1" applyBorder="1"/>
    <xf numFmtId="3" fontId="11" fillId="0" borderId="0" xfId="0" applyNumberFormat="1" applyFont="1"/>
    <xf numFmtId="167" fontId="0" fillId="12" borderId="11" xfId="0" applyNumberFormat="1" applyFill="1" applyBorder="1"/>
    <xf numFmtId="1" fontId="0" fillId="0" borderId="9" xfId="0" applyBorder="1"/>
    <xf numFmtId="165" fontId="0" fillId="0" borderId="0" xfId="0" applyNumberFormat="1"/>
    <xf numFmtId="3" fontId="0" fillId="13" borderId="0" xfId="0" applyNumberFormat="1" applyFill="1"/>
    <xf numFmtId="167" fontId="9" fillId="14" borderId="10" xfId="0" applyNumberFormat="1" applyFont="1" applyFill="1" applyBorder="1"/>
    <xf numFmtId="167" fontId="9" fillId="14" borderId="11" xfId="0" applyNumberFormat="1" applyFont="1" applyFill="1" applyBorder="1"/>
    <xf numFmtId="167" fontId="9" fillId="0" borderId="0" xfId="0" applyNumberFormat="1" applyFont="1"/>
    <xf numFmtId="167" fontId="0" fillId="14" borderId="11" xfId="0" applyNumberFormat="1" applyFill="1" applyBorder="1"/>
    <xf numFmtId="1" fontId="9" fillId="14" borderId="10" xfId="0" applyFont="1" applyFill="1" applyBorder="1"/>
    <xf numFmtId="3" fontId="9" fillId="0" borderId="9" xfId="0" applyNumberFormat="1" applyFont="1" applyBorder="1"/>
    <xf numFmtId="164" fontId="9" fillId="0" borderId="0" xfId="0" applyNumberFormat="1" applyFont="1"/>
    <xf numFmtId="4" fontId="0" fillId="0" borderId="12" xfId="0" applyNumberFormat="1" applyBorder="1"/>
    <xf numFmtId="4" fontId="0" fillId="0" borderId="13" xfId="0" applyNumberFormat="1" applyBorder="1"/>
    <xf numFmtId="4" fontId="0" fillId="8" borderId="14" xfId="0" applyNumberFormat="1" applyFill="1" applyBorder="1"/>
    <xf numFmtId="4" fontId="0" fillId="8" borderId="13" xfId="0" applyNumberFormat="1" applyFill="1" applyBorder="1"/>
    <xf numFmtId="3" fontId="11" fillId="0" borderId="11" xfId="0" applyNumberFormat="1" applyFont="1" applyBorder="1"/>
    <xf numFmtId="164" fontId="0" fillId="0" borderId="0" xfId="0" applyNumberFormat="1"/>
    <xf numFmtId="167" fontId="0" fillId="0" borderId="14" xfId="0" applyNumberFormat="1" applyBorder="1"/>
    <xf numFmtId="167" fontId="0" fillId="0" borderId="13" xfId="0" applyNumberFormat="1" applyBorder="1"/>
    <xf numFmtId="3" fontId="0" fillId="0" borderId="15" xfId="0" applyNumberFormat="1" applyBorder="1"/>
    <xf numFmtId="165" fontId="0" fillId="15" borderId="0" xfId="0" applyNumberFormat="1" applyFill="1"/>
    <xf numFmtId="167" fontId="9" fillId="0" borderId="10" xfId="0" applyNumberFormat="1" applyFont="1" applyBorder="1"/>
    <xf numFmtId="167" fontId="9" fillId="0" borderId="11" xfId="0" applyNumberFormat="1" applyFont="1" applyBorder="1"/>
    <xf numFmtId="3" fontId="9" fillId="14" borderId="10" xfId="0" applyNumberFormat="1" applyFont="1" applyFill="1" applyBorder="1"/>
    <xf numFmtId="3" fontId="11" fillId="0" borderId="9" xfId="0" applyNumberFormat="1" applyFont="1" applyBorder="1"/>
    <xf numFmtId="3" fontId="0" fillId="0" borderId="13" xfId="0" applyNumberFormat="1" applyBorder="1"/>
    <xf numFmtId="3" fontId="0" fillId="16" borderId="11" xfId="0" applyNumberFormat="1" applyFill="1" applyBorder="1"/>
    <xf numFmtId="167" fontId="0" fillId="0" borderId="12" xfId="0" applyNumberFormat="1" applyBorder="1"/>
    <xf numFmtId="167" fontId="0" fillId="0" borderId="15" xfId="0" applyNumberFormat="1" applyBorder="1"/>
    <xf numFmtId="3" fontId="11" fillId="0" borderId="13" xfId="0" applyNumberFormat="1" applyFont="1" applyBorder="1"/>
    <xf numFmtId="167" fontId="12" fillId="0" borderId="0" xfId="0" applyNumberFormat="1" applyFont="1"/>
    <xf numFmtId="166" fontId="12" fillId="0" borderId="0" xfId="0" applyNumberFormat="1" applyFont="1"/>
    <xf numFmtId="166" fontId="11" fillId="0" borderId="0" xfId="0" applyNumberFormat="1" applyFont="1"/>
    <xf numFmtId="1" fontId="0" fillId="15" borderId="0" xfId="0" applyFill="1"/>
    <xf numFmtId="165" fontId="0" fillId="17" borderId="0" xfId="0" applyNumberFormat="1" applyFill="1"/>
    <xf numFmtId="167" fontId="4" fillId="0" borderId="11" xfId="0" applyNumberFormat="1" applyFont="1" applyBorder="1"/>
    <xf numFmtId="167" fontId="0" fillId="12" borderId="0" xfId="0" applyNumberFormat="1" applyFill="1"/>
    <xf numFmtId="3" fontId="9" fillId="11" borderId="10" xfId="0" applyNumberFormat="1" applyFont="1" applyFill="1" applyBorder="1"/>
    <xf numFmtId="167" fontId="0" fillId="0" borderId="9" xfId="0" applyNumberFormat="1" applyBorder="1"/>
    <xf numFmtId="166" fontId="9" fillId="0" borderId="0" xfId="0" applyNumberFormat="1" applyFont="1"/>
    <xf numFmtId="1" fontId="0" fillId="17" borderId="0" xfId="0" applyFill="1"/>
    <xf numFmtId="3" fontId="9" fillId="18" borderId="10" xfId="0" applyNumberFormat="1" applyFont="1" applyFill="1" applyBorder="1"/>
    <xf numFmtId="167" fontId="9" fillId="0" borderId="9" xfId="0" applyNumberFormat="1" applyFont="1" applyBorder="1"/>
    <xf numFmtId="3" fontId="0" fillId="0" borderId="16" xfId="0" applyNumberFormat="1" applyBorder="1"/>
    <xf numFmtId="1" fontId="0" fillId="6" borderId="0" xfId="0" applyFill="1"/>
    <xf numFmtId="1" fontId="0" fillId="9" borderId="13" xfId="0" applyFill="1" applyBorder="1"/>
    <xf numFmtId="167" fontId="13" fillId="0" borderId="0" xfId="0" applyNumberFormat="1" applyFont="1"/>
    <xf numFmtId="4" fontId="13" fillId="19" borderId="0" xfId="0" applyNumberFormat="1" applyFont="1" applyFill="1"/>
    <xf numFmtId="4" fontId="14" fillId="8" borderId="0" xfId="0" applyNumberFormat="1" applyFont="1" applyFill="1"/>
    <xf numFmtId="1" fontId="0" fillId="9" borderId="0" xfId="0" applyFill="1"/>
    <xf numFmtId="166" fontId="0" fillId="0" borderId="11" xfId="0" applyNumberFormat="1" applyBorder="1"/>
    <xf numFmtId="164" fontId="9" fillId="0" borderId="11" xfId="0" applyNumberFormat="1" applyFont="1" applyBorder="1"/>
    <xf numFmtId="4" fontId="13" fillId="0" borderId="0" xfId="0" applyNumberFormat="1" applyFont="1"/>
    <xf numFmtId="3" fontId="9" fillId="0" borderId="11" xfId="2" applyNumberFormat="1" applyFont="1" applyBorder="1" applyAlignment="1">
      <alignment horizontal="right"/>
    </xf>
    <xf numFmtId="3" fontId="16" fillId="0" borderId="0" xfId="2" applyNumberFormat="1" applyFont="1" applyAlignment="1">
      <alignment horizontal="right"/>
    </xf>
    <xf numFmtId="3" fontId="13" fillId="13" borderId="0" xfId="0" applyNumberFormat="1" applyFont="1" applyFill="1"/>
    <xf numFmtId="167" fontId="11" fillId="0" borderId="0" xfId="0" applyNumberFormat="1" applyFont="1"/>
    <xf numFmtId="166" fontId="0" fillId="0" borderId="10" xfId="0" applyNumberFormat="1" applyBorder="1"/>
    <xf numFmtId="3" fontId="9" fillId="0" borderId="9" xfId="2" applyNumberFormat="1" applyFont="1" applyBorder="1" applyAlignment="1">
      <alignment horizontal="right"/>
    </xf>
    <xf numFmtId="164" fontId="13" fillId="0" borderId="0" xfId="0" applyNumberFormat="1" applyFont="1"/>
    <xf numFmtId="1" fontId="0" fillId="20" borderId="0" xfId="0" applyFill="1"/>
    <xf numFmtId="168" fontId="9" fillId="0" borderId="0" xfId="0" applyNumberFormat="1" applyFont="1"/>
    <xf numFmtId="168" fontId="9" fillId="0" borderId="11" xfId="0" applyNumberFormat="1" applyFont="1" applyBorder="1"/>
    <xf numFmtId="164" fontId="14" fillId="0" borderId="0" xfId="0" applyNumberFormat="1" applyFont="1"/>
    <xf numFmtId="164" fontId="14" fillId="8" borderId="11" xfId="0" applyNumberFormat="1" applyFont="1" applyFill="1" applyBorder="1"/>
    <xf numFmtId="4" fontId="17" fillId="8" borderId="0" xfId="0" applyNumberFormat="1" applyFont="1" applyFill="1"/>
    <xf numFmtId="164" fontId="17" fillId="8" borderId="0" xfId="0" applyNumberFormat="1" applyFont="1" applyFill="1"/>
    <xf numFmtId="2" fontId="9" fillId="0" borderId="0" xfId="0" applyNumberFormat="1" applyFont="1"/>
    <xf numFmtId="3" fontId="9" fillId="0" borderId="0" xfId="2" applyNumberFormat="1" applyFont="1" applyAlignment="1">
      <alignment horizontal="right"/>
    </xf>
    <xf numFmtId="2" fontId="0" fillId="0" borderId="0" xfId="0" applyNumberFormat="1"/>
    <xf numFmtId="3" fontId="13" fillId="0" borderId="0" xfId="0" applyNumberFormat="1" applyFont="1"/>
    <xf numFmtId="3" fontId="18" fillId="0" borderId="0" xfId="2" applyNumberFormat="1" applyFont="1" applyAlignment="1">
      <alignment horizontal="right"/>
    </xf>
    <xf numFmtId="3" fontId="19" fillId="0" borderId="0" xfId="0" applyNumberFormat="1" applyFont="1"/>
    <xf numFmtId="3" fontId="16" fillId="0" borderId="0" xfId="0" applyNumberFormat="1" applyFont="1"/>
    <xf numFmtId="3" fontId="16" fillId="0" borderId="0" xfId="2" applyNumberFormat="1" applyFont="1" applyAlignment="1">
      <alignment horizontal="right" vertical="top"/>
    </xf>
    <xf numFmtId="3" fontId="20" fillId="0" borderId="0" xfId="1" applyNumberFormat="1" applyAlignment="1" applyProtection="1"/>
    <xf numFmtId="1" fontId="5" fillId="21" borderId="0" xfId="0" applyFont="1" applyFill="1"/>
    <xf numFmtId="1" fontId="21" fillId="0" borderId="0" xfId="0" applyFont="1"/>
    <xf numFmtId="169" fontId="0" fillId="0" borderId="0" xfId="0" applyNumberFormat="1"/>
    <xf numFmtId="49" fontId="9" fillId="0" borderId="0" xfId="0" applyNumberFormat="1" applyFont="1" applyAlignment="1">
      <alignment horizontal="left"/>
    </xf>
    <xf numFmtId="1" fontId="0" fillId="0" borderId="0" xfId="0" applyAlignment="1">
      <alignment horizontal="left"/>
    </xf>
    <xf numFmtId="49" fontId="9" fillId="0" borderId="0" xfId="0" applyNumberFormat="1" applyFont="1" applyAlignment="1">
      <alignment horizontal="left"/>
    </xf>
    <xf numFmtId="1" fontId="0" fillId="0" borderId="16" xfId="0" applyBorder="1" applyAlignment="1">
      <alignment vertical="justify" wrapText="1"/>
    </xf>
    <xf numFmtId="1" fontId="0" fillId="0" borderId="16" xfId="0" applyBorder="1"/>
    <xf numFmtId="1" fontId="0" fillId="0" borderId="0" xfId="0" applyAlignment="1">
      <alignment horizontal="left"/>
    </xf>
    <xf numFmtId="1" fontId="21" fillId="0" borderId="0" xfId="0" applyFont="1"/>
    <xf numFmtId="1" fontId="20" fillId="0" borderId="0" xfId="1" applyNumberFormat="1" applyAlignment="1" applyProtection="1"/>
    <xf numFmtId="2" fontId="0" fillId="22" borderId="0" xfId="0" applyNumberFormat="1" applyFill="1"/>
    <xf numFmtId="1" fontId="0" fillId="22" borderId="0" xfId="0" applyFill="1"/>
    <xf numFmtId="49" fontId="0" fillId="0" borderId="0" xfId="0" applyNumberFormat="1" applyAlignment="1">
      <alignment horizontal="left"/>
    </xf>
    <xf numFmtId="0" fontId="9" fillId="0" borderId="0" xfId="0" applyNumberFormat="1" applyFont="1"/>
    <xf numFmtId="0" fontId="0" fillId="0" borderId="0" xfId="0" applyNumberFormat="1"/>
    <xf numFmtId="0" fontId="2" fillId="0" borderId="0" xfId="0" applyNumberFormat="1" applyFont="1"/>
    <xf numFmtId="1" fontId="20" fillId="0" borderId="0" xfId="1" applyNumberFormat="1" applyFill="1" applyBorder="1" applyAlignment="1" applyProtection="1"/>
    <xf numFmtId="0" fontId="9" fillId="0" borderId="0" xfId="0" quotePrefix="1" applyNumberFormat="1" applyFont="1"/>
    <xf numFmtId="0" fontId="22" fillId="0" borderId="0" xfId="0" applyNumberFormat="1" applyFont="1"/>
    <xf numFmtId="1" fontId="22" fillId="0" borderId="0" xfId="0" applyFont="1"/>
    <xf numFmtId="1" fontId="24" fillId="0" borderId="0" xfId="0" applyFont="1"/>
    <xf numFmtId="1" fontId="25" fillId="0" borderId="0" xfId="1" applyNumberFormat="1" applyFont="1" applyAlignment="1" applyProtection="1"/>
    <xf numFmtId="1" fontId="26" fillId="0" borderId="0" xfId="0" applyFont="1"/>
    <xf numFmtId="1" fontId="27" fillId="0" borderId="0" xfId="0" applyFont="1"/>
    <xf numFmtId="1" fontId="28" fillId="0" borderId="0" xfId="1" applyNumberFormat="1" applyFont="1" applyAlignment="1" applyProtection="1"/>
    <xf numFmtId="1" fontId="29" fillId="0" borderId="0" xfId="0" applyFont="1"/>
    <xf numFmtId="1" fontId="9" fillId="0" borderId="0" xfId="0" applyFont="1" applyAlignment="1">
      <alignment horizontal="left"/>
    </xf>
    <xf numFmtId="1" fontId="0" fillId="0" borderId="0" xfId="0" applyAlignment="1">
      <alignment horizontal="center"/>
    </xf>
    <xf numFmtId="1" fontId="11" fillId="0" borderId="0" xfId="0" applyFont="1"/>
    <xf numFmtId="1" fontId="30" fillId="0" borderId="0" xfId="0" applyFont="1"/>
    <xf numFmtId="1" fontId="31" fillId="0" borderId="0" xfId="1" applyNumberFormat="1" applyFont="1" applyAlignment="1" applyProtection="1"/>
  </cellXfs>
  <cellStyles count="3">
    <cellStyle name="Hyperlink" xfId="1" builtinId="8"/>
    <cellStyle name="Normal" xfId="0" builtinId="0"/>
    <cellStyle name="Source Text" xfId="2" xr:uid="{142FF549-C3A4-4FCB-9D93-9B6299DA2C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irabidea/Desktop/Indicators_Spreadsheets_2020/transportation_indicators_06022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irectory"/>
      <sheetName val="General_inputs"/>
      <sheetName val="Energy_weights"/>
      <sheetName val="Report_Tables"/>
      <sheetName val="Total_Transportation "/>
      <sheetName val="Passenger_Total"/>
      <sheetName val="Passenger-Highway"/>
      <sheetName val="Personal_vehicles"/>
      <sheetName val="Cars and SWB Vehicles"/>
      <sheetName val="Light Trucks and LWB "/>
      <sheetName val="Buses"/>
      <sheetName val="Passenger-Air"/>
      <sheetName val="Passenger-Rail"/>
      <sheetName val="Urban_Rail"/>
      <sheetName val="water_freight_regression"/>
      <sheetName val="Freight_Total"/>
      <sheetName val="Freight-Trucks"/>
      <sheetName val="Pipelines"/>
      <sheetName val="Personal_vehicles - aggregate"/>
      <sheetName val="Table6.5 (AER2010)"/>
      <sheetName val="AER10_Table2.1e"/>
      <sheetName val="AER11_Table2.1e"/>
      <sheetName val="MER Table 4.3_Nov2019"/>
      <sheetName val="MER Table 4.3_old"/>
      <sheetName val="MER_Table2.5"/>
      <sheetName val="MER Table 2.5 Dec 2019"/>
      <sheetName val="Alternative Buses_Not Used"/>
      <sheetName val="MPG_check"/>
      <sheetName val="Compare Aggregates"/>
      <sheetName val="Passenger-based Activity"/>
      <sheetName val="Passenger-based Energy Use"/>
      <sheetName val="Freight-based Activity"/>
      <sheetName val="Freight-based Energy Use"/>
      <sheetName val="Adjust_Truck_Freight"/>
      <sheetName val="FuelConsump"/>
      <sheetName val="Fuel Heat Content"/>
      <sheetName val="Detailed data_Intercity buses"/>
      <sheetName val="Detailed data_School buses"/>
      <sheetName val="TEDB_Ed30_Table 9.10"/>
      <sheetName val="Passenger_vehicles (NOT USED)"/>
      <sheetName val="TEDB_Ed31_Table 9.10"/>
      <sheetName val="BTS Tran Indexes (TSI_TO 1) "/>
      <sheetName val="CompareTEDB&amp;MER"/>
      <sheetName val="Charts (web)"/>
    </sheetNames>
    <sheetDataSet>
      <sheetData sheetId="0"/>
      <sheetData sheetId="1">
        <row r="6">
          <cell r="F6">
            <v>1985</v>
          </cell>
          <cell r="M6">
            <v>37</v>
          </cell>
        </row>
        <row r="7">
          <cell r="F7">
            <v>1996</v>
          </cell>
          <cell r="M7">
            <v>48</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row r="14">
          <cell r="I14">
            <v>125.54600000000001</v>
          </cell>
        </row>
        <row r="15">
          <cell r="I15">
            <v>192.49600000000001</v>
          </cell>
        </row>
        <row r="16">
          <cell r="I16">
            <v>207.20699999999999</v>
          </cell>
        </row>
        <row r="17">
          <cell r="I17">
            <v>230.31399999999999</v>
          </cell>
        </row>
        <row r="18">
          <cell r="I18">
            <v>230.61500000000001</v>
          </cell>
        </row>
        <row r="19">
          <cell r="I19">
            <v>245.24600000000001</v>
          </cell>
        </row>
        <row r="20">
          <cell r="I20">
            <v>295.97199999999998</v>
          </cell>
        </row>
        <row r="21">
          <cell r="I21">
            <v>299.23500000000001</v>
          </cell>
        </row>
        <row r="22">
          <cell r="I22">
            <v>312.221</v>
          </cell>
        </row>
        <row r="23">
          <cell r="I23">
            <v>349.34800000000001</v>
          </cell>
        </row>
        <row r="24">
          <cell r="I24">
            <v>347.07499999999999</v>
          </cell>
        </row>
        <row r="25">
          <cell r="I25">
            <v>377.60700000000003</v>
          </cell>
        </row>
        <row r="26">
          <cell r="I26">
            <v>382.49599999999998</v>
          </cell>
        </row>
        <row r="27">
          <cell r="I27">
            <v>423.78300000000002</v>
          </cell>
        </row>
        <row r="28">
          <cell r="I28">
            <v>435.57</v>
          </cell>
        </row>
        <row r="29">
          <cell r="I29">
            <v>500.524</v>
          </cell>
        </row>
        <row r="30">
          <cell r="I30">
            <v>535.35299999999995</v>
          </cell>
        </row>
        <row r="31">
          <cell r="I31">
            <v>575.75199999999995</v>
          </cell>
        </row>
        <row r="32">
          <cell r="I32">
            <v>590.96500000000003</v>
          </cell>
        </row>
        <row r="33">
          <cell r="I33">
            <v>630.96199999999999</v>
          </cell>
        </row>
        <row r="34">
          <cell r="I34">
            <v>722.16600000000005</v>
          </cell>
        </row>
        <row r="35">
          <cell r="I35">
            <v>742.59199999999998</v>
          </cell>
        </row>
        <row r="36">
          <cell r="I36">
            <v>766.15599999999995</v>
          </cell>
        </row>
        <row r="37">
          <cell r="I37">
            <v>728.17700000000002</v>
          </cell>
        </row>
        <row r="38">
          <cell r="I38">
            <v>668.79200000000003</v>
          </cell>
        </row>
        <row r="39">
          <cell r="I39">
            <v>582.96299999999997</v>
          </cell>
        </row>
        <row r="40">
          <cell r="I40">
            <v>548.32299999999998</v>
          </cell>
        </row>
        <row r="41">
          <cell r="I41">
            <v>532.66899999999998</v>
          </cell>
        </row>
        <row r="42">
          <cell r="I42">
            <v>530.45100000000002</v>
          </cell>
        </row>
        <row r="43">
          <cell r="I43">
            <v>600.96400000000006</v>
          </cell>
        </row>
        <row r="44">
          <cell r="I44">
            <v>634.62199999999996</v>
          </cell>
        </row>
        <row r="45">
          <cell r="I45">
            <v>642.32500000000005</v>
          </cell>
        </row>
        <row r="46">
          <cell r="I46">
            <v>596.41099999999994</v>
          </cell>
        </row>
        <row r="47">
          <cell r="I47">
            <v>490.04199999999997</v>
          </cell>
        </row>
        <row r="48">
          <cell r="I48">
            <v>528.75400000000002</v>
          </cell>
        </row>
        <row r="49">
          <cell r="I49">
            <v>503.76600000000002</v>
          </cell>
        </row>
        <row r="50">
          <cell r="I50">
            <v>485.041</v>
          </cell>
        </row>
        <row r="51">
          <cell r="I51">
            <v>519.16999999999996</v>
          </cell>
        </row>
        <row r="52">
          <cell r="I52">
            <v>613.91200000000003</v>
          </cell>
        </row>
        <row r="53">
          <cell r="I53">
            <v>629.30799999999999</v>
          </cell>
        </row>
        <row r="54">
          <cell r="I54">
            <v>659.81600000000003</v>
          </cell>
        </row>
        <row r="55">
          <cell r="I55">
            <v>601.30499999999995</v>
          </cell>
        </row>
        <row r="56">
          <cell r="I56">
            <v>587.71</v>
          </cell>
        </row>
        <row r="57">
          <cell r="I57">
            <v>624.30799999999999</v>
          </cell>
        </row>
        <row r="58">
          <cell r="I58">
            <v>685.36199999999997</v>
          </cell>
        </row>
        <row r="59">
          <cell r="I59">
            <v>700.33500000000004</v>
          </cell>
        </row>
        <row r="60">
          <cell r="I60">
            <v>711.44600000000003</v>
          </cell>
        </row>
        <row r="61">
          <cell r="I61">
            <v>751.47</v>
          </cell>
        </row>
        <row r="62">
          <cell r="I62">
            <v>635.47699999999998</v>
          </cell>
        </row>
        <row r="63">
          <cell r="I63">
            <v>645.31899999999996</v>
          </cell>
        </row>
        <row r="64">
          <cell r="I64">
            <v>642.21</v>
          </cell>
        </row>
        <row r="65">
          <cell r="I65">
            <v>624.96400000000006</v>
          </cell>
        </row>
        <row r="66">
          <cell r="I66">
            <v>666.92</v>
          </cell>
        </row>
        <row r="67">
          <cell r="I67">
            <v>591.49199999999996</v>
          </cell>
        </row>
        <row r="68">
          <cell r="I68">
            <v>566.18700000000001</v>
          </cell>
        </row>
        <row r="69">
          <cell r="I69">
            <v>584.02599999999995</v>
          </cell>
        </row>
        <row r="70">
          <cell r="I70">
            <v>584.21299999999997</v>
          </cell>
        </row>
        <row r="71">
          <cell r="I71">
            <v>621.36400000000003</v>
          </cell>
        </row>
        <row r="72">
          <cell r="I72">
            <v>647.95600000000002</v>
          </cell>
        </row>
        <row r="73">
          <cell r="I73">
            <v>670.17399999999998</v>
          </cell>
        </row>
        <row r="74">
          <cell r="I74">
            <v>674.12400000000002</v>
          </cell>
        </row>
        <row r="75">
          <cell r="I75">
            <v>687.78399999999999</v>
          </cell>
        </row>
        <row r="76">
          <cell r="I76">
            <v>730.79</v>
          </cell>
        </row>
        <row r="77">
          <cell r="I77">
            <v>833.06100000000004</v>
          </cell>
        </row>
        <row r="78">
          <cell r="I78">
            <v>700.15</v>
          </cell>
        </row>
        <row r="79">
          <cell r="I79">
            <v>678.18299999999999</v>
          </cell>
        </row>
        <row r="80">
          <cell r="I80">
            <v>686.73199999999997</v>
          </cell>
        </row>
        <row r="82">
          <cell r="I82">
            <v>862.89099999999996</v>
          </cell>
        </row>
      </sheetData>
      <sheetData sheetId="23"/>
      <sheetData sheetId="24"/>
      <sheetData sheetId="25"/>
      <sheetData sheetId="26"/>
      <sheetData sheetId="27"/>
      <sheetData sheetId="28"/>
      <sheetData sheetId="29">
        <row r="8">
          <cell r="AF8">
            <v>1108.7205590211368</v>
          </cell>
        </row>
        <row r="9">
          <cell r="AF9">
            <v>1183.7916479554278</v>
          </cell>
        </row>
        <row r="10">
          <cell r="AF10">
            <v>1270.1804096864232</v>
          </cell>
        </row>
        <row r="11">
          <cell r="AF11">
            <v>1328.666929439511</v>
          </cell>
        </row>
        <row r="12">
          <cell r="AF12">
            <v>1410.1774956261913</v>
          </cell>
        </row>
        <row r="13">
          <cell r="AF13">
            <v>1467.838026093887</v>
          </cell>
        </row>
        <row r="14">
          <cell r="AF14">
            <v>1595.7303200355775</v>
          </cell>
        </row>
        <row r="15">
          <cell r="AF15">
            <v>1667.4650600916189</v>
          </cell>
        </row>
        <row r="16">
          <cell r="AF16">
            <v>1693.2683175325303</v>
          </cell>
        </row>
        <row r="17">
          <cell r="AF17">
            <v>1750.6114089807422</v>
          </cell>
        </row>
        <row r="18">
          <cell r="AF18">
            <v>1851.5958872606636</v>
          </cell>
        </row>
        <row r="19">
          <cell r="AF19">
            <v>1901.4338133196472</v>
          </cell>
        </row>
        <row r="20">
          <cell r="AF20">
            <v>1955.9005185504941</v>
          </cell>
        </row>
        <row r="21">
          <cell r="AF21">
            <v>2032.2154501733758</v>
          </cell>
        </row>
        <row r="22">
          <cell r="AF22">
            <v>2143.9572242054019</v>
          </cell>
        </row>
        <row r="23">
          <cell r="AF23">
            <v>2253.9304094145891</v>
          </cell>
        </row>
        <row r="24">
          <cell r="AF24">
            <v>2340.9378533162112</v>
          </cell>
        </row>
        <row r="25">
          <cell r="AF25">
            <v>2518.3927435550881</v>
          </cell>
        </row>
        <row r="26">
          <cell r="AF26">
            <v>2627.1188469020167</v>
          </cell>
        </row>
        <row r="27">
          <cell r="AF27">
            <v>2754.2304999896701</v>
          </cell>
        </row>
        <row r="28">
          <cell r="AF28">
            <v>2865.7131401282404</v>
          </cell>
        </row>
        <row r="30">
          <cell r="O30">
            <v>1993</v>
          </cell>
        </row>
        <row r="31">
          <cell r="O31">
            <v>3039</v>
          </cell>
        </row>
        <row r="32">
          <cell r="O32">
            <v>3807</v>
          </cell>
        </row>
        <row r="59">
          <cell r="G59">
            <v>40138.334025974022</v>
          </cell>
          <cell r="J59">
            <v>110432.33951617683</v>
          </cell>
        </row>
        <row r="60">
          <cell r="G60">
            <v>43598.728311688305</v>
          </cell>
          <cell r="J60">
            <v>113865.93632835365</v>
          </cell>
        </row>
        <row r="61">
          <cell r="G61">
            <v>47199.597402597399</v>
          </cell>
          <cell r="J61">
            <v>114734.90472436075</v>
          </cell>
        </row>
        <row r="62">
          <cell r="G62">
            <v>50940.941298701298</v>
          </cell>
          <cell r="J62">
            <v>117648.48189616863</v>
          </cell>
        </row>
        <row r="63">
          <cell r="G63">
            <v>54822.760000000009</v>
          </cell>
          <cell r="J63">
            <v>116470.6803987772</v>
          </cell>
        </row>
        <row r="64">
          <cell r="G64">
            <v>57582.400000000009</v>
          </cell>
          <cell r="J64">
            <v>115013.08025061726</v>
          </cell>
        </row>
        <row r="65">
          <cell r="G65">
            <v>61103.000000000015</v>
          </cell>
          <cell r="J65">
            <v>116493.56270970704</v>
          </cell>
        </row>
        <row r="66">
          <cell r="G66">
            <v>65495.999999999993</v>
          </cell>
          <cell r="J66">
            <v>113601.60685962898</v>
          </cell>
        </row>
        <row r="67">
          <cell r="G67">
            <v>64750</v>
          </cell>
          <cell r="J67">
            <v>109272.13289129717</v>
          </cell>
        </row>
        <row r="68">
          <cell r="G68">
            <v>64600</v>
          </cell>
          <cell r="J68">
            <v>112313.37452179336</v>
          </cell>
        </row>
        <row r="69">
          <cell r="G69">
            <v>62795.411334103024</v>
          </cell>
          <cell r="J69">
            <v>109319.20309357041</v>
          </cell>
        </row>
        <row r="70">
          <cell r="G70">
            <v>68371.375899952662</v>
          </cell>
          <cell r="J70">
            <v>101858.87089622582</v>
          </cell>
        </row>
        <row r="71">
          <cell r="G71">
            <v>67571.333350165369</v>
          </cell>
          <cell r="J71">
            <v>101858.87089622582</v>
          </cell>
        </row>
        <row r="72">
          <cell r="G72">
            <v>56096.914153320868</v>
          </cell>
          <cell r="J72">
            <v>101858.87089622582</v>
          </cell>
        </row>
        <row r="73">
          <cell r="G73">
            <v>55573.300246440311</v>
          </cell>
          <cell r="J73">
            <v>101858.87089622582</v>
          </cell>
        </row>
        <row r="74">
          <cell r="J74">
            <v>101858.87089622582</v>
          </cell>
        </row>
        <row r="75">
          <cell r="J75">
            <v>101858.87089622582</v>
          </cell>
        </row>
        <row r="76">
          <cell r="J76">
            <v>101858.87089622582</v>
          </cell>
        </row>
      </sheetData>
      <sheetData sheetId="30"/>
      <sheetData sheetId="31"/>
      <sheetData sheetId="32"/>
      <sheetData sheetId="33">
        <row r="6">
          <cell r="AB6">
            <v>6474.0040740423256</v>
          </cell>
          <cell r="AC6">
            <v>7955.4683535115373</v>
          </cell>
        </row>
        <row r="7">
          <cell r="AB7">
            <v>6879.8928885482392</v>
          </cell>
          <cell r="AC7">
            <v>8223.079914454318</v>
          </cell>
        </row>
        <row r="8">
          <cell r="AB8">
            <v>7902.8122857308763</v>
          </cell>
          <cell r="AC8">
            <v>8791.4557969654652</v>
          </cell>
        </row>
        <row r="9">
          <cell r="AB9">
            <v>8636.5765879002702</v>
          </cell>
          <cell r="AC9">
            <v>9772.0806982912145</v>
          </cell>
        </row>
        <row r="10">
          <cell r="AB10">
            <v>8582.3144701448891</v>
          </cell>
          <cell r="AC10">
            <v>9831.1238708057153</v>
          </cell>
        </row>
        <row r="11">
          <cell r="AB11">
            <v>8842.976426551264</v>
          </cell>
          <cell r="AC11">
            <v>9936.2741585224103</v>
          </cell>
        </row>
        <row r="12">
          <cell r="AB12">
            <v>9308.3902777116818</v>
          </cell>
          <cell r="AC12">
            <v>10504.725844348139</v>
          </cell>
        </row>
        <row r="13">
          <cell r="AB13">
            <v>10225.1602191698</v>
          </cell>
          <cell r="AC13">
            <v>11708.362942582162</v>
          </cell>
        </row>
        <row r="14">
          <cell r="AB14">
            <v>11347.141820940411</v>
          </cell>
          <cell r="AC14">
            <v>13171.15703351792</v>
          </cell>
        </row>
        <row r="15">
          <cell r="AB15">
            <v>11500.558105368769</v>
          </cell>
          <cell r="AC15">
            <v>13927.360625484529</v>
          </cell>
        </row>
        <row r="16">
          <cell r="AB16">
            <v>11293.797478502338</v>
          </cell>
          <cell r="AC16">
            <v>14114.909178414164</v>
          </cell>
        </row>
        <row r="17">
          <cell r="AB17">
            <v>11203.109984861778</v>
          </cell>
          <cell r="AC17">
            <v>14625.422032833427</v>
          </cell>
        </row>
        <row r="18">
          <cell r="AB18">
            <v>11098.438755204254</v>
          </cell>
          <cell r="AC18">
            <v>14705.561875758925</v>
          </cell>
        </row>
        <row r="19">
          <cell r="AB19">
            <v>11362.47289617233</v>
          </cell>
          <cell r="AC19">
            <v>14936.406312606632</v>
          </cell>
        </row>
        <row r="20">
          <cell r="AB20">
            <v>11811.205343668811</v>
          </cell>
          <cell r="AC20">
            <v>15361.055817928222</v>
          </cell>
        </row>
        <row r="21">
          <cell r="AB21">
            <v>12071.34100405696</v>
          </cell>
          <cell r="AC21">
            <v>15163.234407918406</v>
          </cell>
        </row>
        <row r="22">
          <cell r="AB22">
            <v>12049.417142839635</v>
          </cell>
          <cell r="AC22">
            <v>15671.350108174873</v>
          </cell>
        </row>
        <row r="23">
          <cell r="AB23">
            <v>12272.466659374968</v>
          </cell>
          <cell r="AC23">
            <v>16229.51574228832</v>
          </cell>
        </row>
        <row r="24">
          <cell r="AB24">
            <v>12563.870408248746</v>
          </cell>
          <cell r="AC24">
            <v>16482.245696066966</v>
          </cell>
        </row>
        <row r="25">
          <cell r="AB25">
            <v>12691.09212840699</v>
          </cell>
          <cell r="AC25">
            <v>17033.519146890525</v>
          </cell>
        </row>
        <row r="26">
          <cell r="AB26">
            <v>13633.074438175439</v>
          </cell>
          <cell r="AC26">
            <v>17466.798631611971</v>
          </cell>
        </row>
        <row r="27">
          <cell r="AB27">
            <v>13332.417933573681</v>
          </cell>
          <cell r="AC27">
            <v>18198.369863411124</v>
          </cell>
        </row>
        <row r="28">
          <cell r="AB28">
            <v>13437.716445693837</v>
          </cell>
          <cell r="AC28">
            <v>18639.680330148854</v>
          </cell>
        </row>
        <row r="29">
          <cell r="AB29">
            <v>13847.650282475062</v>
          </cell>
          <cell r="AC29">
            <v>19215.378648573245</v>
          </cell>
        </row>
        <row r="30">
          <cell r="AB30">
            <v>14734.425482815886</v>
          </cell>
          <cell r="AC30">
            <v>20194.958203465601</v>
          </cell>
        </row>
        <row r="31">
          <cell r="AB31">
            <v>15034.975662928546</v>
          </cell>
          <cell r="AC31">
            <v>21412.172917023876</v>
          </cell>
        </row>
        <row r="32">
          <cell r="AB32">
            <v>15349.651373724479</v>
          </cell>
          <cell r="AC32">
            <v>21862.040753666006</v>
          </cell>
        </row>
        <row r="33">
          <cell r="AB33">
            <v>15622.37565231856</v>
          </cell>
          <cell r="AC33">
            <v>21980.247814346625</v>
          </cell>
        </row>
        <row r="34">
          <cell r="AB34">
            <v>15891.412968564751</v>
          </cell>
          <cell r="AC34">
            <v>24092.282990002463</v>
          </cell>
        </row>
        <row r="35">
          <cell r="AB35">
            <v>15289.589778237674</v>
          </cell>
          <cell r="AC35">
            <v>26566.07871569744</v>
          </cell>
        </row>
        <row r="36">
          <cell r="AB36">
            <v>15601.071209264939</v>
          </cell>
          <cell r="AC36">
            <v>27788.078580590322</v>
          </cell>
        </row>
        <row r="37">
          <cell r="AB37">
            <v>15770.73673323896</v>
          </cell>
          <cell r="AC37">
            <v>27621.345778384646</v>
          </cell>
        </row>
        <row r="38">
          <cell r="AB38">
            <v>16837.671855152508</v>
          </cell>
          <cell r="AC38">
            <v>28669.38053510604</v>
          </cell>
        </row>
        <row r="39">
          <cell r="AB39">
            <v>14488.456907819924</v>
          </cell>
          <cell r="AC39">
            <v>29142.87697009055</v>
          </cell>
        </row>
        <row r="40">
          <cell r="AB40">
            <v>14615.70605080044</v>
          </cell>
          <cell r="AC40">
            <v>29659.815024963817</v>
          </cell>
        </row>
        <row r="41">
          <cell r="AB41">
            <v>15499.924454588121</v>
          </cell>
          <cell r="AC41">
            <v>29977.977519814634</v>
          </cell>
        </row>
        <row r="42">
          <cell r="AB42">
            <v>16072.545598000439</v>
          </cell>
          <cell r="AC42">
            <v>30430.408061280279</v>
          </cell>
        </row>
        <row r="43">
          <cell r="AB43">
            <v>16314</v>
          </cell>
          <cell r="AC43">
            <v>30904</v>
          </cell>
        </row>
        <row r="44">
          <cell r="AB44">
            <v>17144</v>
          </cell>
          <cell r="AC44">
            <v>30561</v>
          </cell>
        </row>
        <row r="45">
          <cell r="AB45">
            <v>16253</v>
          </cell>
          <cell r="AC45">
            <v>28050</v>
          </cell>
        </row>
        <row r="46">
          <cell r="AB46">
            <v>15097</v>
          </cell>
          <cell r="AC46">
            <v>29927</v>
          </cell>
        </row>
        <row r="47">
          <cell r="AB47">
            <v>14215.4</v>
          </cell>
          <cell r="AC47">
            <v>28181</v>
          </cell>
        </row>
        <row r="48">
          <cell r="AB48">
            <v>14376.5</v>
          </cell>
          <cell r="AC48">
            <v>27975.3</v>
          </cell>
        </row>
        <row r="49">
          <cell r="AB49">
            <v>14501.9</v>
          </cell>
          <cell r="AC49">
            <v>28795</v>
          </cell>
        </row>
        <row r="50">
          <cell r="AB50">
            <v>14893.9</v>
          </cell>
          <cell r="AC50">
            <v>29117.7</v>
          </cell>
        </row>
        <row r="51">
          <cell r="AB51">
            <v>14850.9</v>
          </cell>
          <cell r="AC51">
            <v>28885.9</v>
          </cell>
        </row>
        <row r="52">
          <cell r="AB52">
            <v>15338.5</v>
          </cell>
          <cell r="AC52">
            <v>29554.6</v>
          </cell>
        </row>
        <row r="53">
          <cell r="AB53">
            <v>15599.9</v>
          </cell>
          <cell r="AC53">
            <v>30363.599999999999</v>
          </cell>
        </row>
      </sheetData>
      <sheetData sheetId="34"/>
      <sheetData sheetId="35">
        <row r="6">
          <cell r="D6">
            <v>125000</v>
          </cell>
        </row>
        <row r="7">
          <cell r="B7">
            <v>138700</v>
          </cell>
          <cell r="D7">
            <v>138700</v>
          </cell>
        </row>
        <row r="14">
          <cell r="D14">
            <v>91300</v>
          </cell>
        </row>
        <row r="15">
          <cell r="D15">
            <v>129400</v>
          </cell>
        </row>
        <row r="16">
          <cell r="D16">
            <v>84800</v>
          </cell>
        </row>
        <row r="17">
          <cell r="D17">
            <v>64600</v>
          </cell>
        </row>
        <row r="19">
          <cell r="D19">
            <v>127595.23809523811</v>
          </cell>
        </row>
        <row r="21">
          <cell r="B21">
            <v>10339</v>
          </cell>
          <cell r="C21">
            <v>3412</v>
          </cell>
        </row>
      </sheetData>
      <sheetData sheetId="36"/>
      <sheetData sheetId="37"/>
      <sheetData sheetId="38"/>
      <sheetData sheetId="39"/>
      <sheetData sheetId="40">
        <row r="14">
          <cell r="J14">
            <v>13.7995</v>
          </cell>
        </row>
        <row r="15">
          <cell r="J15">
            <v>13.317</v>
          </cell>
        </row>
        <row r="16">
          <cell r="J16">
            <v>13.3</v>
          </cell>
        </row>
        <row r="17">
          <cell r="J17">
            <v>13.9925</v>
          </cell>
        </row>
        <row r="18">
          <cell r="J18">
            <v>14.475</v>
          </cell>
        </row>
        <row r="19">
          <cell r="J19">
            <v>14.7645</v>
          </cell>
        </row>
        <row r="20">
          <cell r="J20">
            <v>16.308499999999999</v>
          </cell>
        </row>
        <row r="21">
          <cell r="J21">
            <v>13.8</v>
          </cell>
        </row>
        <row r="22">
          <cell r="J22">
            <v>12.7</v>
          </cell>
        </row>
        <row r="23">
          <cell r="J23">
            <v>12.2</v>
          </cell>
        </row>
        <row r="24">
          <cell r="J24">
            <v>12.2</v>
          </cell>
        </row>
        <row r="25">
          <cell r="J25">
            <v>12.9</v>
          </cell>
        </row>
        <row r="26">
          <cell r="J26">
            <v>12.9</v>
          </cell>
        </row>
        <row r="27">
          <cell r="J27">
            <v>12.4</v>
          </cell>
        </row>
        <row r="28">
          <cell r="J28">
            <v>13.1</v>
          </cell>
        </row>
        <row r="29">
          <cell r="J29">
            <v>13.5</v>
          </cell>
        </row>
        <row r="30">
          <cell r="J30">
            <v>15.3</v>
          </cell>
        </row>
        <row r="31">
          <cell r="J31">
            <v>15.2</v>
          </cell>
        </row>
        <row r="32">
          <cell r="J32">
            <v>15.2</v>
          </cell>
        </row>
        <row r="33">
          <cell r="J33">
            <v>15.4</v>
          </cell>
        </row>
        <row r="35">
          <cell r="J35">
            <v>13.4</v>
          </cell>
        </row>
        <row r="36">
          <cell r="J36">
            <v>13.5</v>
          </cell>
        </row>
        <row r="37">
          <cell r="J37">
            <v>13.6</v>
          </cell>
        </row>
        <row r="38">
          <cell r="J38">
            <v>14.5</v>
          </cell>
        </row>
        <row r="39">
          <cell r="J39">
            <v>14.8</v>
          </cell>
        </row>
        <row r="40">
          <cell r="J40">
            <v>15.6</v>
          </cell>
        </row>
        <row r="41">
          <cell r="J41">
            <v>18</v>
          </cell>
        </row>
        <row r="42">
          <cell r="J42">
            <v>18.100000000000001</v>
          </cell>
        </row>
        <row r="43">
          <cell r="J43">
            <v>17.100000000000001</v>
          </cell>
        </row>
        <row r="44">
          <cell r="J44">
            <v>15.9</v>
          </cell>
        </row>
        <row r="45">
          <cell r="J45">
            <v>15.2</v>
          </cell>
        </row>
        <row r="46">
          <cell r="J46">
            <v>14.6</v>
          </cell>
        </row>
        <row r="47">
          <cell r="J47">
            <v>14.3</v>
          </cell>
        </row>
        <row r="48">
          <cell r="J48">
            <v>14.5</v>
          </cell>
        </row>
        <row r="49">
          <cell r="J49">
            <v>14.8</v>
          </cell>
        </row>
        <row r="50">
          <cell r="J50">
            <v>14.4</v>
          </cell>
        </row>
        <row r="51">
          <cell r="J51">
            <v>14.6</v>
          </cell>
        </row>
      </sheetData>
      <sheetData sheetId="41"/>
      <sheetData sheetId="42"/>
      <sheetData sheetId="4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tonto.eia.doe.gov/dnav/pet/pet_cons_821dsta_dcu_nus_a.htm" TargetMode="External"/><Relationship Id="rId13" Type="http://schemas.openxmlformats.org/officeDocument/2006/relationships/hyperlink" Target="https://www.fhwa.dot.gov/policyinformation/statistics.cfm" TargetMode="External"/><Relationship Id="rId3" Type="http://schemas.openxmlformats.org/officeDocument/2006/relationships/hyperlink" Target="http://www.apta.com/research/stats/factbook/index.cfm" TargetMode="External"/><Relationship Id="rId7" Type="http://schemas.openxmlformats.org/officeDocument/2006/relationships/hyperlink" Target="http://www.fhwa.dot.gov/policy/ohim/hs04/htm/mf33e.htm" TargetMode="External"/><Relationship Id="rId12" Type="http://schemas.openxmlformats.org/officeDocument/2006/relationships/hyperlink" Target="https://www.faa.gov/data_research/aviation_data_statistics/general_aviation/CY2017/" TargetMode="External"/><Relationship Id="rId17" Type="http://schemas.openxmlformats.org/officeDocument/2006/relationships/comments" Target="../comments1.xml"/><Relationship Id="rId2" Type="http://schemas.openxmlformats.org/officeDocument/2006/relationships/hyperlink" Target="http://www.eia.doe.gov/aer/natgas.html" TargetMode="External"/><Relationship Id="rId16" Type="http://schemas.openxmlformats.org/officeDocument/2006/relationships/vmlDrawing" Target="../drawings/vmlDrawing1.vml"/><Relationship Id="rId1" Type="http://schemas.openxmlformats.org/officeDocument/2006/relationships/hyperlink" Target="http://www.bts.gov/publications/national_transportation_statistics/html/table_04_26.html" TargetMode="External"/><Relationship Id="rId6" Type="http://schemas.openxmlformats.org/officeDocument/2006/relationships/hyperlink" Target="http://www.apta.com/resources/statistics/Pages/transitstats.aspx" TargetMode="External"/><Relationship Id="rId11" Type="http://schemas.openxmlformats.org/officeDocument/2006/relationships/hyperlink" Target="https://www.apta.com/research-technical-resources/transit-statistics/public-transportation-fact-book/" TargetMode="External"/><Relationship Id="rId5" Type="http://schemas.openxmlformats.org/officeDocument/2006/relationships/hyperlink" Target="http://www.apta.com/research/stats/index.cfm" TargetMode="External"/><Relationship Id="rId15" Type="http://schemas.openxmlformats.org/officeDocument/2006/relationships/printerSettings" Target="../printerSettings/printerSettings1.bin"/><Relationship Id="rId10" Type="http://schemas.openxmlformats.org/officeDocument/2006/relationships/hyperlink" Target="https://www.apta.com/research-technical-resources/transit-statistics/public-transportation-fact-book/" TargetMode="External"/><Relationship Id="rId4" Type="http://schemas.openxmlformats.org/officeDocument/2006/relationships/hyperlink" Target="http://www.fhwa.dot.gov/policy/ohim/hs04/htm/mf33e.htm" TargetMode="External"/><Relationship Id="rId9" Type="http://schemas.openxmlformats.org/officeDocument/2006/relationships/hyperlink" Target="http://www.rita.dot.gov/bts/sites/rita.dot.gov.bts/files/publications/national_transportation_statistics/html/table_04_08.html" TargetMode="External"/><Relationship Id="rId14" Type="http://schemas.openxmlformats.org/officeDocument/2006/relationships/hyperlink" Target="https://www.fhwa.dot.gov/policyinformation/statistics.cf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837660-EFF1-4429-A4E1-7C5C6EEF2EE4}">
  <dimension ref="A1:DR273"/>
  <sheetViews>
    <sheetView tabSelected="1" workbookViewId="0">
      <pane ySplit="6" topLeftCell="A7" activePane="bottomLeft" state="frozen"/>
      <selection pane="bottomLeft" activeCell="D46" sqref="D46"/>
    </sheetView>
  </sheetViews>
  <sheetFormatPr defaultRowHeight="12.5" x14ac:dyDescent="0.25"/>
  <cols>
    <col min="1" max="1" width="7.1796875" customWidth="1"/>
    <col min="2" max="2" width="11.26953125" customWidth="1"/>
    <col min="5" max="5" width="8.81640625" customWidth="1"/>
    <col min="6" max="6" width="9" customWidth="1"/>
    <col min="7" max="7" width="9.453125" customWidth="1"/>
    <col min="8" max="8" width="9" customWidth="1"/>
    <col min="9" max="9" width="8.26953125" customWidth="1"/>
    <col min="10" max="10" width="8.1796875" customWidth="1"/>
    <col min="11" max="11" width="9.54296875" customWidth="1"/>
    <col min="15" max="15" width="8" customWidth="1"/>
    <col min="16" max="16" width="6" customWidth="1"/>
    <col min="17" max="17" width="9.1796875" customWidth="1"/>
    <col min="18" max="18" width="9.81640625" customWidth="1"/>
    <col min="19" max="19" width="8.1796875" customWidth="1"/>
    <col min="20" max="20" width="6.81640625" customWidth="1"/>
    <col min="21" max="21" width="6.453125" customWidth="1"/>
    <col min="22" max="22" width="10" customWidth="1"/>
    <col min="25" max="25" width="6" customWidth="1"/>
    <col min="26" max="26" width="9.7265625" customWidth="1"/>
    <col min="28" max="28" width="7.81640625" customWidth="1"/>
    <col min="29" max="29" width="5.26953125" customWidth="1"/>
    <col min="30" max="31" width="9.7265625" customWidth="1"/>
    <col min="32" max="32" width="9" customWidth="1"/>
    <col min="33" max="42" width="11.1796875" customWidth="1"/>
    <col min="43" max="43" width="10.81640625" customWidth="1"/>
    <col min="44" max="44" width="9" customWidth="1"/>
    <col min="45" max="45" width="10.81640625" customWidth="1"/>
    <col min="46" max="46" width="9.453125" customWidth="1"/>
    <col min="47" max="47" width="6.26953125" customWidth="1"/>
    <col min="48" max="48" width="13.1796875" customWidth="1"/>
    <col min="49" max="49" width="11.26953125" customWidth="1"/>
    <col min="50" max="50" width="6" customWidth="1"/>
    <col min="51" max="52" width="12.54296875" customWidth="1"/>
    <col min="53" max="53" width="9.7265625" customWidth="1"/>
    <col min="54" max="54" width="8.7265625" customWidth="1"/>
    <col min="55" max="55" width="5.81640625" customWidth="1"/>
    <col min="56" max="56" width="8.26953125" customWidth="1"/>
    <col min="57" max="57" width="10" customWidth="1"/>
    <col min="58" max="58" width="13.1796875" customWidth="1"/>
    <col min="59" max="59" width="12.54296875" customWidth="1"/>
    <col min="60" max="60" width="10" customWidth="1"/>
    <col min="61" max="62" width="11" customWidth="1"/>
    <col min="63" max="64" width="10" customWidth="1"/>
    <col min="65" max="66" width="9.26953125" customWidth="1"/>
    <col min="67" max="68" width="13.453125" customWidth="1"/>
    <col min="69" max="69" width="11.1796875" customWidth="1"/>
    <col min="72" max="72" width="17.81640625" customWidth="1"/>
    <col min="74" max="74" width="14.453125" customWidth="1"/>
    <col min="75" max="75" width="9.81640625" customWidth="1"/>
    <col min="78" max="86" width="9.54296875" customWidth="1"/>
    <col min="87" max="87" width="10.1796875" customWidth="1"/>
    <col min="88" max="88" width="19.54296875" customWidth="1"/>
    <col min="90" max="90" width="10.453125" customWidth="1"/>
    <col min="95" max="95" width="9.54296875" customWidth="1"/>
    <col min="96" max="96" width="10.1796875" customWidth="1"/>
    <col min="104" max="104" width="13.453125" customWidth="1"/>
    <col min="105" max="105" width="12.7265625" customWidth="1"/>
    <col min="106" max="106" width="10.26953125" customWidth="1"/>
    <col min="107" max="107" width="10.7265625" customWidth="1"/>
    <col min="108" max="108" width="10" bestFit="1" customWidth="1"/>
    <col min="113" max="113" width="10.54296875" customWidth="1"/>
  </cols>
  <sheetData>
    <row r="1" spans="1:111" ht="40.5" customHeight="1" x14ac:dyDescent="0.35">
      <c r="B1" s="1" t="s">
        <v>0</v>
      </c>
      <c r="BT1" s="2" t="s">
        <v>1</v>
      </c>
      <c r="BU1" s="3"/>
      <c r="BV1" s="3"/>
      <c r="BW1" s="3"/>
      <c r="BX1" s="3"/>
      <c r="BY1" s="3"/>
      <c r="BZ1" s="3"/>
      <c r="CA1" s="3"/>
      <c r="CB1" s="3"/>
      <c r="CC1" s="3"/>
      <c r="CD1" s="3"/>
      <c r="CE1" s="3"/>
      <c r="CF1" s="3"/>
      <c r="CG1" s="3"/>
      <c r="CH1" s="3"/>
      <c r="CI1" s="3"/>
      <c r="CJ1" s="3"/>
      <c r="CK1" s="4"/>
      <c r="CL1" s="5" t="s">
        <v>2</v>
      </c>
      <c r="CM1" s="5"/>
      <c r="CN1" s="4"/>
      <c r="CO1" s="6" t="s">
        <v>3</v>
      </c>
      <c r="CP1" s="6"/>
      <c r="CQ1" s="6"/>
      <c r="CR1" s="6"/>
      <c r="CS1" s="7"/>
      <c r="CT1" s="6" t="s">
        <v>4</v>
      </c>
      <c r="CU1" s="8"/>
      <c r="CV1" s="8"/>
      <c r="CW1" s="8"/>
    </row>
    <row r="2" spans="1:111" ht="13" x14ac:dyDescent="0.3">
      <c r="B2" t="s">
        <v>5</v>
      </c>
      <c r="BP2">
        <v>220.65</v>
      </c>
      <c r="BQ2" t="s">
        <v>6</v>
      </c>
      <c r="CK2" s="9"/>
      <c r="CL2" s="10" t="s">
        <v>7</v>
      </c>
      <c r="CM2" s="10"/>
      <c r="CN2" s="11"/>
      <c r="CO2" t="s">
        <v>8</v>
      </c>
      <c r="CP2" t="s">
        <v>9</v>
      </c>
      <c r="CQ2" t="s">
        <v>10</v>
      </c>
      <c r="CR2" t="s">
        <v>11</v>
      </c>
      <c r="CS2" s="12"/>
      <c r="CX2" s="12"/>
      <c r="CZ2" s="13" t="s">
        <v>12</v>
      </c>
      <c r="DA2" s="10"/>
      <c r="DB2" s="10"/>
      <c r="DC2" s="10"/>
      <c r="DD2" s="10"/>
      <c r="DE2" s="10"/>
      <c r="DF2" s="10"/>
      <c r="DG2" s="10"/>
    </row>
    <row r="3" spans="1:111" ht="14" x14ac:dyDescent="0.3">
      <c r="CB3" s="14" t="s">
        <v>13</v>
      </c>
      <c r="CK3" s="9"/>
      <c r="CL3" s="10" t="s">
        <v>14</v>
      </c>
      <c r="CM3" s="10"/>
      <c r="CN3" s="11"/>
      <c r="CO3" t="s">
        <v>15</v>
      </c>
      <c r="CP3" t="s">
        <v>15</v>
      </c>
      <c r="CQ3" t="s">
        <v>16</v>
      </c>
      <c r="CR3" t="s">
        <v>16</v>
      </c>
      <c r="CS3" s="12"/>
      <c r="CX3" s="12"/>
    </row>
    <row r="4" spans="1:111" ht="13" x14ac:dyDescent="0.3">
      <c r="A4" s="15"/>
      <c r="B4" s="16" t="s">
        <v>17</v>
      </c>
      <c r="C4" s="17"/>
      <c r="D4" s="17"/>
      <c r="E4" s="17"/>
      <c r="F4" s="17"/>
      <c r="G4" s="17"/>
      <c r="H4" s="17"/>
      <c r="I4" s="17"/>
      <c r="J4" s="17"/>
      <c r="K4" s="17"/>
      <c r="L4" s="17"/>
      <c r="M4" s="17"/>
      <c r="N4" s="17"/>
      <c r="O4" s="18"/>
      <c r="P4" s="18"/>
      <c r="Q4" s="18"/>
      <c r="R4" s="18"/>
      <c r="S4" s="18"/>
      <c r="T4" s="18"/>
      <c r="U4" s="18"/>
      <c r="V4" s="18"/>
      <c r="W4" s="18"/>
      <c r="X4" s="18"/>
      <c r="Y4" s="18"/>
      <c r="Z4" s="18"/>
      <c r="AA4" s="18"/>
      <c r="AB4" s="18"/>
      <c r="AC4" s="19"/>
      <c r="AD4" s="18"/>
      <c r="AE4" s="18"/>
      <c r="AF4" s="18"/>
      <c r="AG4" s="18"/>
      <c r="AH4" s="18"/>
      <c r="AI4" s="18"/>
      <c r="AJ4" s="18"/>
      <c r="AK4" s="18"/>
      <c r="AL4" s="18"/>
      <c r="AM4" s="18"/>
      <c r="AN4" s="18"/>
      <c r="AO4" s="18"/>
      <c r="AP4" s="18"/>
      <c r="AQ4" s="18"/>
      <c r="AR4" s="18"/>
      <c r="AS4" s="18"/>
      <c r="AT4" s="18"/>
      <c r="AU4" s="20"/>
      <c r="AV4" s="21" t="s">
        <v>18</v>
      </c>
      <c r="AW4" s="22"/>
      <c r="AX4" s="23"/>
      <c r="AY4" s="16" t="s">
        <v>19</v>
      </c>
      <c r="AZ4" s="16"/>
      <c r="BA4" s="18"/>
      <c r="BB4" s="19"/>
      <c r="BC4" s="20"/>
      <c r="BD4" s="21" t="s">
        <v>20</v>
      </c>
      <c r="BE4" s="21"/>
      <c r="BF4" s="21"/>
      <c r="BG4" s="21"/>
      <c r="BH4" s="21"/>
      <c r="BI4" s="21"/>
      <c r="BJ4" s="21"/>
      <c r="BK4" s="21"/>
      <c r="BL4" s="21"/>
      <c r="BM4" s="24"/>
      <c r="BN4" s="25"/>
      <c r="BO4" s="25" t="s">
        <v>21</v>
      </c>
      <c r="BP4" s="25"/>
      <c r="BQ4" s="26"/>
      <c r="BR4" s="27"/>
      <c r="BS4" s="27"/>
      <c r="CK4" s="9"/>
      <c r="CN4" s="11"/>
      <c r="CQ4" s="28" t="s">
        <v>22</v>
      </c>
      <c r="CS4" s="12"/>
      <c r="CX4" s="12"/>
      <c r="CZ4" s="25" t="s">
        <v>23</v>
      </c>
      <c r="DA4" s="25"/>
      <c r="DB4" s="29"/>
      <c r="DC4" s="29"/>
    </row>
    <row r="5" spans="1:111" ht="25.5" customHeight="1" x14ac:dyDescent="0.3">
      <c r="A5" s="30"/>
      <c r="B5" s="31" t="s">
        <v>24</v>
      </c>
      <c r="C5" s="32"/>
      <c r="D5" s="32"/>
      <c r="E5" s="33"/>
      <c r="F5" s="34" t="s">
        <v>25</v>
      </c>
      <c r="G5" s="35"/>
      <c r="H5" s="35"/>
      <c r="I5" s="36"/>
      <c r="J5" s="34" t="s">
        <v>26</v>
      </c>
      <c r="K5" s="37"/>
      <c r="L5" s="31" t="s">
        <v>27</v>
      </c>
      <c r="M5" s="32"/>
      <c r="N5" s="32"/>
      <c r="O5" s="32"/>
      <c r="P5" s="33"/>
      <c r="Q5" s="31" t="s">
        <v>28</v>
      </c>
      <c r="R5" s="32"/>
      <c r="S5" s="32"/>
      <c r="T5" s="32"/>
      <c r="U5" s="33"/>
      <c r="V5" s="31" t="s">
        <v>29</v>
      </c>
      <c r="W5" s="32"/>
      <c r="X5" s="32"/>
      <c r="Y5" s="33"/>
      <c r="Z5" s="31" t="s">
        <v>30</v>
      </c>
      <c r="AA5" s="32"/>
      <c r="AB5" s="32"/>
      <c r="AC5" s="33"/>
      <c r="AD5" s="31" t="s">
        <v>31</v>
      </c>
      <c r="AE5" s="32"/>
      <c r="AF5" s="32"/>
      <c r="AG5" s="32"/>
      <c r="AH5" s="32"/>
      <c r="AI5" s="32"/>
      <c r="AJ5" s="33"/>
      <c r="AK5" s="31" t="s">
        <v>32</v>
      </c>
      <c r="AL5" s="32"/>
      <c r="AM5" s="32"/>
      <c r="AN5" s="32"/>
      <c r="AO5" s="32"/>
      <c r="AP5" s="33"/>
      <c r="AQ5" s="38" t="s">
        <v>33</v>
      </c>
      <c r="AR5" s="38"/>
      <c r="AS5" s="39" t="s">
        <v>34</v>
      </c>
      <c r="AT5" s="40" t="s">
        <v>35</v>
      </c>
      <c r="AU5" s="41"/>
      <c r="AV5" s="31" t="s">
        <v>36</v>
      </c>
      <c r="AW5" s="33"/>
      <c r="AX5" s="41"/>
      <c r="AY5" s="42" t="s">
        <v>37</v>
      </c>
      <c r="AZ5" s="43"/>
      <c r="BA5" s="31" t="s">
        <v>38</v>
      </c>
      <c r="BB5" s="33"/>
      <c r="BC5" s="41"/>
      <c r="BD5" s="42" t="s">
        <v>39</v>
      </c>
      <c r="BE5" s="44"/>
      <c r="BF5" s="45"/>
      <c r="BG5" s="45"/>
      <c r="BH5" s="45"/>
      <c r="BI5" s="46" t="s">
        <v>40</v>
      </c>
      <c r="BJ5" s="46"/>
      <c r="BK5" s="46" t="s">
        <v>41</v>
      </c>
      <c r="BL5" s="46" t="s">
        <v>42</v>
      </c>
      <c r="BM5" s="47" t="s">
        <v>43</v>
      </c>
      <c r="BN5" s="41"/>
      <c r="BO5" s="47" t="s">
        <v>44</v>
      </c>
      <c r="BP5" s="47" t="s">
        <v>44</v>
      </c>
      <c r="BQ5" s="47" t="s">
        <v>45</v>
      </c>
      <c r="BR5" s="5"/>
      <c r="BS5" s="5"/>
      <c r="BU5" s="10"/>
      <c r="CB5" s="31" t="s">
        <v>46</v>
      </c>
      <c r="CC5" s="32"/>
      <c r="CD5" s="32"/>
      <c r="CE5" s="33"/>
      <c r="CF5" s="31" t="s">
        <v>47</v>
      </c>
      <c r="CG5" s="32"/>
      <c r="CH5" s="32"/>
      <c r="CI5" s="33"/>
      <c r="CK5" s="9"/>
      <c r="CN5" s="11"/>
      <c r="CS5" s="12"/>
      <c r="CX5" s="12"/>
      <c r="CZ5" s="47" t="s">
        <v>48</v>
      </c>
      <c r="DA5" s="47" t="s">
        <v>49</v>
      </c>
    </row>
    <row r="6" spans="1:111" ht="39" x14ac:dyDescent="0.3">
      <c r="A6" s="48" t="s">
        <v>50</v>
      </c>
      <c r="B6" s="49" t="s">
        <v>51</v>
      </c>
      <c r="C6" s="50" t="s">
        <v>9</v>
      </c>
      <c r="D6" s="50" t="s">
        <v>52</v>
      </c>
      <c r="E6" s="51" t="s">
        <v>53</v>
      </c>
      <c r="F6" s="49" t="s">
        <v>51</v>
      </c>
      <c r="G6" s="50" t="s">
        <v>9</v>
      </c>
      <c r="H6" s="50" t="s">
        <v>52</v>
      </c>
      <c r="I6" s="51" t="s">
        <v>53</v>
      </c>
      <c r="J6" s="49" t="s">
        <v>51</v>
      </c>
      <c r="K6" s="50" t="s">
        <v>9</v>
      </c>
      <c r="L6" s="49" t="s">
        <v>51</v>
      </c>
      <c r="M6" s="50" t="s">
        <v>9</v>
      </c>
      <c r="N6" s="50" t="s">
        <v>52</v>
      </c>
      <c r="O6" s="50" t="s">
        <v>53</v>
      </c>
      <c r="P6" s="51" t="s">
        <v>54</v>
      </c>
      <c r="Q6" s="49" t="s">
        <v>51</v>
      </c>
      <c r="R6" s="50" t="s">
        <v>9</v>
      </c>
      <c r="S6" s="50" t="s">
        <v>52</v>
      </c>
      <c r="T6" s="50" t="s">
        <v>53</v>
      </c>
      <c r="U6" s="51" t="s">
        <v>54</v>
      </c>
      <c r="V6" s="52" t="s">
        <v>51</v>
      </c>
      <c r="W6" s="50" t="s">
        <v>9</v>
      </c>
      <c r="X6" s="50" t="s">
        <v>53</v>
      </c>
      <c r="Y6" s="51" t="s">
        <v>54</v>
      </c>
      <c r="Z6" s="52" t="s">
        <v>51</v>
      </c>
      <c r="AA6" s="50" t="s">
        <v>9</v>
      </c>
      <c r="AB6" s="50" t="s">
        <v>53</v>
      </c>
      <c r="AC6" s="50" t="s">
        <v>54</v>
      </c>
      <c r="AD6" s="53" t="s">
        <v>53</v>
      </c>
      <c r="AE6" s="38" t="s">
        <v>55</v>
      </c>
      <c r="AF6" s="38" t="s">
        <v>9</v>
      </c>
      <c r="AG6" s="38" t="s">
        <v>56</v>
      </c>
      <c r="AH6" s="38" t="s">
        <v>57</v>
      </c>
      <c r="AI6" s="38" t="s">
        <v>58</v>
      </c>
      <c r="AJ6" s="54" t="s">
        <v>54</v>
      </c>
      <c r="AK6" s="53" t="s">
        <v>53</v>
      </c>
      <c r="AL6" s="38" t="s">
        <v>55</v>
      </c>
      <c r="AM6" s="38" t="s">
        <v>9</v>
      </c>
      <c r="AN6" s="38" t="s">
        <v>56</v>
      </c>
      <c r="AO6" s="38" t="s">
        <v>57</v>
      </c>
      <c r="AP6" s="38" t="s">
        <v>58</v>
      </c>
      <c r="AQ6" s="55" t="s">
        <v>59</v>
      </c>
      <c r="AR6" s="55" t="s">
        <v>60</v>
      </c>
      <c r="AS6" s="56" t="s">
        <v>61</v>
      </c>
      <c r="AT6" s="57" t="s">
        <v>62</v>
      </c>
      <c r="AU6" s="58" t="s">
        <v>50</v>
      </c>
      <c r="AV6" s="47" t="s">
        <v>63</v>
      </c>
      <c r="AW6" s="47" t="s">
        <v>64</v>
      </c>
      <c r="AX6" s="48" t="s">
        <v>50</v>
      </c>
      <c r="AY6" s="59" t="s">
        <v>65</v>
      </c>
      <c r="AZ6" s="50" t="s">
        <v>66</v>
      </c>
      <c r="BA6" s="52" t="s">
        <v>67</v>
      </c>
      <c r="BB6" s="51" t="s">
        <v>68</v>
      </c>
      <c r="BC6" s="48" t="s">
        <v>50</v>
      </c>
      <c r="BD6" s="47" t="s">
        <v>69</v>
      </c>
      <c r="BE6" s="47" t="s">
        <v>70</v>
      </c>
      <c r="BF6" s="60" t="s">
        <v>71</v>
      </c>
      <c r="BG6" s="61" t="s">
        <v>72</v>
      </c>
      <c r="BH6" s="61" t="s">
        <v>73</v>
      </c>
      <c r="BI6" s="47" t="s">
        <v>53</v>
      </c>
      <c r="BJ6" s="47" t="s">
        <v>70</v>
      </c>
      <c r="BK6" s="47" t="s">
        <v>70</v>
      </c>
      <c r="BL6" s="47" t="s">
        <v>70</v>
      </c>
      <c r="BM6" s="47" t="s">
        <v>74</v>
      </c>
      <c r="BN6" s="48" t="s">
        <v>50</v>
      </c>
      <c r="BO6" s="47" t="s">
        <v>75</v>
      </c>
      <c r="BP6" s="47" t="s">
        <v>76</v>
      </c>
      <c r="BQ6" s="47"/>
      <c r="BR6" s="5"/>
      <c r="BS6" s="5"/>
      <c r="BU6" s="10"/>
      <c r="CB6" s="52" t="s">
        <v>51</v>
      </c>
      <c r="CC6" s="50" t="s">
        <v>9</v>
      </c>
      <c r="CD6" s="50" t="s">
        <v>53</v>
      </c>
      <c r="CE6" s="51" t="s">
        <v>54</v>
      </c>
      <c r="CF6" s="52" t="s">
        <v>51</v>
      </c>
      <c r="CG6" s="50" t="s">
        <v>9</v>
      </c>
      <c r="CH6" s="50" t="s">
        <v>53</v>
      </c>
      <c r="CI6" s="50" t="s">
        <v>54</v>
      </c>
      <c r="CK6" s="9"/>
      <c r="CN6" s="11"/>
      <c r="CS6" s="12"/>
      <c r="CX6" s="12"/>
      <c r="CZ6" s="50"/>
      <c r="DA6" s="50"/>
    </row>
    <row r="7" spans="1:111" x14ac:dyDescent="0.25">
      <c r="A7" s="62">
        <v>1949</v>
      </c>
      <c r="B7" s="63">
        <f t="shared" ref="B7:B27" si="0">CL7-J7</f>
        <v>22850.825588819578</v>
      </c>
      <c r="C7" s="64"/>
      <c r="D7" s="64"/>
      <c r="E7" s="65"/>
      <c r="F7" s="64"/>
      <c r="G7" s="64"/>
      <c r="H7" s="64"/>
      <c r="I7" s="64"/>
      <c r="J7" s="64">
        <f>'[1]Passenger-based Activity'!$AF8/50</f>
        <v>22.174411180422734</v>
      </c>
      <c r="K7" s="64">
        <f>J7</f>
        <v>22.174411180422734</v>
      </c>
      <c r="L7" s="63"/>
      <c r="M7" s="64"/>
      <c r="N7" s="64"/>
      <c r="O7" s="64"/>
      <c r="P7" s="65"/>
      <c r="Q7" s="64"/>
      <c r="R7" s="64"/>
      <c r="S7" s="64"/>
      <c r="T7" s="64"/>
      <c r="U7" s="64"/>
      <c r="V7" s="63"/>
      <c r="W7" s="64"/>
      <c r="X7" s="64"/>
      <c r="Y7" s="65"/>
      <c r="Z7" s="66"/>
      <c r="AA7" s="67"/>
      <c r="AB7" s="67"/>
      <c r="AC7" s="67"/>
      <c r="AD7" s="66"/>
      <c r="AE7" s="67"/>
      <c r="AF7" s="67"/>
      <c r="AG7" s="67"/>
      <c r="AH7" s="67"/>
      <c r="AI7" s="67"/>
      <c r="AJ7" s="68"/>
      <c r="AK7" s="69"/>
      <c r="AP7" s="70"/>
      <c r="AQ7" s="71"/>
      <c r="AR7" s="71"/>
      <c r="AS7" s="72"/>
      <c r="AT7" s="73"/>
      <c r="AU7" s="74">
        <v>1949</v>
      </c>
      <c r="AV7" s="69"/>
      <c r="AW7" s="68"/>
      <c r="AX7" s="62">
        <v>1949</v>
      </c>
      <c r="AY7" s="67"/>
      <c r="AZ7" s="67"/>
      <c r="BA7" s="75"/>
      <c r="BB7" s="76"/>
      <c r="BC7" s="62">
        <v>1949</v>
      </c>
      <c r="BD7" s="77"/>
      <c r="BE7" s="76"/>
      <c r="BF7" s="76"/>
      <c r="BG7" s="76"/>
      <c r="BH7" s="76"/>
      <c r="BI7" s="76"/>
      <c r="BJ7" s="76"/>
      <c r="BK7" s="76"/>
      <c r="BL7" s="76"/>
      <c r="BM7" s="78"/>
      <c r="BN7" s="62">
        <v>1949</v>
      </c>
      <c r="BO7" s="79"/>
      <c r="BP7" s="80"/>
      <c r="BQ7" s="81"/>
      <c r="BT7" s="67" t="s">
        <v>77</v>
      </c>
      <c r="BU7" s="82">
        <v>0.39600000000000002</v>
      </c>
      <c r="BV7" s="82">
        <v>0.59399999999999997</v>
      </c>
      <c r="BW7" s="82">
        <v>0.01</v>
      </c>
      <c r="BX7" s="82"/>
      <c r="BY7" s="82"/>
      <c r="BZ7" s="82"/>
      <c r="CA7" s="82"/>
      <c r="CB7" s="63"/>
      <c r="CC7" s="64"/>
      <c r="CD7" s="64"/>
      <c r="CE7" s="65"/>
      <c r="CF7" s="66"/>
      <c r="CG7" s="67"/>
      <c r="CH7" s="67"/>
      <c r="CI7" s="67"/>
      <c r="CJ7" s="82"/>
      <c r="CK7" s="83"/>
      <c r="CL7" s="63">
        <v>22873</v>
      </c>
      <c r="CM7" s="82"/>
      <c r="CN7" s="84"/>
      <c r="CO7" s="82"/>
      <c r="CP7" s="82"/>
      <c r="CQ7" s="82"/>
      <c r="CR7" s="82"/>
      <c r="CS7" s="85"/>
      <c r="CT7" s="82"/>
      <c r="CU7" s="82"/>
      <c r="CV7" s="82"/>
      <c r="CW7" s="82"/>
      <c r="CX7" s="85"/>
    </row>
    <row r="8" spans="1:111" x14ac:dyDescent="0.25">
      <c r="A8" s="62">
        <v>1950</v>
      </c>
      <c r="B8" s="63">
        <f t="shared" si="0"/>
        <v>24281.32416704089</v>
      </c>
      <c r="C8" s="64"/>
      <c r="D8" s="64"/>
      <c r="E8" s="65"/>
      <c r="F8" s="64"/>
      <c r="G8" s="64"/>
      <c r="H8" s="64"/>
      <c r="I8" s="64"/>
      <c r="J8" s="64">
        <f>'[1]Passenger-based Activity'!$AF9/50</f>
        <v>23.675832959108558</v>
      </c>
      <c r="K8" s="64">
        <f t="shared" ref="K8:K71" si="1">J8</f>
        <v>23.675832959108558</v>
      </c>
      <c r="L8" s="63"/>
      <c r="M8" s="64"/>
      <c r="N8" s="64"/>
      <c r="O8" s="64"/>
      <c r="P8" s="65"/>
      <c r="Q8" s="64"/>
      <c r="R8" s="64"/>
      <c r="S8" s="64"/>
      <c r="T8" s="64"/>
      <c r="U8" s="64"/>
      <c r="V8" s="63"/>
      <c r="W8" s="64"/>
      <c r="X8" s="64"/>
      <c r="Y8" s="65"/>
      <c r="Z8" s="66"/>
      <c r="AA8" s="67"/>
      <c r="AB8" s="67"/>
      <c r="AC8" s="67"/>
      <c r="AD8" s="66"/>
      <c r="AE8" s="67"/>
      <c r="AF8" s="67"/>
      <c r="AG8" s="67"/>
      <c r="AH8" s="67"/>
      <c r="AI8" s="67"/>
      <c r="AJ8" s="68"/>
      <c r="AK8" s="69"/>
      <c r="AP8" s="70"/>
      <c r="AQ8" s="71"/>
      <c r="AR8" s="71"/>
      <c r="AS8" s="72"/>
      <c r="AT8" s="73"/>
      <c r="AU8" s="74">
        <v>1950</v>
      </c>
      <c r="AV8" s="69"/>
      <c r="AW8" s="68"/>
      <c r="AX8" s="62">
        <v>1950</v>
      </c>
      <c r="AY8" s="67"/>
      <c r="AZ8" s="67"/>
      <c r="BA8" s="75"/>
      <c r="BB8" s="76"/>
      <c r="BC8" s="62">
        <v>1950</v>
      </c>
      <c r="BD8" s="77"/>
      <c r="BE8" s="76"/>
      <c r="BF8" s="76"/>
      <c r="BG8" s="76"/>
      <c r="BH8" s="76"/>
      <c r="BI8" s="76"/>
      <c r="BJ8" s="76"/>
      <c r="BK8" s="76"/>
      <c r="BL8" s="76"/>
      <c r="BM8" s="78"/>
      <c r="BN8" s="62">
        <v>1950</v>
      </c>
      <c r="BO8" s="77">
        <f>'[1]MER Table 4.3_Nov2019'!I14*1000</f>
        <v>125546</v>
      </c>
      <c r="BP8" s="80"/>
      <c r="BQ8" s="81"/>
      <c r="BT8" s="67" t="s">
        <v>78</v>
      </c>
      <c r="BU8" s="82">
        <v>0.19400000000000001</v>
      </c>
      <c r="BV8" s="82">
        <v>0.80400000000000005</v>
      </c>
      <c r="BW8" s="82">
        <v>2E-3</v>
      </c>
      <c r="BX8" s="82"/>
      <c r="BY8" s="82"/>
      <c r="BZ8" s="82"/>
      <c r="CA8" s="82"/>
      <c r="CB8" s="63"/>
      <c r="CC8" s="64"/>
      <c r="CD8" s="64"/>
      <c r="CE8" s="65"/>
      <c r="CF8" s="66"/>
      <c r="CG8" s="67"/>
      <c r="CH8" s="67"/>
      <c r="CI8" s="67"/>
      <c r="CJ8" s="82"/>
      <c r="CK8" s="83"/>
      <c r="CL8" s="63">
        <v>24305</v>
      </c>
      <c r="CM8" s="82"/>
      <c r="CN8" s="84"/>
      <c r="CO8" s="82"/>
      <c r="CP8" s="82"/>
      <c r="CQ8" s="82"/>
      <c r="CR8" s="82"/>
      <c r="CS8" s="85"/>
      <c r="CT8" s="82"/>
      <c r="CU8" s="82"/>
      <c r="CV8" s="82"/>
      <c r="CW8" s="82"/>
      <c r="CX8" s="85"/>
    </row>
    <row r="9" spans="1:111" x14ac:dyDescent="0.25">
      <c r="A9" s="62">
        <v>1951</v>
      </c>
      <c r="B9" s="63">
        <f t="shared" si="0"/>
        <v>26191.59639180627</v>
      </c>
      <c r="C9" s="64"/>
      <c r="D9" s="64"/>
      <c r="E9" s="65"/>
      <c r="F9" s="64"/>
      <c r="G9" s="64"/>
      <c r="H9" s="64"/>
      <c r="I9" s="64"/>
      <c r="J9" s="64">
        <f>'[1]Passenger-based Activity'!$AF10/50</f>
        <v>25.403608193728463</v>
      </c>
      <c r="K9" s="64">
        <f t="shared" si="1"/>
        <v>25.403608193728463</v>
      </c>
      <c r="L9" s="63"/>
      <c r="M9" s="64"/>
      <c r="N9" s="64"/>
      <c r="O9" s="64"/>
      <c r="P9" s="65"/>
      <c r="Q9" s="64"/>
      <c r="R9" s="64"/>
      <c r="S9" s="64"/>
      <c r="T9" s="64"/>
      <c r="U9" s="64"/>
      <c r="V9" s="63"/>
      <c r="W9" s="64"/>
      <c r="X9" s="64"/>
      <c r="Y9" s="65"/>
      <c r="Z9" s="66"/>
      <c r="AA9" s="67"/>
      <c r="AB9" s="67"/>
      <c r="AC9" s="67"/>
      <c r="AD9" s="66"/>
      <c r="AE9" s="67"/>
      <c r="AF9" s="67"/>
      <c r="AG9" s="67"/>
      <c r="AH9" s="67"/>
      <c r="AI9" s="67"/>
      <c r="AJ9" s="68"/>
      <c r="AK9" s="69"/>
      <c r="AP9" s="70"/>
      <c r="AQ9" s="71"/>
      <c r="AR9" s="71"/>
      <c r="AS9" s="72"/>
      <c r="AT9" s="73"/>
      <c r="AU9" s="74">
        <v>1951</v>
      </c>
      <c r="AV9" s="69"/>
      <c r="AW9" s="68"/>
      <c r="AX9" s="62">
        <v>1951</v>
      </c>
      <c r="AY9" s="67"/>
      <c r="AZ9" s="67"/>
      <c r="BA9" s="75"/>
      <c r="BB9" s="76"/>
      <c r="BC9" s="62">
        <v>1951</v>
      </c>
      <c r="BD9" s="77"/>
      <c r="BE9" s="76"/>
      <c r="BF9" s="76"/>
      <c r="BG9" s="76"/>
      <c r="BH9" s="76"/>
      <c r="BI9" s="76"/>
      <c r="BJ9" s="76"/>
      <c r="BK9" s="76"/>
      <c r="BL9" s="76"/>
      <c r="BM9" s="78"/>
      <c r="BN9" s="62">
        <v>1951</v>
      </c>
      <c r="BO9" s="77">
        <f>'[1]MER Table 4.3_Nov2019'!I15*1000</f>
        <v>192496</v>
      </c>
      <c r="BP9" s="80"/>
      <c r="BQ9" s="81"/>
      <c r="BT9" s="67" t="s">
        <v>79</v>
      </c>
      <c r="BU9" s="82">
        <v>0.16200000000000001</v>
      </c>
      <c r="BV9" s="82">
        <v>0.83299999999999996</v>
      </c>
      <c r="BW9" s="82">
        <v>5.0000000000000001E-3</v>
      </c>
      <c r="BX9" s="82"/>
      <c r="BY9" s="82"/>
      <c r="BZ9" s="82"/>
      <c r="CA9" s="82"/>
      <c r="CB9" s="63"/>
      <c r="CC9" s="64"/>
      <c r="CD9" s="64"/>
      <c r="CE9" s="65"/>
      <c r="CF9" s="66"/>
      <c r="CG9" s="67"/>
      <c r="CH9" s="67"/>
      <c r="CI9" s="67"/>
      <c r="CJ9" s="82"/>
      <c r="CK9" s="83"/>
      <c r="CL9" s="63">
        <v>26217</v>
      </c>
      <c r="CM9" s="82"/>
      <c r="CN9" s="84"/>
      <c r="CO9" s="82"/>
      <c r="CP9" s="82"/>
      <c r="CQ9" s="82"/>
      <c r="CR9" s="82"/>
      <c r="CS9" s="85"/>
      <c r="CT9" s="82"/>
      <c r="CU9" s="82"/>
      <c r="CV9" s="82"/>
      <c r="CW9" s="82"/>
      <c r="CX9" s="85"/>
    </row>
    <row r="10" spans="1:111" x14ac:dyDescent="0.25">
      <c r="A10" s="62">
        <v>1952</v>
      </c>
      <c r="B10" s="63">
        <f t="shared" si="0"/>
        <v>27955.426661411209</v>
      </c>
      <c r="C10" s="64"/>
      <c r="D10" s="64"/>
      <c r="E10" s="65"/>
      <c r="F10" s="64"/>
      <c r="G10" s="64"/>
      <c r="H10" s="64"/>
      <c r="I10" s="64"/>
      <c r="J10" s="64">
        <f>'[1]Passenger-based Activity'!$AF11/50</f>
        <v>26.573338588790222</v>
      </c>
      <c r="K10" s="64">
        <f t="shared" si="1"/>
        <v>26.573338588790222</v>
      </c>
      <c r="L10" s="63"/>
      <c r="M10" s="64"/>
      <c r="N10" s="64"/>
      <c r="O10" s="64"/>
      <c r="P10" s="65"/>
      <c r="Q10" s="64"/>
      <c r="R10" s="64"/>
      <c r="S10" s="64"/>
      <c r="T10" s="64"/>
      <c r="U10" s="64"/>
      <c r="V10" s="63"/>
      <c r="W10" s="64"/>
      <c r="X10" s="64"/>
      <c r="Y10" s="65"/>
      <c r="Z10" s="66"/>
      <c r="AA10" s="67"/>
      <c r="AB10" s="67"/>
      <c r="AC10" s="67"/>
      <c r="AD10" s="66"/>
      <c r="AE10" s="67"/>
      <c r="AF10" s="67"/>
      <c r="AG10" s="67"/>
      <c r="AH10" s="67"/>
      <c r="AI10" s="67"/>
      <c r="AJ10" s="68"/>
      <c r="AK10" s="69"/>
      <c r="AP10" s="70"/>
      <c r="AQ10" s="71"/>
      <c r="AR10" s="71"/>
      <c r="AS10" s="72"/>
      <c r="AT10" s="73"/>
      <c r="AU10" s="74">
        <v>1952</v>
      </c>
      <c r="AV10" s="69"/>
      <c r="AW10" s="68"/>
      <c r="AX10" s="62">
        <v>1952</v>
      </c>
      <c r="AY10" s="67"/>
      <c r="AZ10" s="67"/>
      <c r="BA10" s="75"/>
      <c r="BB10" s="76"/>
      <c r="BC10" s="62">
        <v>1952</v>
      </c>
      <c r="BD10" s="77"/>
      <c r="BE10" s="76"/>
      <c r="BF10" s="76"/>
      <c r="BG10" s="76"/>
      <c r="BH10" s="76"/>
      <c r="BI10" s="76"/>
      <c r="BJ10" s="76"/>
      <c r="BK10" s="76"/>
      <c r="BL10" s="76"/>
      <c r="BM10" s="78"/>
      <c r="BN10" s="62">
        <v>1952</v>
      </c>
      <c r="BO10" s="77">
        <f>'[1]MER Table 4.3_Nov2019'!I16*1000</f>
        <v>207207</v>
      </c>
      <c r="BP10" s="80"/>
      <c r="BQ10" s="81"/>
      <c r="BT10" s="67" t="s">
        <v>80</v>
      </c>
      <c r="BU10" s="82">
        <v>0.124</v>
      </c>
      <c r="BV10" s="82">
        <v>0.871</v>
      </c>
      <c r="BW10" s="82">
        <v>5.0000000000000001E-3</v>
      </c>
      <c r="BX10" s="82"/>
      <c r="BY10" s="82"/>
      <c r="BZ10" s="82"/>
      <c r="CA10" s="82"/>
      <c r="CB10" s="63"/>
      <c r="CC10" s="64"/>
      <c r="CD10" s="64"/>
      <c r="CE10" s="65"/>
      <c r="CF10" s="66"/>
      <c r="CG10" s="67"/>
      <c r="CH10" s="67"/>
      <c r="CI10" s="67"/>
      <c r="CJ10" s="82"/>
      <c r="CK10" s="83"/>
      <c r="CL10" s="63">
        <v>27982</v>
      </c>
      <c r="CM10" s="82"/>
      <c r="CN10" s="84"/>
      <c r="CO10" s="82"/>
      <c r="CP10" s="82"/>
      <c r="CQ10" s="82"/>
      <c r="CR10" s="82"/>
      <c r="CS10" s="85"/>
      <c r="CT10" s="82"/>
      <c r="CU10" s="82"/>
      <c r="CV10" s="82"/>
      <c r="CW10" s="82"/>
      <c r="CX10" s="85"/>
    </row>
    <row r="11" spans="1:111" x14ac:dyDescent="0.25">
      <c r="A11" s="62">
        <v>1953</v>
      </c>
      <c r="B11" s="63">
        <f t="shared" si="0"/>
        <v>29701.796450087477</v>
      </c>
      <c r="C11" s="64"/>
      <c r="D11" s="64"/>
      <c r="E11" s="65"/>
      <c r="F11" s="64"/>
      <c r="G11" s="64"/>
      <c r="H11" s="64"/>
      <c r="I11" s="64"/>
      <c r="J11" s="64">
        <f>'[1]Passenger-based Activity'!$AF12/50</f>
        <v>28.203549912523826</v>
      </c>
      <c r="K11" s="64">
        <f t="shared" si="1"/>
        <v>28.203549912523826</v>
      </c>
      <c r="L11" s="63"/>
      <c r="M11" s="64"/>
      <c r="N11" s="64"/>
      <c r="O11" s="64"/>
      <c r="P11" s="65"/>
      <c r="Q11" s="64"/>
      <c r="R11" s="64"/>
      <c r="S11" s="64"/>
      <c r="T11" s="64"/>
      <c r="U11" s="64"/>
      <c r="V11" s="63"/>
      <c r="W11" s="64"/>
      <c r="X11" s="64"/>
      <c r="Y11" s="65"/>
      <c r="Z11" s="66"/>
      <c r="AA11" s="67"/>
      <c r="AB11" s="67"/>
      <c r="AC11" s="67"/>
      <c r="AD11" s="66"/>
      <c r="AE11" s="67"/>
      <c r="AF11" s="67"/>
      <c r="AG11" s="67"/>
      <c r="AH11" s="67"/>
      <c r="AI11" s="67"/>
      <c r="AJ11" s="68"/>
      <c r="AK11" s="69"/>
      <c r="AP11" s="70"/>
      <c r="AQ11" s="71"/>
      <c r="AR11" s="71"/>
      <c r="AS11" s="72"/>
      <c r="AT11" s="73"/>
      <c r="AU11" s="74">
        <v>1953</v>
      </c>
      <c r="AV11" s="69"/>
      <c r="AW11" s="68"/>
      <c r="AX11" s="62">
        <v>1953</v>
      </c>
      <c r="AY11" s="67"/>
      <c r="AZ11" s="67"/>
      <c r="BA11" s="75"/>
      <c r="BB11" s="76"/>
      <c r="BC11" s="62">
        <v>1953</v>
      </c>
      <c r="BD11" s="77"/>
      <c r="BE11" s="76"/>
      <c r="BF11" s="76"/>
      <c r="BG11" s="76"/>
      <c r="BH11" s="76"/>
      <c r="BI11" s="76"/>
      <c r="BJ11" s="76"/>
      <c r="BK11" s="76"/>
      <c r="BL11" s="76"/>
      <c r="BM11" s="78"/>
      <c r="BN11" s="62">
        <v>1953</v>
      </c>
      <c r="BO11" s="77">
        <f>'[1]MER Table 4.3_Nov2019'!I17*1000</f>
        <v>230314</v>
      </c>
      <c r="BP11" s="80"/>
      <c r="BQ11" s="81"/>
      <c r="CB11" s="63"/>
      <c r="CC11" s="64"/>
      <c r="CD11" s="64"/>
      <c r="CE11" s="65"/>
      <c r="CF11" s="66"/>
      <c r="CG11" s="67"/>
      <c r="CH11" s="67"/>
      <c r="CI11" s="67"/>
      <c r="CK11" s="9"/>
      <c r="CL11" s="63">
        <v>29730</v>
      </c>
      <c r="CN11" s="11"/>
      <c r="CS11" s="12"/>
      <c r="CX11" s="12"/>
    </row>
    <row r="12" spans="1:111" x14ac:dyDescent="0.25">
      <c r="A12" s="62">
        <v>1954</v>
      </c>
      <c r="B12" s="63">
        <f t="shared" si="0"/>
        <v>31040.643239478122</v>
      </c>
      <c r="C12" s="64"/>
      <c r="D12" s="64"/>
      <c r="E12" s="65"/>
      <c r="F12" s="64"/>
      <c r="G12" s="64"/>
      <c r="H12" s="64"/>
      <c r="I12" s="64"/>
      <c r="J12" s="64">
        <f>'[1]Passenger-based Activity'!$AF13/50</f>
        <v>29.356760521877742</v>
      </c>
      <c r="K12" s="64">
        <f t="shared" si="1"/>
        <v>29.356760521877742</v>
      </c>
      <c r="L12" s="63"/>
      <c r="M12" s="64"/>
      <c r="N12" s="64"/>
      <c r="O12" s="64"/>
      <c r="P12" s="65"/>
      <c r="Q12" s="64"/>
      <c r="R12" s="64"/>
      <c r="S12" s="64"/>
      <c r="T12" s="64"/>
      <c r="U12" s="64"/>
      <c r="V12" s="63"/>
      <c r="W12" s="64"/>
      <c r="X12" s="64"/>
      <c r="Y12" s="65"/>
      <c r="Z12" s="66"/>
      <c r="AA12" s="67"/>
      <c r="AB12" s="67"/>
      <c r="AC12" s="67"/>
      <c r="AD12" s="66"/>
      <c r="AE12" s="67"/>
      <c r="AF12" s="67"/>
      <c r="AG12" s="67"/>
      <c r="AH12" s="67"/>
      <c r="AI12" s="67"/>
      <c r="AJ12" s="68"/>
      <c r="AK12" s="69"/>
      <c r="AP12" s="70"/>
      <c r="AQ12" s="71"/>
      <c r="AR12" s="71"/>
      <c r="AS12" s="72"/>
      <c r="AT12" s="73"/>
      <c r="AU12" s="74">
        <v>1954</v>
      </c>
      <c r="AV12" s="69"/>
      <c r="AW12" s="68"/>
      <c r="AX12" s="62">
        <v>1954</v>
      </c>
      <c r="AY12" s="67"/>
      <c r="AZ12" s="67"/>
      <c r="BA12" s="75"/>
      <c r="BB12" s="76"/>
      <c r="BC12" s="62">
        <v>1954</v>
      </c>
      <c r="BD12" s="77"/>
      <c r="BE12" s="76"/>
      <c r="BF12" s="76"/>
      <c r="BG12" s="76"/>
      <c r="BH12" s="76"/>
      <c r="BI12" s="76"/>
      <c r="BJ12" s="76"/>
      <c r="BK12" s="76"/>
      <c r="BL12" s="76"/>
      <c r="BM12" s="78"/>
      <c r="BN12" s="62">
        <v>1954</v>
      </c>
      <c r="BO12" s="77">
        <f>'[1]MER Table 4.3_Nov2019'!I18*1000</f>
        <v>230615</v>
      </c>
      <c r="BP12" s="80"/>
      <c r="BQ12" s="81"/>
      <c r="CB12" s="63"/>
      <c r="CC12" s="64"/>
      <c r="CD12" s="64"/>
      <c r="CE12" s="65"/>
      <c r="CF12" s="66"/>
      <c r="CG12" s="67"/>
      <c r="CH12" s="67"/>
      <c r="CI12" s="67"/>
      <c r="CK12" s="9"/>
      <c r="CL12" s="63">
        <v>31070</v>
      </c>
      <c r="CN12" s="11"/>
      <c r="CS12" s="12"/>
      <c r="CX12" s="12"/>
    </row>
    <row r="13" spans="1:111" x14ac:dyDescent="0.25">
      <c r="A13" s="62">
        <v>1955</v>
      </c>
      <c r="B13" s="63">
        <f t="shared" si="0"/>
        <v>33621.085393599285</v>
      </c>
      <c r="C13" s="64"/>
      <c r="D13" s="64"/>
      <c r="E13" s="65"/>
      <c r="F13" s="64"/>
      <c r="G13" s="64"/>
      <c r="H13" s="64"/>
      <c r="I13" s="64"/>
      <c r="J13" s="64">
        <f>'[1]Passenger-based Activity'!$AF14/50</f>
        <v>31.914606400711548</v>
      </c>
      <c r="K13" s="64">
        <f t="shared" si="1"/>
        <v>31.914606400711548</v>
      </c>
      <c r="L13" s="63"/>
      <c r="M13" s="64"/>
      <c r="N13" s="64"/>
      <c r="O13" s="64"/>
      <c r="P13" s="65"/>
      <c r="Q13" s="64"/>
      <c r="R13" s="64"/>
      <c r="S13" s="64"/>
      <c r="T13" s="64"/>
      <c r="U13" s="64"/>
      <c r="V13" s="63"/>
      <c r="W13" s="64"/>
      <c r="X13" s="64"/>
      <c r="Y13" s="65"/>
      <c r="Z13" s="66"/>
      <c r="AA13" s="67"/>
      <c r="AB13" s="67"/>
      <c r="AC13" s="67"/>
      <c r="AD13" s="66"/>
      <c r="AE13" s="67"/>
      <c r="AF13" s="67"/>
      <c r="AG13" s="67"/>
      <c r="AH13" s="67"/>
      <c r="AI13" s="67"/>
      <c r="AJ13" s="68"/>
      <c r="AK13" s="69"/>
      <c r="AP13" s="70"/>
      <c r="AQ13" s="71"/>
      <c r="AR13" s="71"/>
      <c r="AS13" s="72"/>
      <c r="AT13" s="73"/>
      <c r="AU13" s="74">
        <v>1955</v>
      </c>
      <c r="AV13" s="69"/>
      <c r="AW13" s="68"/>
      <c r="AX13" s="62">
        <v>1955</v>
      </c>
      <c r="AY13" s="67"/>
      <c r="AZ13" s="67"/>
      <c r="BA13" s="75"/>
      <c r="BB13" s="76"/>
      <c r="BC13" s="62">
        <v>1955</v>
      </c>
      <c r="BD13" s="77"/>
      <c r="BE13" s="76"/>
      <c r="BF13" s="76"/>
      <c r="BG13" s="76"/>
      <c r="BH13" s="76"/>
      <c r="BI13" s="76"/>
      <c r="BJ13" s="76"/>
      <c r="BK13" s="76"/>
      <c r="BL13" s="76"/>
      <c r="BM13" s="78"/>
      <c r="BN13" s="62">
        <v>1955</v>
      </c>
      <c r="BO13" s="77">
        <f>'[1]MER Table 4.3_Nov2019'!I19*1000</f>
        <v>245246</v>
      </c>
      <c r="BP13" s="80"/>
      <c r="BQ13" s="81"/>
      <c r="CB13" s="63"/>
      <c r="CC13" s="64"/>
      <c r="CD13" s="64"/>
      <c r="CE13" s="65"/>
      <c r="CF13" s="66"/>
      <c r="CG13" s="67"/>
      <c r="CH13" s="67"/>
      <c r="CI13" s="67"/>
      <c r="CK13" s="9"/>
      <c r="CL13" s="63">
        <v>33653</v>
      </c>
      <c r="CN13" s="11"/>
      <c r="CS13" s="12"/>
      <c r="CX13" s="12"/>
    </row>
    <row r="14" spans="1:111" x14ac:dyDescent="0.25">
      <c r="A14" s="62">
        <v>1956</v>
      </c>
      <c r="B14" s="63">
        <f t="shared" si="0"/>
        <v>35402.65069879817</v>
      </c>
      <c r="C14" s="64"/>
      <c r="D14" s="64"/>
      <c r="E14" s="65"/>
      <c r="F14" s="64"/>
      <c r="G14" s="64"/>
      <c r="H14" s="64"/>
      <c r="I14" s="64"/>
      <c r="J14" s="64">
        <f>'[1]Passenger-based Activity'!$AF15/50</f>
        <v>33.349301201832375</v>
      </c>
      <c r="K14" s="64">
        <f t="shared" si="1"/>
        <v>33.349301201832375</v>
      </c>
      <c r="L14" s="63"/>
      <c r="M14" s="64"/>
      <c r="N14" s="64"/>
      <c r="O14" s="64"/>
      <c r="P14" s="65"/>
      <c r="Q14" s="64"/>
      <c r="R14" s="64"/>
      <c r="S14" s="64"/>
      <c r="T14" s="64"/>
      <c r="U14" s="64"/>
      <c r="V14" s="63"/>
      <c r="W14" s="64"/>
      <c r="X14" s="64"/>
      <c r="Y14" s="65"/>
      <c r="Z14" s="66"/>
      <c r="AA14" s="67"/>
      <c r="AB14" s="67"/>
      <c r="AC14" s="67"/>
      <c r="AD14" s="66"/>
      <c r="AE14" s="67"/>
      <c r="AF14" s="67"/>
      <c r="AG14" s="67"/>
      <c r="AH14" s="67"/>
      <c r="AI14" s="67"/>
      <c r="AJ14" s="68"/>
      <c r="AK14" s="69"/>
      <c r="AP14" s="70"/>
      <c r="AQ14" s="71"/>
      <c r="AR14" s="71"/>
      <c r="AS14" s="72"/>
      <c r="AT14" s="73"/>
      <c r="AU14" s="74">
        <v>1956</v>
      </c>
      <c r="AV14" s="69"/>
      <c r="AW14" s="68"/>
      <c r="AX14" s="62">
        <v>1956</v>
      </c>
      <c r="AY14" s="67"/>
      <c r="AZ14" s="67"/>
      <c r="BA14" s="75"/>
      <c r="BB14" s="76"/>
      <c r="BC14" s="62">
        <v>1956</v>
      </c>
      <c r="BD14" s="77"/>
      <c r="BE14" s="76"/>
      <c r="BF14" s="76"/>
      <c r="BG14" s="76"/>
      <c r="BH14" s="76"/>
      <c r="BI14" s="76"/>
      <c r="BJ14" s="76"/>
      <c r="BK14" s="76"/>
      <c r="BL14" s="76"/>
      <c r="BM14" s="78"/>
      <c r="BN14" s="62">
        <v>1956</v>
      </c>
      <c r="BO14" s="77">
        <f>'[1]MER Table 4.3_Nov2019'!I20*1000</f>
        <v>295972</v>
      </c>
      <c r="BP14" s="80"/>
      <c r="BQ14" s="81"/>
      <c r="CB14" s="63"/>
      <c r="CC14" s="64"/>
      <c r="CD14" s="64"/>
      <c r="CE14" s="65"/>
      <c r="CF14" s="66"/>
      <c r="CG14" s="67"/>
      <c r="CH14" s="67"/>
      <c r="CI14" s="67"/>
      <c r="CK14" s="9"/>
      <c r="CL14" s="63">
        <v>35436</v>
      </c>
      <c r="CN14" s="11"/>
      <c r="CS14" s="12"/>
      <c r="CX14" s="12"/>
    </row>
    <row r="15" spans="1:111" x14ac:dyDescent="0.25">
      <c r="A15" s="62">
        <v>1957</v>
      </c>
      <c r="B15" s="63">
        <f t="shared" si="0"/>
        <v>36736.134633649352</v>
      </c>
      <c r="C15" s="64"/>
      <c r="D15" s="64"/>
      <c r="E15" s="65"/>
      <c r="F15" s="64"/>
      <c r="G15" s="64"/>
      <c r="H15" s="64"/>
      <c r="I15" s="64"/>
      <c r="J15" s="64">
        <f>'[1]Passenger-based Activity'!$AF16/50</f>
        <v>33.865366350650604</v>
      </c>
      <c r="K15" s="64">
        <f t="shared" si="1"/>
        <v>33.865366350650604</v>
      </c>
      <c r="L15" s="63"/>
      <c r="M15" s="64"/>
      <c r="N15" s="64"/>
      <c r="O15" s="64"/>
      <c r="P15" s="65"/>
      <c r="Q15" s="64"/>
      <c r="R15" s="64"/>
      <c r="S15" s="64"/>
      <c r="T15" s="64"/>
      <c r="U15" s="64"/>
      <c r="V15" s="63"/>
      <c r="W15" s="64"/>
      <c r="X15" s="64"/>
      <c r="Y15" s="65"/>
      <c r="Z15" s="66"/>
      <c r="AA15" s="67"/>
      <c r="AB15" s="67"/>
      <c r="AC15" s="67"/>
      <c r="AD15" s="66"/>
      <c r="AE15" s="67"/>
      <c r="AF15" s="67"/>
      <c r="AG15" s="67"/>
      <c r="AH15" s="67"/>
      <c r="AI15" s="67"/>
      <c r="AJ15" s="68"/>
      <c r="AK15" s="69"/>
      <c r="AP15" s="70"/>
      <c r="AQ15" s="71"/>
      <c r="AR15" s="71"/>
      <c r="AS15" s="72"/>
      <c r="AT15" s="73"/>
      <c r="AU15" s="74">
        <v>1957</v>
      </c>
      <c r="AV15" s="69"/>
      <c r="AW15" s="68"/>
      <c r="AX15" s="62">
        <v>1957</v>
      </c>
      <c r="AY15" s="67"/>
      <c r="AZ15" s="67"/>
      <c r="BA15" s="75"/>
      <c r="BB15" s="76"/>
      <c r="BC15" s="62">
        <v>1957</v>
      </c>
      <c r="BD15" s="77"/>
      <c r="BE15" s="76"/>
      <c r="BF15" s="76"/>
      <c r="BG15" s="76"/>
      <c r="BH15" s="76"/>
      <c r="BI15" s="76"/>
      <c r="BJ15" s="76"/>
      <c r="BK15" s="76"/>
      <c r="BL15" s="76"/>
      <c r="BM15" s="78"/>
      <c r="BN15" s="62">
        <v>1957</v>
      </c>
      <c r="BO15" s="77">
        <f>'[1]MER Table 4.3_Nov2019'!I21*1000</f>
        <v>299235</v>
      </c>
      <c r="BP15" s="80"/>
      <c r="BQ15" s="81"/>
      <c r="CB15" s="63"/>
      <c r="CC15" s="64"/>
      <c r="CD15" s="64"/>
      <c r="CE15" s="65"/>
      <c r="CF15" s="66"/>
      <c r="CG15" s="67"/>
      <c r="CH15" s="67"/>
      <c r="CI15" s="67"/>
      <c r="CK15" s="9"/>
      <c r="CL15" s="63">
        <v>36770</v>
      </c>
      <c r="CN15" s="11"/>
      <c r="CS15" s="12"/>
      <c r="CX15" s="12"/>
    </row>
    <row r="16" spans="1:111" x14ac:dyDescent="0.25">
      <c r="A16" s="62">
        <v>1958</v>
      </c>
      <c r="B16" s="63">
        <f t="shared" si="0"/>
        <v>38061.987771820386</v>
      </c>
      <c r="C16" s="64"/>
      <c r="D16" s="64"/>
      <c r="E16" s="65"/>
      <c r="F16" s="64"/>
      <c r="G16" s="64"/>
      <c r="H16" s="64"/>
      <c r="I16" s="64"/>
      <c r="J16" s="64">
        <f>'[1]Passenger-based Activity'!$AF17/50</f>
        <v>35.012228179614844</v>
      </c>
      <c r="K16" s="64">
        <f t="shared" si="1"/>
        <v>35.012228179614844</v>
      </c>
      <c r="L16" s="63"/>
      <c r="M16" s="64"/>
      <c r="N16" s="64"/>
      <c r="O16" s="64"/>
      <c r="P16" s="65"/>
      <c r="Q16" s="64"/>
      <c r="R16" s="64"/>
      <c r="S16" s="64"/>
      <c r="T16" s="64"/>
      <c r="U16" s="64"/>
      <c r="V16" s="63"/>
      <c r="W16" s="64"/>
      <c r="X16" s="64"/>
      <c r="Y16" s="65"/>
      <c r="Z16" s="66"/>
      <c r="AA16" s="67"/>
      <c r="AB16" s="67"/>
      <c r="AC16" s="67"/>
      <c r="AD16" s="66"/>
      <c r="AE16" s="67"/>
      <c r="AF16" s="67"/>
      <c r="AG16" s="67"/>
      <c r="AH16" s="67"/>
      <c r="AI16" s="67"/>
      <c r="AJ16" s="68"/>
      <c r="AK16" s="69"/>
      <c r="AP16" s="70"/>
      <c r="AQ16" s="71"/>
      <c r="AR16" s="71"/>
      <c r="AS16" s="72"/>
      <c r="AT16" s="73"/>
      <c r="AU16" s="74">
        <v>1958</v>
      </c>
      <c r="AV16" s="69"/>
      <c r="AW16" s="68"/>
      <c r="AX16" s="62">
        <v>1958</v>
      </c>
      <c r="AY16" s="67"/>
      <c r="AZ16" s="67"/>
      <c r="BA16" s="75"/>
      <c r="BB16" s="76"/>
      <c r="BC16" s="62">
        <v>1958</v>
      </c>
      <c r="BD16" s="77"/>
      <c r="BE16" s="76"/>
      <c r="BF16" s="76"/>
      <c r="BG16" s="76"/>
      <c r="BH16" s="76"/>
      <c r="BI16" s="76"/>
      <c r="BJ16" s="76"/>
      <c r="BK16" s="76"/>
      <c r="BL16" s="76"/>
      <c r="BM16" s="78"/>
      <c r="BN16" s="62">
        <v>1958</v>
      </c>
      <c r="BO16" s="77">
        <f>'[1]MER Table 4.3_Nov2019'!I22*1000</f>
        <v>312221</v>
      </c>
      <c r="BP16" s="80"/>
      <c r="BQ16" s="81"/>
      <c r="CB16" s="63"/>
      <c r="CC16" s="64"/>
      <c r="CD16" s="64"/>
      <c r="CE16" s="65"/>
      <c r="CF16" s="66"/>
      <c r="CG16" s="67"/>
      <c r="CH16" s="67"/>
      <c r="CI16" s="67"/>
      <c r="CK16" s="9"/>
      <c r="CL16" s="63">
        <v>38097</v>
      </c>
      <c r="CN16" s="11"/>
      <c r="CS16" s="12"/>
      <c r="CX16" s="12"/>
    </row>
    <row r="17" spans="1:117" x14ac:dyDescent="0.25">
      <c r="A17" s="62">
        <v>1959</v>
      </c>
      <c r="B17" s="63">
        <f t="shared" si="0"/>
        <v>40020.968082254789</v>
      </c>
      <c r="C17" s="64"/>
      <c r="D17" s="64"/>
      <c r="E17" s="65"/>
      <c r="F17" s="64"/>
      <c r="G17" s="64"/>
      <c r="H17" s="64"/>
      <c r="I17" s="64"/>
      <c r="J17" s="64">
        <f>'[1]Passenger-based Activity'!$AF18/50</f>
        <v>37.031917745213271</v>
      </c>
      <c r="K17" s="64">
        <f t="shared" si="1"/>
        <v>37.031917745213271</v>
      </c>
      <c r="L17" s="63"/>
      <c r="M17" s="64"/>
      <c r="N17" s="64"/>
      <c r="O17" s="64"/>
      <c r="P17" s="65"/>
      <c r="Q17" s="64"/>
      <c r="R17" s="64"/>
      <c r="S17" s="64"/>
      <c r="T17" s="64"/>
      <c r="U17" s="64"/>
      <c r="V17" s="63"/>
      <c r="W17" s="64"/>
      <c r="X17" s="64"/>
      <c r="Y17" s="65"/>
      <c r="Z17" s="66"/>
      <c r="AA17" s="67"/>
      <c r="AB17" s="67"/>
      <c r="AC17" s="67"/>
      <c r="AD17" s="66"/>
      <c r="AE17" s="67"/>
      <c r="AF17" s="67"/>
      <c r="AG17" s="67"/>
      <c r="AH17" s="67"/>
      <c r="AI17" s="67"/>
      <c r="AJ17" s="68"/>
      <c r="AK17" s="69"/>
      <c r="AP17" s="70"/>
      <c r="AQ17" s="71"/>
      <c r="AR17" s="71"/>
      <c r="AS17" s="72"/>
      <c r="AT17" s="73"/>
      <c r="AU17" s="74">
        <v>1959</v>
      </c>
      <c r="AV17" s="69"/>
      <c r="AW17" s="68"/>
      <c r="AX17" s="62">
        <v>1959</v>
      </c>
      <c r="AY17" s="67"/>
      <c r="AZ17" s="67"/>
      <c r="BA17" s="75"/>
      <c r="BB17" s="76"/>
      <c r="BC17" s="62">
        <v>1959</v>
      </c>
      <c r="BD17" s="77"/>
      <c r="BE17" s="76"/>
      <c r="BF17" s="76"/>
      <c r="BG17" s="76"/>
      <c r="BH17" s="76"/>
      <c r="BI17" s="76"/>
      <c r="BJ17" s="76"/>
      <c r="BK17" s="76"/>
      <c r="BL17" s="76"/>
      <c r="BM17" s="78"/>
      <c r="BN17" s="62">
        <v>1959</v>
      </c>
      <c r="BO17" s="77">
        <f>'[1]MER Table 4.3_Nov2019'!I23*1000</f>
        <v>349348</v>
      </c>
      <c r="BP17" s="80"/>
      <c r="BQ17" s="81"/>
      <c r="BY17">
        <f>3031</f>
        <v>3031</v>
      </c>
      <c r="BZ17">
        <f>668847</f>
        <v>668847</v>
      </c>
      <c r="CA17" s="86">
        <f>BZ17/BY17</f>
        <v>220.66875618607719</v>
      </c>
      <c r="CB17" s="63"/>
      <c r="CC17" s="64"/>
      <c r="CD17" s="64"/>
      <c r="CE17" s="65"/>
      <c r="CF17" s="66"/>
      <c r="CG17" s="67"/>
      <c r="CH17" s="67"/>
      <c r="CI17" s="67"/>
      <c r="CK17" s="9"/>
      <c r="CL17" s="63">
        <v>40058</v>
      </c>
      <c r="CN17" s="11"/>
      <c r="CS17" s="12"/>
      <c r="CX17" s="12"/>
    </row>
    <row r="18" spans="1:117" x14ac:dyDescent="0.25">
      <c r="A18" s="62">
        <v>1960</v>
      </c>
      <c r="B18" s="63">
        <f t="shared" si="0"/>
        <v>41132.971323733604</v>
      </c>
      <c r="C18" s="64"/>
      <c r="D18" s="64"/>
      <c r="E18" s="65"/>
      <c r="F18" s="64"/>
      <c r="G18" s="64"/>
      <c r="H18" s="64"/>
      <c r="I18" s="64"/>
      <c r="J18" s="64">
        <f>'[1]Passenger-based Activity'!$AF19/50</f>
        <v>38.028676266392942</v>
      </c>
      <c r="K18" s="64">
        <f t="shared" si="1"/>
        <v>38.028676266392942</v>
      </c>
      <c r="L18" s="63"/>
      <c r="M18" s="64"/>
      <c r="N18" s="64"/>
      <c r="O18" s="64"/>
      <c r="P18" s="65"/>
      <c r="Q18" s="64"/>
      <c r="R18" s="64"/>
      <c r="S18" s="64"/>
      <c r="T18" s="64"/>
      <c r="U18" s="64"/>
      <c r="V18" s="63"/>
      <c r="W18" s="64"/>
      <c r="X18" s="64"/>
      <c r="Y18" s="65"/>
      <c r="Z18" s="66"/>
      <c r="AA18" s="67"/>
      <c r="AB18" s="67"/>
      <c r="AC18" s="67"/>
      <c r="AD18" s="66"/>
      <c r="AE18" s="67"/>
      <c r="AF18" s="67"/>
      <c r="AG18" s="67"/>
      <c r="AH18" s="67"/>
      <c r="AI18" s="67"/>
      <c r="AJ18" s="68"/>
      <c r="AK18" s="69"/>
      <c r="AP18" s="70"/>
      <c r="AQ18" s="71"/>
      <c r="AR18" s="71"/>
      <c r="AS18" s="72"/>
      <c r="AT18" s="73"/>
      <c r="AU18" s="74">
        <v>1960</v>
      </c>
      <c r="AV18" s="69"/>
      <c r="AW18" s="68"/>
      <c r="AX18" s="62">
        <v>1960</v>
      </c>
      <c r="AY18" s="67"/>
      <c r="AZ18" s="67"/>
      <c r="BA18" s="75"/>
      <c r="BB18" s="76"/>
      <c r="BC18" s="62">
        <v>1960</v>
      </c>
      <c r="BD18" s="77"/>
      <c r="BE18" s="76"/>
      <c r="BF18" s="76"/>
      <c r="BG18" s="76"/>
      <c r="BH18" s="76"/>
      <c r="BI18" s="76"/>
      <c r="BJ18" s="76"/>
      <c r="BK18" s="76"/>
      <c r="BL18" s="76"/>
      <c r="BM18" s="78"/>
      <c r="BN18" s="62">
        <v>1960</v>
      </c>
      <c r="BO18" s="77">
        <f>'[1]MER Table 4.3_Nov2019'!I24*1000</f>
        <v>347075</v>
      </c>
      <c r="BP18" s="80"/>
      <c r="BQ18" s="81"/>
      <c r="BY18">
        <v>2936.6</v>
      </c>
      <c r="BZ18">
        <f>647956</f>
        <v>647956</v>
      </c>
      <c r="CA18" s="86">
        <f>BZ18/BY18</f>
        <v>220.64836886194919</v>
      </c>
      <c r="CB18" s="63"/>
      <c r="CC18" s="64"/>
      <c r="CD18" s="64"/>
      <c r="CE18" s="65"/>
      <c r="CF18" s="66"/>
      <c r="CG18" s="67"/>
      <c r="CH18" s="67"/>
      <c r="CI18" s="67"/>
      <c r="CK18" s="9"/>
      <c r="CL18" s="63">
        <v>41171</v>
      </c>
      <c r="CN18" s="11"/>
      <c r="CS18" s="12"/>
      <c r="CX18" s="12"/>
    </row>
    <row r="19" spans="1:117" x14ac:dyDescent="0.25">
      <c r="A19" s="62">
        <v>1961</v>
      </c>
      <c r="B19" s="63">
        <f t="shared" si="0"/>
        <v>41993.881989628993</v>
      </c>
      <c r="C19" s="64"/>
      <c r="D19" s="64"/>
      <c r="E19" s="65"/>
      <c r="F19" s="64"/>
      <c r="G19" s="64"/>
      <c r="H19" s="64"/>
      <c r="I19" s="64"/>
      <c r="J19" s="64">
        <f>'[1]Passenger-based Activity'!$AF20/50</f>
        <v>39.118010371009881</v>
      </c>
      <c r="K19" s="64">
        <f t="shared" si="1"/>
        <v>39.118010371009881</v>
      </c>
      <c r="L19" s="63"/>
      <c r="M19" s="64"/>
      <c r="N19" s="64"/>
      <c r="O19" s="64"/>
      <c r="P19" s="65"/>
      <c r="Q19" s="64"/>
      <c r="R19" s="64"/>
      <c r="S19" s="64"/>
      <c r="T19" s="64"/>
      <c r="U19" s="64"/>
      <c r="V19" s="63"/>
      <c r="W19" s="64"/>
      <c r="X19" s="64"/>
      <c r="Y19" s="65"/>
      <c r="Z19" s="66"/>
      <c r="AA19" s="67"/>
      <c r="AB19" s="67"/>
      <c r="AC19" s="67"/>
      <c r="AD19" s="66"/>
      <c r="AE19" s="67"/>
      <c r="AF19" s="67"/>
      <c r="AG19" s="67"/>
      <c r="AH19" s="67"/>
      <c r="AI19" s="67"/>
      <c r="AJ19" s="68"/>
      <c r="AK19" s="69"/>
      <c r="AP19" s="70"/>
      <c r="AQ19" s="71"/>
      <c r="AR19" s="71"/>
      <c r="AS19" s="72"/>
      <c r="AT19" s="73"/>
      <c r="AU19" s="74">
        <v>1961</v>
      </c>
      <c r="AV19" s="69"/>
      <c r="AW19" s="68"/>
      <c r="AX19" s="62">
        <v>1961</v>
      </c>
      <c r="AY19" s="67"/>
      <c r="AZ19" s="67"/>
      <c r="BA19" s="75"/>
      <c r="BB19" s="76"/>
      <c r="BC19" s="62">
        <v>1961</v>
      </c>
      <c r="BD19" s="77"/>
      <c r="BE19" s="76"/>
      <c r="BF19" s="76"/>
      <c r="BG19" s="76"/>
      <c r="BH19" s="76"/>
      <c r="BI19" s="76"/>
      <c r="BJ19" s="76"/>
      <c r="BK19" s="76"/>
      <c r="BL19" s="76"/>
      <c r="BM19" s="78"/>
      <c r="BN19" s="62">
        <v>1961</v>
      </c>
      <c r="BO19" s="77">
        <f>'[1]MER Table 4.3_Nov2019'!I25*1000</f>
        <v>377607</v>
      </c>
      <c r="BP19" s="80"/>
      <c r="BQ19" s="81"/>
      <c r="BY19">
        <v>2990.3</v>
      </c>
      <c r="BZ19">
        <v>659816</v>
      </c>
      <c r="CA19" s="86">
        <f>BZ19/BY19</f>
        <v>220.65210848409856</v>
      </c>
      <c r="CB19" s="63"/>
      <c r="CC19" s="64"/>
      <c r="CD19" s="64"/>
      <c r="CE19" s="65"/>
      <c r="CF19" s="66"/>
      <c r="CG19" s="67"/>
      <c r="CH19" s="67"/>
      <c r="CI19" s="67"/>
      <c r="CK19" s="9"/>
      <c r="CL19" s="63">
        <v>42033</v>
      </c>
      <c r="CN19" s="11"/>
      <c r="CS19" s="12"/>
      <c r="CX19" s="12"/>
      <c r="DD19" t="s">
        <v>81</v>
      </c>
    </row>
    <row r="20" spans="1:117" x14ac:dyDescent="0.25">
      <c r="A20" s="62">
        <v>1962</v>
      </c>
      <c r="B20" s="63">
        <f t="shared" si="0"/>
        <v>43730.355690996534</v>
      </c>
      <c r="C20" s="64"/>
      <c r="D20" s="64"/>
      <c r="E20" s="65"/>
      <c r="F20" s="64"/>
      <c r="G20" s="64"/>
      <c r="H20" s="64"/>
      <c r="I20" s="64"/>
      <c r="J20" s="64">
        <f>'[1]Passenger-based Activity'!$AF21/50</f>
        <v>40.644309003467512</v>
      </c>
      <c r="K20" s="64">
        <f t="shared" si="1"/>
        <v>40.644309003467512</v>
      </c>
      <c r="L20" s="63"/>
      <c r="M20" s="64"/>
      <c r="N20" s="64"/>
      <c r="O20" s="64"/>
      <c r="P20" s="65"/>
      <c r="Q20" s="64"/>
      <c r="R20" s="64"/>
      <c r="S20" s="64"/>
      <c r="T20" s="64"/>
      <c r="U20" s="64"/>
      <c r="V20" s="63"/>
      <c r="W20" s="64"/>
      <c r="X20" s="64"/>
      <c r="Y20" s="65"/>
      <c r="Z20" s="66"/>
      <c r="AA20" s="67"/>
      <c r="AB20" s="67"/>
      <c r="AC20" s="67"/>
      <c r="AD20" s="66"/>
      <c r="AE20" s="67"/>
      <c r="AF20" s="67"/>
      <c r="AG20" s="67"/>
      <c r="AH20" s="67"/>
      <c r="AI20" s="67"/>
      <c r="AJ20" s="68"/>
      <c r="AK20" s="69"/>
      <c r="AP20" s="70"/>
      <c r="AQ20" s="71"/>
      <c r="AR20" s="71"/>
      <c r="AS20" s="72"/>
      <c r="AT20" s="73"/>
      <c r="AU20" s="74">
        <v>1962</v>
      </c>
      <c r="AV20" s="69"/>
      <c r="AW20" s="68"/>
      <c r="AX20" s="62">
        <v>1962</v>
      </c>
      <c r="AY20" s="67"/>
      <c r="AZ20" s="67"/>
      <c r="BA20" s="75">
        <v>241</v>
      </c>
      <c r="BB20" s="76">
        <v>20</v>
      </c>
      <c r="BC20" s="62">
        <v>1962</v>
      </c>
      <c r="BD20" s="77"/>
      <c r="BE20" s="76"/>
      <c r="BF20" s="76"/>
      <c r="BG20" s="76"/>
      <c r="BH20" s="76"/>
      <c r="BI20" s="76"/>
      <c r="BJ20" s="76"/>
      <c r="BK20" s="76"/>
      <c r="BL20" s="76"/>
      <c r="BM20" s="78"/>
      <c r="BN20" s="62">
        <v>1962</v>
      </c>
      <c r="BO20" s="77">
        <f>'[1]MER Table 4.3_Nov2019'!I26*1000</f>
        <v>382496</v>
      </c>
      <c r="BP20" s="80"/>
      <c r="BQ20" s="81"/>
      <c r="CB20" s="63"/>
      <c r="CC20" s="64"/>
      <c r="CD20" s="64"/>
      <c r="CE20" s="65"/>
      <c r="CF20" s="66"/>
      <c r="CG20" s="67"/>
      <c r="CH20" s="67"/>
      <c r="CI20" s="67"/>
      <c r="CK20" s="9"/>
      <c r="CL20" s="63">
        <v>43771</v>
      </c>
      <c r="CN20" s="11"/>
      <c r="CS20" s="12"/>
      <c r="CX20" s="12"/>
      <c r="DD20" s="87">
        <v>138.69999999999999</v>
      </c>
      <c r="DE20" s="87">
        <v>149.69999999999999</v>
      </c>
    </row>
    <row r="21" spans="1:117" x14ac:dyDescent="0.25">
      <c r="A21" s="62">
        <v>1963</v>
      </c>
      <c r="B21" s="63">
        <f t="shared" si="0"/>
        <v>45203.120855515896</v>
      </c>
      <c r="C21" s="64"/>
      <c r="D21" s="64"/>
      <c r="E21" s="65"/>
      <c r="F21" s="64"/>
      <c r="G21" s="64"/>
      <c r="H21" s="64"/>
      <c r="I21" s="64"/>
      <c r="J21" s="64">
        <f>'[1]Passenger-based Activity'!$AF22/50</f>
        <v>42.879144484108039</v>
      </c>
      <c r="K21" s="64">
        <f t="shared" si="1"/>
        <v>42.879144484108039</v>
      </c>
      <c r="L21" s="63"/>
      <c r="M21" s="64"/>
      <c r="N21" s="64"/>
      <c r="O21" s="64"/>
      <c r="P21" s="65"/>
      <c r="Q21" s="64"/>
      <c r="R21" s="64"/>
      <c r="S21" s="64"/>
      <c r="T21" s="64"/>
      <c r="U21" s="64"/>
      <c r="V21" s="63"/>
      <c r="W21" s="64"/>
      <c r="X21" s="64"/>
      <c r="Y21" s="65"/>
      <c r="Z21" s="63"/>
      <c r="AA21" s="80"/>
      <c r="AB21" s="80"/>
      <c r="AC21" s="80"/>
      <c r="AD21" s="79"/>
      <c r="AE21" s="80"/>
      <c r="AF21" s="80"/>
      <c r="AG21" s="80"/>
      <c r="AH21" s="80"/>
      <c r="AI21" s="80"/>
      <c r="AJ21" s="88"/>
      <c r="AK21" s="69"/>
      <c r="AP21" s="70"/>
      <c r="AQ21" s="89"/>
      <c r="AR21" s="89"/>
      <c r="AS21" s="90"/>
      <c r="AT21" s="91"/>
      <c r="AU21" s="74">
        <v>1963</v>
      </c>
      <c r="AV21" s="69"/>
      <c r="AW21" s="88"/>
      <c r="AX21" s="62">
        <v>1963</v>
      </c>
      <c r="AY21" s="80"/>
      <c r="AZ21" s="80"/>
      <c r="BA21" s="77">
        <v>250</v>
      </c>
      <c r="BB21" s="76">
        <v>32</v>
      </c>
      <c r="BC21" s="62">
        <v>1963</v>
      </c>
      <c r="BD21" s="77"/>
      <c r="BE21" s="76"/>
      <c r="BF21" s="76"/>
      <c r="BG21" s="76"/>
      <c r="BH21" s="76"/>
      <c r="BI21" s="76"/>
      <c r="BJ21" s="76"/>
      <c r="BK21" s="76"/>
      <c r="BL21" s="76"/>
      <c r="BM21" s="78"/>
      <c r="BN21" s="62">
        <v>1963</v>
      </c>
      <c r="BO21" s="77">
        <f>'[1]MER Table 4.3_Nov2019'!I27*1000</f>
        <v>423783</v>
      </c>
      <c r="BP21" s="80"/>
      <c r="BQ21" s="81"/>
      <c r="CB21" s="63"/>
      <c r="CC21" s="64"/>
      <c r="CD21" s="64"/>
      <c r="CE21" s="65"/>
      <c r="CF21" s="63">
        <v>6084</v>
      </c>
      <c r="CG21" s="80">
        <v>2409.2640000000001</v>
      </c>
      <c r="CH21" s="80">
        <v>3613.8959999999997</v>
      </c>
      <c r="CI21" s="80">
        <v>60.84</v>
      </c>
      <c r="CK21" s="9"/>
      <c r="CL21" s="63">
        <v>45246</v>
      </c>
      <c r="CN21" s="11"/>
      <c r="CS21" s="12"/>
      <c r="CX21" s="12"/>
    </row>
    <row r="22" spans="1:117" x14ac:dyDescent="0.25">
      <c r="A22" s="62">
        <v>1964</v>
      </c>
      <c r="B22" s="63">
        <f t="shared" si="0"/>
        <v>47515.921391811709</v>
      </c>
      <c r="C22" s="64"/>
      <c r="D22" s="64"/>
      <c r="E22" s="65"/>
      <c r="F22" s="64"/>
      <c r="G22" s="64"/>
      <c r="H22" s="64"/>
      <c r="I22" s="64"/>
      <c r="J22" s="64">
        <f>'[1]Passenger-based Activity'!$AF23/50</f>
        <v>45.078608188291781</v>
      </c>
      <c r="K22" s="64">
        <f t="shared" si="1"/>
        <v>45.078608188291781</v>
      </c>
      <c r="L22" s="63"/>
      <c r="M22" s="64"/>
      <c r="N22" s="64"/>
      <c r="O22" s="64"/>
      <c r="P22" s="65"/>
      <c r="Q22" s="64"/>
      <c r="R22" s="64"/>
      <c r="S22" s="64"/>
      <c r="T22" s="64"/>
      <c r="U22" s="64"/>
      <c r="V22" s="63"/>
      <c r="W22" s="64"/>
      <c r="X22" s="64"/>
      <c r="Y22" s="65"/>
      <c r="Z22" s="63"/>
      <c r="AA22" s="80"/>
      <c r="AB22" s="80"/>
      <c r="AC22" s="80"/>
      <c r="AD22" s="79"/>
      <c r="AE22" s="80"/>
      <c r="AF22" s="80"/>
      <c r="AG22" s="80"/>
      <c r="AH22" s="80"/>
      <c r="AI22" s="80"/>
      <c r="AJ22" s="88"/>
      <c r="AK22" s="69"/>
      <c r="AP22" s="70"/>
      <c r="AQ22" s="89"/>
      <c r="AR22" s="89"/>
      <c r="AS22" s="90"/>
      <c r="AT22" s="91"/>
      <c r="AU22" s="74">
        <v>1964</v>
      </c>
      <c r="AV22" s="69"/>
      <c r="AW22" s="88"/>
      <c r="AX22" s="62">
        <v>1964</v>
      </c>
      <c r="AY22" s="80"/>
      <c r="AZ22" s="80"/>
      <c r="BA22" s="77">
        <v>262</v>
      </c>
      <c r="BB22" s="76">
        <v>41</v>
      </c>
      <c r="BC22" s="62">
        <v>1964</v>
      </c>
      <c r="BD22" s="77"/>
      <c r="BE22" s="76"/>
      <c r="BF22" s="76"/>
      <c r="BG22" s="76"/>
      <c r="BH22" s="76"/>
      <c r="BI22" s="76"/>
      <c r="BJ22" s="76"/>
      <c r="BK22" s="76"/>
      <c r="BL22" s="76"/>
      <c r="BM22" s="78"/>
      <c r="BN22" s="62">
        <v>1964</v>
      </c>
      <c r="BO22" s="77">
        <f>'[1]MER Table 4.3_Nov2019'!I28*1000</f>
        <v>435570</v>
      </c>
      <c r="BP22" s="80"/>
      <c r="BQ22" s="81"/>
      <c r="CB22" s="63"/>
      <c r="CC22" s="64"/>
      <c r="CD22" s="64"/>
      <c r="CE22" s="65"/>
      <c r="CF22" s="63">
        <v>6271</v>
      </c>
      <c r="CG22" s="80">
        <v>2483.3160000000003</v>
      </c>
      <c r="CH22" s="80">
        <v>3724.9739999999997</v>
      </c>
      <c r="CI22" s="80">
        <v>62.71</v>
      </c>
      <c r="CK22" s="9"/>
      <c r="CL22" s="63">
        <v>47561</v>
      </c>
      <c r="CN22" s="11"/>
      <c r="CS22" s="12"/>
      <c r="CX22" s="12"/>
    </row>
    <row r="23" spans="1:117" x14ac:dyDescent="0.25">
      <c r="A23" s="62">
        <v>1965</v>
      </c>
      <c r="B23" s="63">
        <f t="shared" si="0"/>
        <v>49676.181242933679</v>
      </c>
      <c r="C23" s="64"/>
      <c r="D23" s="64"/>
      <c r="E23" s="65"/>
      <c r="F23" s="64"/>
      <c r="G23" s="64"/>
      <c r="H23" s="64"/>
      <c r="I23" s="64"/>
      <c r="J23" s="64">
        <f>'[1]Passenger-based Activity'!$AF24/50</f>
        <v>46.818757066324224</v>
      </c>
      <c r="K23" s="64">
        <f t="shared" si="1"/>
        <v>46.818757066324224</v>
      </c>
      <c r="L23" s="63"/>
      <c r="M23" s="64"/>
      <c r="N23" s="64"/>
      <c r="O23" s="64"/>
      <c r="P23" s="65"/>
      <c r="Q23" s="64"/>
      <c r="R23" s="64"/>
      <c r="S23" s="64"/>
      <c r="T23" s="64"/>
      <c r="U23" s="64"/>
      <c r="V23" s="63"/>
      <c r="W23" s="64"/>
      <c r="X23" s="64"/>
      <c r="Y23" s="65"/>
      <c r="Z23" s="63"/>
      <c r="AA23" s="80"/>
      <c r="AB23" s="80"/>
      <c r="AC23" s="80"/>
      <c r="AD23" s="92">
        <v>248.4</v>
      </c>
      <c r="AE23" s="93"/>
      <c r="AF23" s="93">
        <f>CQ23</f>
        <v>91.5</v>
      </c>
      <c r="AG23" s="93"/>
      <c r="AH23" s="93"/>
      <c r="AI23" s="93"/>
      <c r="AJ23" s="76"/>
      <c r="AK23" s="69"/>
      <c r="AP23" s="70"/>
      <c r="AQ23" s="89"/>
      <c r="AR23" s="89"/>
      <c r="AS23" s="90"/>
      <c r="AT23" s="91"/>
      <c r="AU23" s="74">
        <v>1965</v>
      </c>
      <c r="AV23" s="69"/>
      <c r="AW23" s="88"/>
      <c r="AX23" s="62">
        <v>1965</v>
      </c>
      <c r="AY23" s="80"/>
      <c r="AZ23" s="80"/>
      <c r="BA23" s="77">
        <v>292</v>
      </c>
      <c r="BB23" s="76">
        <v>56</v>
      </c>
      <c r="BC23" s="62">
        <v>1965</v>
      </c>
      <c r="BD23" s="77"/>
      <c r="BE23" s="76"/>
      <c r="BF23" s="76"/>
      <c r="BG23" s="76"/>
      <c r="BH23" s="76"/>
      <c r="BI23" s="76"/>
      <c r="BJ23" s="88"/>
      <c r="BK23" s="88">
        <v>2185</v>
      </c>
      <c r="BL23" s="65">
        <v>218</v>
      </c>
      <c r="BM23" s="78"/>
      <c r="BN23" s="62">
        <v>1965</v>
      </c>
      <c r="BO23" s="77">
        <f>'[1]MER Table 4.3_Nov2019'!I29*1000</f>
        <v>500524</v>
      </c>
      <c r="BP23" s="80"/>
      <c r="BQ23" s="81"/>
      <c r="CB23" s="63"/>
      <c r="CC23" s="64"/>
      <c r="CD23" s="64"/>
      <c r="CE23" s="65"/>
      <c r="CF23" s="63">
        <v>6658</v>
      </c>
      <c r="CG23" s="80">
        <v>2636.5680000000002</v>
      </c>
      <c r="CH23" s="80">
        <v>3954.8519999999999</v>
      </c>
      <c r="CI23" s="80">
        <v>66.58</v>
      </c>
      <c r="CK23" s="9"/>
      <c r="CL23" s="63">
        <v>49723</v>
      </c>
      <c r="CN23" s="11"/>
      <c r="CP23" s="86">
        <v>91.5</v>
      </c>
      <c r="CQ23" s="86">
        <f t="shared" ref="CQ23:CQ41" si="2">CP23</f>
        <v>91.5</v>
      </c>
      <c r="CS23" s="12"/>
      <c r="CX23" s="12"/>
      <c r="DD23" t="s">
        <v>82</v>
      </c>
      <c r="DI23" t="s">
        <v>83</v>
      </c>
      <c r="DJ23" t="s">
        <v>84</v>
      </c>
      <c r="DL23" t="s">
        <v>85</v>
      </c>
    </row>
    <row r="24" spans="1:117" x14ac:dyDescent="0.25">
      <c r="A24" s="62">
        <v>1966</v>
      </c>
      <c r="B24" s="63">
        <f t="shared" si="0"/>
        <v>54936.632145128897</v>
      </c>
      <c r="C24" s="64"/>
      <c r="D24" s="64"/>
      <c r="E24" s="65"/>
      <c r="F24" s="64"/>
      <c r="G24" s="64"/>
      <c r="H24" s="64"/>
      <c r="I24" s="64"/>
      <c r="J24" s="64">
        <f>'[1]Passenger-based Activity'!$AF25/50</f>
        <v>50.367854871101763</v>
      </c>
      <c r="K24" s="64">
        <f t="shared" si="1"/>
        <v>50.367854871101763</v>
      </c>
      <c r="L24" s="63">
        <v>9425</v>
      </c>
      <c r="M24" s="80">
        <f t="shared" ref="M24:M66" si="3">L24-N24-O24-P24</f>
        <v>9198.8000000000011</v>
      </c>
      <c r="N24" s="80"/>
      <c r="O24" s="80">
        <f t="shared" ref="O24:O35" si="4">L24*0.016</f>
        <v>150.80000000000001</v>
      </c>
      <c r="P24" s="88">
        <f t="shared" ref="P24:P35" si="5">L24*0.008</f>
        <v>75.400000000000006</v>
      </c>
      <c r="Q24" s="80"/>
      <c r="R24" s="80"/>
      <c r="S24" s="80"/>
      <c r="T24" s="80"/>
      <c r="U24" s="80"/>
      <c r="V24" s="63"/>
      <c r="W24" s="80"/>
      <c r="X24" s="80"/>
      <c r="Y24" s="88"/>
      <c r="Z24" s="63"/>
      <c r="AA24" s="80"/>
      <c r="AB24" s="80"/>
      <c r="AC24" s="80"/>
      <c r="AD24" s="92">
        <v>256</v>
      </c>
      <c r="AE24" s="93"/>
      <c r="AF24" s="93">
        <f t="shared" ref="AF24:AF52" si="6">CQ24</f>
        <v>76</v>
      </c>
      <c r="AG24" s="93"/>
      <c r="AH24" s="93"/>
      <c r="AI24" s="93"/>
      <c r="AJ24" s="76"/>
      <c r="AK24" s="69"/>
      <c r="AP24" s="70"/>
      <c r="AQ24" s="89"/>
      <c r="AR24" s="89"/>
      <c r="AS24" s="90"/>
      <c r="AT24" s="91"/>
      <c r="AU24" s="74">
        <v>1966</v>
      </c>
      <c r="AV24" s="69"/>
      <c r="AW24" s="88"/>
      <c r="AX24" s="62">
        <v>1966</v>
      </c>
      <c r="AY24" s="80"/>
      <c r="AZ24" s="80"/>
      <c r="BA24" s="77">
        <v>375</v>
      </c>
      <c r="BB24" s="76">
        <v>83</v>
      </c>
      <c r="BC24" s="62">
        <v>1966</v>
      </c>
      <c r="BD24" s="77"/>
      <c r="BE24" s="76"/>
      <c r="BF24" s="76"/>
      <c r="BG24" s="76"/>
      <c r="BH24" s="76"/>
      <c r="BI24" s="76"/>
      <c r="BJ24" s="88"/>
      <c r="BK24" s="88">
        <v>2075</v>
      </c>
      <c r="BL24" s="65">
        <v>226</v>
      </c>
      <c r="BM24" s="78"/>
      <c r="BN24" s="62">
        <v>1966</v>
      </c>
      <c r="BO24" s="77">
        <f>'[1]MER Table 4.3_Nov2019'!I30*1000</f>
        <v>535353</v>
      </c>
      <c r="BP24" s="80"/>
      <c r="BQ24" s="81"/>
      <c r="CB24" s="63">
        <v>3598</v>
      </c>
      <c r="CC24" s="80">
        <v>1424.808</v>
      </c>
      <c r="CD24" s="80">
        <v>2137.212</v>
      </c>
      <c r="CE24" s="88">
        <v>35.980000000000004</v>
      </c>
      <c r="CF24" s="63">
        <v>5819</v>
      </c>
      <c r="CG24" s="80">
        <v>2304.3240000000001</v>
      </c>
      <c r="CH24" s="80">
        <v>3456.4859999999999</v>
      </c>
      <c r="CI24" s="80">
        <v>58.19</v>
      </c>
      <c r="CK24" s="9"/>
      <c r="CL24" s="63">
        <v>54987</v>
      </c>
      <c r="CN24" s="11"/>
      <c r="CP24" s="86">
        <v>76</v>
      </c>
      <c r="CQ24" s="86">
        <f t="shared" si="2"/>
        <v>76</v>
      </c>
      <c r="CS24" s="12"/>
      <c r="CX24" s="12"/>
      <c r="DB24" t="s">
        <v>48</v>
      </c>
      <c r="DC24" t="s">
        <v>49</v>
      </c>
      <c r="DD24" t="s">
        <v>86</v>
      </c>
      <c r="DE24" t="s">
        <v>87</v>
      </c>
      <c r="DF24" t="s">
        <v>88</v>
      </c>
      <c r="DI24" t="s">
        <v>89</v>
      </c>
      <c r="DJ24" t="s">
        <v>90</v>
      </c>
      <c r="DL24" t="s">
        <v>91</v>
      </c>
    </row>
    <row r="25" spans="1:117" x14ac:dyDescent="0.25">
      <c r="A25" s="62">
        <v>1967</v>
      </c>
      <c r="B25" s="63">
        <f t="shared" si="0"/>
        <v>57493.457623061957</v>
      </c>
      <c r="C25" s="64"/>
      <c r="D25" s="64"/>
      <c r="E25" s="65"/>
      <c r="F25" s="64"/>
      <c r="G25" s="64"/>
      <c r="H25" s="64"/>
      <c r="I25" s="64"/>
      <c r="J25" s="64">
        <f>'[1]Passenger-based Activity'!$AF26/50</f>
        <v>52.542376938040334</v>
      </c>
      <c r="K25" s="64">
        <f t="shared" si="1"/>
        <v>52.542376938040334</v>
      </c>
      <c r="L25" s="63">
        <v>9534</v>
      </c>
      <c r="M25" s="80">
        <f t="shared" si="3"/>
        <v>9305.1839999999993</v>
      </c>
      <c r="N25" s="80"/>
      <c r="O25" s="80">
        <f t="shared" si="4"/>
        <v>152.54400000000001</v>
      </c>
      <c r="P25" s="88">
        <f t="shared" si="5"/>
        <v>76.272000000000006</v>
      </c>
      <c r="Q25" s="80"/>
      <c r="R25" s="80"/>
      <c r="S25" s="80"/>
      <c r="T25" s="80"/>
      <c r="U25" s="80"/>
      <c r="V25" s="63"/>
      <c r="W25" s="80"/>
      <c r="X25" s="80"/>
      <c r="Y25" s="88"/>
      <c r="Z25" s="63"/>
      <c r="AA25" s="80"/>
      <c r="AB25" s="80"/>
      <c r="AC25" s="80"/>
      <c r="AD25" s="92">
        <v>270.3</v>
      </c>
      <c r="AE25" s="93"/>
      <c r="AF25" s="93">
        <f t="shared" si="6"/>
        <v>57.8</v>
      </c>
      <c r="AG25" s="93"/>
      <c r="AH25" s="93"/>
      <c r="AI25" s="93"/>
      <c r="AJ25" s="76"/>
      <c r="AP25" s="70"/>
      <c r="AQ25" s="89"/>
      <c r="AR25" s="89"/>
      <c r="AS25" s="90"/>
      <c r="AT25" s="91"/>
      <c r="AU25" s="74">
        <v>1967</v>
      </c>
      <c r="AV25" s="69"/>
      <c r="AW25" s="88"/>
      <c r="AX25" s="62">
        <v>1967</v>
      </c>
      <c r="AY25" s="80"/>
      <c r="AZ25" s="80"/>
      <c r="BA25" s="77">
        <v>396</v>
      </c>
      <c r="BB25" s="76">
        <v>100</v>
      </c>
      <c r="BC25" s="62">
        <v>1967</v>
      </c>
      <c r="BD25" s="77"/>
      <c r="BE25" s="76"/>
      <c r="BF25" s="76"/>
      <c r="BG25" s="76"/>
      <c r="BH25" s="76"/>
      <c r="BI25" s="76"/>
      <c r="BJ25" s="88"/>
      <c r="BK25" s="88">
        <v>2194</v>
      </c>
      <c r="BL25" s="65">
        <v>180</v>
      </c>
      <c r="BM25" s="78"/>
      <c r="BN25" s="62">
        <v>1967</v>
      </c>
      <c r="BO25" s="77">
        <f>'[1]MER Table 4.3_Nov2019'!I31*1000</f>
        <v>575752</v>
      </c>
      <c r="BP25" s="80"/>
      <c r="BQ25" s="81"/>
      <c r="CB25" s="63">
        <v>3687</v>
      </c>
      <c r="CC25" s="80">
        <v>1460.0520000000001</v>
      </c>
      <c r="CD25" s="80">
        <v>2190.078</v>
      </c>
      <c r="CE25" s="88">
        <v>36.869999999999997</v>
      </c>
      <c r="CF25" s="63">
        <v>6104</v>
      </c>
      <c r="CG25" s="80">
        <v>2417.1840000000002</v>
      </c>
      <c r="CH25" s="80">
        <v>3625.7759999999998</v>
      </c>
      <c r="CI25" s="80">
        <v>61.04</v>
      </c>
      <c r="CK25" s="9"/>
      <c r="CL25" s="63">
        <v>57546</v>
      </c>
      <c r="CN25" s="11"/>
      <c r="CP25" s="86">
        <v>57.8</v>
      </c>
      <c r="CQ25" s="86">
        <f t="shared" si="2"/>
        <v>57.8</v>
      </c>
      <c r="CS25" s="12"/>
      <c r="CX25" s="12"/>
      <c r="DG25" t="s">
        <v>92</v>
      </c>
      <c r="DI25" t="s">
        <v>93</v>
      </c>
      <c r="DJ25" t="s">
        <v>94</v>
      </c>
      <c r="DL25" t="s">
        <v>95</v>
      </c>
      <c r="DM25" t="s">
        <v>95</v>
      </c>
    </row>
    <row r="26" spans="1:117" x14ac:dyDescent="0.25">
      <c r="A26" s="62">
        <v>1968</v>
      </c>
      <c r="B26" s="63">
        <f t="shared" si="0"/>
        <v>61120.915390000206</v>
      </c>
      <c r="C26" s="64"/>
      <c r="D26" s="64"/>
      <c r="E26" s="65"/>
      <c r="F26" s="64"/>
      <c r="G26" s="64"/>
      <c r="H26" s="64"/>
      <c r="I26" s="64"/>
      <c r="J26" s="64">
        <f>'[1]Passenger-based Activity'!$AF27/50</f>
        <v>55.0846099997934</v>
      </c>
      <c r="K26" s="64">
        <f t="shared" si="1"/>
        <v>55.0846099997934</v>
      </c>
      <c r="L26" s="63">
        <v>10432</v>
      </c>
      <c r="M26" s="80">
        <f t="shared" si="3"/>
        <v>10181.632</v>
      </c>
      <c r="N26" s="80"/>
      <c r="O26" s="80">
        <f t="shared" si="4"/>
        <v>166.91200000000001</v>
      </c>
      <c r="P26" s="88">
        <f t="shared" si="5"/>
        <v>83.456000000000003</v>
      </c>
      <c r="Q26" s="80"/>
      <c r="R26" s="80"/>
      <c r="S26" s="80"/>
      <c r="T26" s="80"/>
      <c r="U26" s="80"/>
      <c r="V26" s="63"/>
      <c r="W26" s="80"/>
      <c r="X26" s="80"/>
      <c r="Y26" s="88"/>
      <c r="Z26" s="63"/>
      <c r="AA26" s="80"/>
      <c r="AB26" s="80"/>
      <c r="AC26" s="80"/>
      <c r="AD26" s="92">
        <v>274.2</v>
      </c>
      <c r="AE26" s="93"/>
      <c r="AF26" s="93">
        <f t="shared" si="6"/>
        <v>45.7</v>
      </c>
      <c r="AG26" s="93"/>
      <c r="AH26" s="93"/>
      <c r="AI26" s="93"/>
      <c r="AJ26" s="76"/>
      <c r="AP26" s="70"/>
      <c r="AQ26" s="89"/>
      <c r="AR26" s="89"/>
      <c r="AS26" s="90"/>
      <c r="AT26" s="91"/>
      <c r="AU26" s="74">
        <v>1968</v>
      </c>
      <c r="AV26" s="69"/>
      <c r="AW26" s="88"/>
      <c r="AX26" s="62">
        <v>1968</v>
      </c>
      <c r="AY26" s="80"/>
      <c r="AZ26" s="80"/>
      <c r="BA26" s="77">
        <v>495</v>
      </c>
      <c r="BB26" s="76">
        <v>115</v>
      </c>
      <c r="BC26" s="62">
        <v>1968</v>
      </c>
      <c r="BD26" s="77"/>
      <c r="BE26" s="76"/>
      <c r="BF26" s="76"/>
      <c r="BG26" s="76"/>
      <c r="BH26" s="76"/>
      <c r="BI26" s="76"/>
      <c r="BJ26" s="88"/>
      <c r="BK26" s="88">
        <v>2250</v>
      </c>
      <c r="BL26" s="65">
        <v>179</v>
      </c>
      <c r="BM26" s="78">
        <v>3922.4920000000002</v>
      </c>
      <c r="BN26" s="62">
        <v>1968</v>
      </c>
      <c r="BO26" s="77">
        <f>'[1]MER Table 4.3_Nov2019'!I32*1000</f>
        <v>590965</v>
      </c>
      <c r="BP26" s="80"/>
      <c r="BQ26" s="81"/>
      <c r="CB26">
        <v>3851</v>
      </c>
      <c r="CC26">
        <v>1524.9960000000001</v>
      </c>
      <c r="CD26">
        <v>2287.4939999999997</v>
      </c>
      <c r="CE26">
        <v>38.51</v>
      </c>
      <c r="CF26">
        <v>6584</v>
      </c>
      <c r="CG26">
        <v>2607.2640000000001</v>
      </c>
      <c r="CH26">
        <v>3910.8959999999997</v>
      </c>
      <c r="CI26">
        <v>65.84</v>
      </c>
      <c r="CK26" s="9"/>
      <c r="CL26" s="63">
        <v>61176</v>
      </c>
      <c r="CN26" s="11"/>
      <c r="CP26" s="86">
        <v>45.7</v>
      </c>
      <c r="CQ26" s="86">
        <f t="shared" si="2"/>
        <v>45.7</v>
      </c>
      <c r="CS26" s="12"/>
      <c r="CX26" s="12"/>
      <c r="CZ26" s="94" t="s">
        <v>96</v>
      </c>
      <c r="DA26" s="94" t="s">
        <v>96</v>
      </c>
      <c r="DB26" s="94" t="s">
        <v>95</v>
      </c>
      <c r="DC26" s="94" t="s">
        <v>95</v>
      </c>
      <c r="DD26" s="94" t="s">
        <v>97</v>
      </c>
      <c r="DE26" s="94" t="s">
        <v>97</v>
      </c>
      <c r="DF26" s="94" t="s">
        <v>97</v>
      </c>
      <c r="DG26" s="94" t="s">
        <v>48</v>
      </c>
      <c r="DH26" s="94" t="s">
        <v>87</v>
      </c>
      <c r="DI26" s="94" t="s">
        <v>97</v>
      </c>
      <c r="DJ26" s="94" t="s">
        <v>97</v>
      </c>
      <c r="DK26" s="94"/>
      <c r="DL26" s="94"/>
      <c r="DM26" s="94"/>
    </row>
    <row r="27" spans="1:117" x14ac:dyDescent="0.25">
      <c r="A27" s="62">
        <v>1969</v>
      </c>
      <c r="B27" s="63">
        <f t="shared" si="0"/>
        <v>64792.685737197433</v>
      </c>
      <c r="C27" s="64"/>
      <c r="D27" s="64"/>
      <c r="E27" s="65"/>
      <c r="F27" s="64"/>
      <c r="G27" s="64"/>
      <c r="H27" s="64"/>
      <c r="I27" s="64"/>
      <c r="J27" s="64">
        <f>'[1]Passenger-based Activity'!$AF28/50</f>
        <v>57.314262802564805</v>
      </c>
      <c r="K27" s="64">
        <f t="shared" si="1"/>
        <v>57.314262802564805</v>
      </c>
      <c r="L27" s="63">
        <v>11408</v>
      </c>
      <c r="M27" s="80">
        <f t="shared" si="3"/>
        <v>11134.208000000001</v>
      </c>
      <c r="N27" s="80"/>
      <c r="O27" s="80">
        <f t="shared" si="4"/>
        <v>182.52799999999999</v>
      </c>
      <c r="P27" s="88">
        <f t="shared" si="5"/>
        <v>91.263999999999996</v>
      </c>
      <c r="Q27" s="80"/>
      <c r="R27" s="80"/>
      <c r="S27" s="80"/>
      <c r="T27" s="80"/>
      <c r="U27" s="80"/>
      <c r="V27" s="63"/>
      <c r="W27" s="80"/>
      <c r="X27" s="80"/>
      <c r="Y27" s="88"/>
      <c r="Z27" s="63"/>
      <c r="AA27" s="80"/>
      <c r="AB27" s="80"/>
      <c r="AC27" s="80"/>
      <c r="AD27" s="92">
        <v>273.8</v>
      </c>
      <c r="AE27" s="93"/>
      <c r="AF27" s="93">
        <f t="shared" si="6"/>
        <v>40</v>
      </c>
      <c r="AG27" s="93"/>
      <c r="AH27" s="93"/>
      <c r="AI27" s="93"/>
      <c r="AJ27" s="76"/>
      <c r="AP27" s="70"/>
      <c r="AQ27" s="89"/>
      <c r="AR27" s="89"/>
      <c r="AS27" s="90"/>
      <c r="AT27" s="91"/>
      <c r="AU27" s="74">
        <v>1969</v>
      </c>
      <c r="AV27" s="69"/>
      <c r="AW27" s="88"/>
      <c r="AX27" s="62">
        <v>1969</v>
      </c>
      <c r="AY27" s="80"/>
      <c r="AZ27" s="80"/>
      <c r="BA27" s="77">
        <v>522</v>
      </c>
      <c r="BB27" s="76">
        <v>168</v>
      </c>
      <c r="BC27" s="62">
        <v>1969</v>
      </c>
      <c r="BD27" s="77"/>
      <c r="BE27" s="76"/>
      <c r="BF27" s="76"/>
      <c r="BG27" s="76"/>
      <c r="BH27" s="95"/>
      <c r="BI27" s="76"/>
      <c r="BJ27" s="88"/>
      <c r="BK27" s="88">
        <v>2291</v>
      </c>
      <c r="BL27" s="65">
        <v>173</v>
      </c>
      <c r="BM27" s="78">
        <v>3924.0549999999998</v>
      </c>
      <c r="BN27" s="62">
        <v>1969</v>
      </c>
      <c r="BO27" s="77">
        <f>'[1]MER Table 4.3_Nov2019'!I33*1000</f>
        <v>630962</v>
      </c>
      <c r="BP27" s="80"/>
      <c r="BQ27" s="81"/>
      <c r="BT27" s="67" t="s">
        <v>98</v>
      </c>
      <c r="CB27">
        <v>3919</v>
      </c>
      <c r="CC27">
        <v>1551.924</v>
      </c>
      <c r="CD27">
        <v>2327.886</v>
      </c>
      <c r="CE27">
        <v>39.19</v>
      </c>
      <c r="CF27">
        <v>7069</v>
      </c>
      <c r="CG27">
        <v>2799.3240000000001</v>
      </c>
      <c r="CH27">
        <v>4198.9859999999999</v>
      </c>
      <c r="CI27">
        <v>70.69</v>
      </c>
      <c r="CK27" s="9"/>
      <c r="CL27" s="63">
        <v>64850</v>
      </c>
      <c r="CN27" s="11"/>
      <c r="CP27" s="86">
        <v>40</v>
      </c>
      <c r="CQ27" s="86">
        <f t="shared" si="2"/>
        <v>40</v>
      </c>
      <c r="CS27" s="12"/>
      <c r="CX27" s="12"/>
    </row>
    <row r="28" spans="1:117" x14ac:dyDescent="0.25">
      <c r="A28" s="62">
        <v>1970</v>
      </c>
      <c r="B28" s="79">
        <f>CL28</f>
        <v>67820</v>
      </c>
      <c r="C28" s="80">
        <f>B28-D28-E28</f>
        <v>67684.36</v>
      </c>
      <c r="D28" s="80">
        <f t="shared" ref="D28:D37" si="7">B28*0</f>
        <v>0</v>
      </c>
      <c r="E28" s="88">
        <f>B28*0.002</f>
        <v>135.64000000000001</v>
      </c>
      <c r="F28" s="80"/>
      <c r="G28" s="80"/>
      <c r="H28" s="80"/>
      <c r="I28" s="80"/>
      <c r="J28" s="71">
        <v>59.58</v>
      </c>
      <c r="K28" s="64">
        <f t="shared" si="1"/>
        <v>59.58</v>
      </c>
      <c r="L28" s="96">
        <v>12313.439</v>
      </c>
      <c r="M28" s="80">
        <f t="shared" si="3"/>
        <v>12017.916464</v>
      </c>
      <c r="N28" s="80"/>
      <c r="O28" s="80">
        <f t="shared" si="4"/>
        <v>197.01502400000001</v>
      </c>
      <c r="P28" s="88">
        <f t="shared" si="5"/>
        <v>98.507512000000006</v>
      </c>
      <c r="Q28" s="80"/>
      <c r="R28" s="80"/>
      <c r="S28" s="80"/>
      <c r="T28" s="80"/>
      <c r="U28" s="80"/>
      <c r="V28" s="97">
        <f>[1]Adjust_Truck_Freight!AB6</f>
        <v>6474.0040740423256</v>
      </c>
      <c r="W28" s="80">
        <f>V28-X28-Y28</f>
        <v>673.29642370040187</v>
      </c>
      <c r="X28" s="80">
        <f>V28*FuelConsump!$BV28</f>
        <v>5794.2336462678813</v>
      </c>
      <c r="Y28" s="88">
        <f>V28*FuelConsump!$BW28</f>
        <v>6.4740040740423259</v>
      </c>
      <c r="Z28" s="97">
        <f>[1]Adjust_Truck_Freight!AC6</f>
        <v>7955.4683535115373</v>
      </c>
      <c r="AA28" s="80">
        <f>Z28-AB28-AC28</f>
        <v>827.36870876519981</v>
      </c>
      <c r="AB28" s="80">
        <f>Z28*FuelConsump!$BV28</f>
        <v>7120.144176392826</v>
      </c>
      <c r="AC28" s="80">
        <f>Z28*FuelConsump!$BW28</f>
        <v>7.9554683535115371</v>
      </c>
      <c r="AD28" s="92">
        <v>270.60000000000002</v>
      </c>
      <c r="AE28" s="93"/>
      <c r="AF28" s="93">
        <f t="shared" si="6"/>
        <v>37.200000000000003</v>
      </c>
      <c r="AG28" s="93"/>
      <c r="AH28" s="93"/>
      <c r="AI28" s="93"/>
      <c r="AJ28" s="76"/>
      <c r="AP28" s="70"/>
      <c r="AQ28" s="89">
        <v>299.88</v>
      </c>
      <c r="AR28" s="89"/>
      <c r="AS28" s="98" t="s">
        <v>99</v>
      </c>
      <c r="AT28" s="99">
        <v>7.27</v>
      </c>
      <c r="AU28" s="74">
        <v>1970</v>
      </c>
      <c r="AV28" s="79">
        <v>19503</v>
      </c>
      <c r="AW28" s="88">
        <v>89850</v>
      </c>
      <c r="AX28" s="62">
        <v>1970</v>
      </c>
      <c r="AY28" s="100">
        <f>0.828*(10085)</f>
        <v>8350.3799999999992</v>
      </c>
      <c r="AZ28" s="100">
        <f>10085-AY28</f>
        <v>1734.6200000000008</v>
      </c>
      <c r="BA28" s="77">
        <v>551</v>
      </c>
      <c r="BB28" s="76">
        <v>208</v>
      </c>
      <c r="BC28" s="62">
        <v>1970</v>
      </c>
      <c r="BD28" s="92"/>
      <c r="BE28" s="95"/>
      <c r="BF28" s="76"/>
      <c r="BG28" s="93"/>
      <c r="BH28" s="101">
        <f>BH29</f>
        <v>6.0882916259852333</v>
      </c>
      <c r="BI28" s="92">
        <f>0.3*5.89*42</f>
        <v>74.213999999999999</v>
      </c>
      <c r="BJ28" s="102">
        <f>0.73*915</f>
        <v>667.94999999999993</v>
      </c>
      <c r="BK28" s="88">
        <v>2261</v>
      </c>
      <c r="BL28" s="65">
        <v>157</v>
      </c>
      <c r="BM28" s="78">
        <v>3807.663</v>
      </c>
      <c r="BN28" s="62">
        <v>1970</v>
      </c>
      <c r="BO28" s="77">
        <f>'[1]MER Table 4.3_Nov2019'!I34*1000</f>
        <v>722166</v>
      </c>
      <c r="BP28" s="80">
        <f>BO28/BP$2</f>
        <v>3272.9027872195784</v>
      </c>
      <c r="BQ28" s="81"/>
      <c r="BS28">
        <f>BN28</f>
        <v>1970</v>
      </c>
      <c r="BV28" s="103">
        <v>0.89500000000000002</v>
      </c>
      <c r="BW28" s="103">
        <v>1E-3</v>
      </c>
      <c r="CB28">
        <v>3968.375</v>
      </c>
      <c r="CC28">
        <v>1571.4765</v>
      </c>
      <c r="CD28">
        <v>2357.2147500000001</v>
      </c>
      <c r="CE28">
        <v>39.683750000000003</v>
      </c>
      <c r="CF28">
        <v>7347.9369999999999</v>
      </c>
      <c r="CG28">
        <v>2909.7830520000002</v>
      </c>
      <c r="CH28">
        <v>4364.6745780000001</v>
      </c>
      <c r="CI28">
        <v>73.479370000000003</v>
      </c>
      <c r="CK28" s="9"/>
      <c r="CL28" s="79">
        <v>67820</v>
      </c>
      <c r="CN28" s="11"/>
      <c r="CP28" s="86">
        <v>37.200000000000003</v>
      </c>
      <c r="CQ28" s="86">
        <f t="shared" si="2"/>
        <v>37.200000000000003</v>
      </c>
      <c r="CS28" s="12"/>
      <c r="CX28" s="12"/>
      <c r="CZ28" s="80">
        <v>819000</v>
      </c>
      <c r="DA28" s="80">
        <v>3774120</v>
      </c>
      <c r="DB28" s="80">
        <f>CZ28/42</f>
        <v>19500</v>
      </c>
      <c r="DC28" s="80">
        <f>DA28/42</f>
        <v>89860</v>
      </c>
      <c r="DD28" s="80">
        <f t="shared" ref="DD28:DD65" si="8">CZ28*$DD$20*0.000001</f>
        <v>113.59529999999998</v>
      </c>
      <c r="DE28" s="80">
        <f>DA28*$DE$20*0.000001</f>
        <v>564.98576400000002</v>
      </c>
      <c r="DF28" s="80">
        <f>SUM(DD28:DE28)</f>
        <v>678.58106399999997</v>
      </c>
      <c r="DG28" s="80"/>
      <c r="DH28" s="80"/>
      <c r="DI28" s="80"/>
      <c r="DJ28" s="104">
        <v>324.8</v>
      </c>
      <c r="DK28" s="80"/>
      <c r="DL28" s="80">
        <f t="shared" ref="DL28:DM57" si="9">DB28-AV28</f>
        <v>-3</v>
      </c>
      <c r="DM28" s="80">
        <f t="shared" si="9"/>
        <v>10</v>
      </c>
    </row>
    <row r="29" spans="1:117" x14ac:dyDescent="0.25">
      <c r="A29" s="62">
        <v>1971</v>
      </c>
      <c r="B29" s="79">
        <f t="shared" ref="B29:B65" si="10">CL29</f>
        <v>71346</v>
      </c>
      <c r="C29" s="80">
        <f t="shared" ref="C29:C66" si="11">B29-D29-E29</f>
        <v>70775.232000000004</v>
      </c>
      <c r="D29" s="80">
        <f t="shared" si="7"/>
        <v>0</v>
      </c>
      <c r="E29" s="88">
        <f>B29*0.008</f>
        <v>570.76800000000003</v>
      </c>
      <c r="F29" s="80"/>
      <c r="G29" s="80"/>
      <c r="H29" s="80"/>
      <c r="I29" s="80"/>
      <c r="J29" s="71">
        <v>72.14</v>
      </c>
      <c r="K29" s="64">
        <f t="shared" si="1"/>
        <v>72.14</v>
      </c>
      <c r="L29" s="96">
        <v>13484.433999999999</v>
      </c>
      <c r="M29" s="80">
        <f t="shared" si="3"/>
        <v>13160.807584</v>
      </c>
      <c r="N29" s="80"/>
      <c r="O29" s="80">
        <f t="shared" si="4"/>
        <v>215.750944</v>
      </c>
      <c r="P29" s="88">
        <f t="shared" si="5"/>
        <v>107.875472</v>
      </c>
      <c r="Q29" s="80"/>
      <c r="R29" s="80"/>
      <c r="S29" s="80"/>
      <c r="T29" s="80"/>
      <c r="U29" s="80"/>
      <c r="V29" s="97">
        <f>[1]Adjust_Truck_Freight!AB7</f>
        <v>6879.8928885482392</v>
      </c>
      <c r="W29" s="80">
        <f t="shared" ref="W29:W75" si="12">V29-X29-Y29</f>
        <v>715.50886040901673</v>
      </c>
      <c r="X29" s="80">
        <f>V29*FuelConsump!$BV29</f>
        <v>6157.5041352506742</v>
      </c>
      <c r="Y29" s="88">
        <f>V29*FuelConsump!$BW29</f>
        <v>6.8798928885482393</v>
      </c>
      <c r="Z29" s="97">
        <f>[1]Adjust_Truck_Freight!AC7</f>
        <v>8223.079914454318</v>
      </c>
      <c r="AA29" s="80">
        <f t="shared" ref="AA29:AA75" si="13">Z29-AB29-AC29</f>
        <v>855.20031110324931</v>
      </c>
      <c r="AB29" s="80">
        <f>Z29*FuelConsump!$BV29</f>
        <v>7359.6565234366144</v>
      </c>
      <c r="AC29" s="80">
        <f>Z29*FuelConsump!$BW29</f>
        <v>8.2230799144543187</v>
      </c>
      <c r="AD29" s="92">
        <v>256.8</v>
      </c>
      <c r="AE29" s="93"/>
      <c r="AF29" s="93">
        <f t="shared" si="6"/>
        <v>29.4</v>
      </c>
      <c r="AG29" s="93"/>
      <c r="AH29" s="93"/>
      <c r="AI29" s="93"/>
      <c r="AJ29" s="76"/>
      <c r="AP29" s="70"/>
      <c r="AQ29" s="89">
        <v>309.75</v>
      </c>
      <c r="AR29" s="89"/>
      <c r="AS29" s="98" t="s">
        <v>99</v>
      </c>
      <c r="AT29" s="99">
        <v>7.07</v>
      </c>
      <c r="AU29" s="74">
        <v>1971</v>
      </c>
      <c r="AV29" s="79">
        <v>20959</v>
      </c>
      <c r="AW29" s="88">
        <v>78727</v>
      </c>
      <c r="AX29" s="62">
        <v>1971</v>
      </c>
      <c r="AY29" s="100">
        <f>0.828*(10140)</f>
        <v>8395.92</v>
      </c>
      <c r="AZ29" s="100">
        <f>10140-AY29</f>
        <v>1744.08</v>
      </c>
      <c r="BA29" s="77">
        <v>508</v>
      </c>
      <c r="BB29" s="76">
        <v>226</v>
      </c>
      <c r="BC29" s="62">
        <v>1971</v>
      </c>
      <c r="BD29" s="105">
        <f>BD28+((BD$32-BD$28)/4)</f>
        <v>26.239499999999996</v>
      </c>
      <c r="BE29" s="106">
        <f t="shared" ref="BE29:BJ31" si="14">BE28+((BE$32-BE$28)/4)</f>
        <v>70.784999999999997</v>
      </c>
      <c r="BF29" s="76">
        <f>(FuelConsump!BD29*'[1]Fuel Heat Content'!$D$7/1000000)+(FuelConsump!BE29*'[1]Fuel Heat Content'!$C$21/1000000)</f>
        <v>3.8809370699999994</v>
      </c>
      <c r="BG29" s="107"/>
      <c r="BH29" s="108">
        <f>'[1]Passenger-based Activity'!$O30/'[1]Passenger-based Activity'!$O31*BH30</f>
        <v>6.0882916259852333</v>
      </c>
      <c r="BI29" s="105">
        <f t="shared" si="14"/>
        <v>66.906000000000006</v>
      </c>
      <c r="BJ29" s="109">
        <f t="shared" si="14"/>
        <v>699.70499999999993</v>
      </c>
      <c r="BK29" s="110">
        <v>2262</v>
      </c>
      <c r="BL29" s="65">
        <v>153</v>
      </c>
      <c r="BM29" s="78">
        <v>3822.9070000000002</v>
      </c>
      <c r="BN29" s="62">
        <v>1971</v>
      </c>
      <c r="BO29" s="77">
        <f>'[1]MER Table 4.3_Nov2019'!I35*1000</f>
        <v>742592</v>
      </c>
      <c r="BP29" s="80">
        <f t="shared" ref="BP29:BP76" si="15">BO29/BP$2</f>
        <v>3365.4747337412191</v>
      </c>
      <c r="BQ29" s="81"/>
      <c r="BS29">
        <f t="shared" ref="BS29:BS69" si="16">BN29</f>
        <v>1971</v>
      </c>
      <c r="BV29" s="103">
        <v>0.89500000000000002</v>
      </c>
      <c r="BW29" s="103">
        <v>1E-3</v>
      </c>
      <c r="CB29">
        <v>4217.1729627203395</v>
      </c>
      <c r="CC29">
        <v>1670.0004932372544</v>
      </c>
      <c r="CD29">
        <v>2505.0007398558814</v>
      </c>
      <c r="CE29">
        <v>42.171729627203398</v>
      </c>
      <c r="CF29">
        <v>7595.1120000000001</v>
      </c>
      <c r="CG29">
        <v>3007.6643520000002</v>
      </c>
      <c r="CH29">
        <v>4511.4965279999997</v>
      </c>
      <c r="CI29">
        <v>75.951120000000003</v>
      </c>
      <c r="CK29" s="9"/>
      <c r="CL29" s="79">
        <v>71346</v>
      </c>
      <c r="CN29" s="11"/>
      <c r="CP29" s="86">
        <v>29.4</v>
      </c>
      <c r="CQ29" s="86">
        <f t="shared" si="2"/>
        <v>29.4</v>
      </c>
      <c r="CS29" s="12"/>
      <c r="CX29" s="12"/>
      <c r="CZ29" s="80">
        <v>880000</v>
      </c>
      <c r="DA29" s="80">
        <v>3307000</v>
      </c>
      <c r="DB29" s="80">
        <f t="shared" ref="DB29:DC65" si="17">CZ29/42</f>
        <v>20952.380952380954</v>
      </c>
      <c r="DC29" s="80">
        <f t="shared" si="17"/>
        <v>78738.095238095237</v>
      </c>
      <c r="DD29" s="80">
        <f t="shared" si="8"/>
        <v>122.05599999999998</v>
      </c>
      <c r="DE29" s="80">
        <f t="shared" ref="DE29:DE65" si="18">DA29*$DE$20*0.000001</f>
        <v>495.0578999999999</v>
      </c>
      <c r="DF29" s="80">
        <f t="shared" ref="DF29:DF65" si="19">SUM(DD29:DE29)</f>
        <v>617.11389999999983</v>
      </c>
      <c r="DG29" s="80"/>
      <c r="DH29" s="80"/>
      <c r="DI29" s="80"/>
      <c r="DJ29" s="104">
        <v>300</v>
      </c>
      <c r="DK29" s="80"/>
      <c r="DL29" s="80">
        <f t="shared" si="9"/>
        <v>-6.6190476190458867</v>
      </c>
      <c r="DM29" s="80">
        <f t="shared" si="9"/>
        <v>11.095238095236709</v>
      </c>
    </row>
    <row r="30" spans="1:117" x14ac:dyDescent="0.25">
      <c r="A30" s="62">
        <v>1972</v>
      </c>
      <c r="B30" s="79">
        <f t="shared" si="10"/>
        <v>75937</v>
      </c>
      <c r="C30" s="80">
        <f t="shared" si="11"/>
        <v>74949.819000000003</v>
      </c>
      <c r="D30" s="80">
        <f t="shared" si="7"/>
        <v>0</v>
      </c>
      <c r="E30" s="88">
        <f>B30*0.013</f>
        <v>987.18099999999993</v>
      </c>
      <c r="F30" s="80"/>
      <c r="G30" s="80"/>
      <c r="H30" s="80"/>
      <c r="I30" s="80"/>
      <c r="J30" s="71">
        <v>86.62</v>
      </c>
      <c r="K30" s="64">
        <f t="shared" si="1"/>
        <v>86.62</v>
      </c>
      <c r="L30" s="96">
        <v>15150.210999999999</v>
      </c>
      <c r="M30" s="80">
        <f t="shared" si="3"/>
        <v>14786.605936</v>
      </c>
      <c r="N30" s="80"/>
      <c r="O30" s="80">
        <f t="shared" si="4"/>
        <v>242.40337599999998</v>
      </c>
      <c r="P30" s="88">
        <f t="shared" si="5"/>
        <v>121.20168799999999</v>
      </c>
      <c r="Q30" s="80"/>
      <c r="R30" s="80"/>
      <c r="S30" s="80"/>
      <c r="T30" s="80"/>
      <c r="U30" s="80"/>
      <c r="V30" s="97">
        <f>[1]Adjust_Truck_Freight!AB8</f>
        <v>7902.8122857308763</v>
      </c>
      <c r="W30" s="80">
        <f t="shared" si="12"/>
        <v>821.89247771601083</v>
      </c>
      <c r="X30" s="80">
        <f>V30*FuelConsump!$BV30</f>
        <v>7073.0169957291346</v>
      </c>
      <c r="Y30" s="88">
        <f>V30*FuelConsump!$BW30</f>
        <v>7.9028122857308762</v>
      </c>
      <c r="Z30" s="97">
        <f>[1]Adjust_Truck_Freight!AC8</f>
        <v>8791.4557969654652</v>
      </c>
      <c r="AA30" s="80">
        <f t="shared" si="13"/>
        <v>914.31140288440815</v>
      </c>
      <c r="AB30" s="80">
        <f>Z30*FuelConsump!$BV30</f>
        <v>7868.3529382840916</v>
      </c>
      <c r="AC30" s="80">
        <f>Z30*FuelConsump!$BW30</f>
        <v>8.7914557969654652</v>
      </c>
      <c r="AD30" s="92">
        <v>253.25</v>
      </c>
      <c r="AE30" s="93"/>
      <c r="AF30" s="93">
        <f t="shared" si="6"/>
        <v>19.600000000000001</v>
      </c>
      <c r="AG30" s="93"/>
      <c r="AH30" s="93"/>
      <c r="AI30" s="93"/>
      <c r="AJ30" s="76"/>
      <c r="AP30" s="70"/>
      <c r="AQ30" s="89">
        <v>319.75</v>
      </c>
      <c r="AR30" s="89"/>
      <c r="AS30" s="98" t="s">
        <v>99</v>
      </c>
      <c r="AT30" s="99">
        <v>6.86</v>
      </c>
      <c r="AU30" s="74">
        <v>1972</v>
      </c>
      <c r="AV30" s="79">
        <v>22125</v>
      </c>
      <c r="AW30" s="88">
        <v>77932</v>
      </c>
      <c r="AX30" s="62">
        <v>1972</v>
      </c>
      <c r="AY30" s="100">
        <f>0.828*(10302)</f>
        <v>8530.0559999999987</v>
      </c>
      <c r="AZ30" s="100">
        <f>10302-AY30</f>
        <v>1771.9440000000013</v>
      </c>
      <c r="BA30" s="77">
        <v>584</v>
      </c>
      <c r="BB30" s="76">
        <v>245</v>
      </c>
      <c r="BC30" s="62">
        <v>1972</v>
      </c>
      <c r="BD30" s="105">
        <f>BD29+((BD$32-BD$28)/4)</f>
        <v>52.478999999999992</v>
      </c>
      <c r="BE30" s="106">
        <f t="shared" si="14"/>
        <v>141.57</v>
      </c>
      <c r="BF30" s="76">
        <f>(FuelConsump!BD30*'[1]Fuel Heat Content'!$D$7/1000000)+(FuelConsump!BE30*'[1]Fuel Heat Content'!$C$21/1000000)</f>
        <v>7.7618741399999989</v>
      </c>
      <c r="BG30" s="107"/>
      <c r="BH30" s="108">
        <f>'[1]Passenger-based Activity'!$O31/'[1]Passenger-based Activity'!$O32*BH31</f>
        <v>9.2836519073603228</v>
      </c>
      <c r="BI30" s="105">
        <f t="shared" si="14"/>
        <v>59.598000000000006</v>
      </c>
      <c r="BJ30" s="109">
        <f t="shared" si="14"/>
        <v>731.45999999999992</v>
      </c>
      <c r="BK30" s="110">
        <v>2149</v>
      </c>
      <c r="BL30" s="65">
        <v>146</v>
      </c>
      <c r="BM30" s="78">
        <v>3996.9850000000001</v>
      </c>
      <c r="BN30" s="62">
        <v>1972</v>
      </c>
      <c r="BO30" s="77">
        <f>'[1]MER Table 4.3_Nov2019'!I36*1000</f>
        <v>766156</v>
      </c>
      <c r="BP30" s="80">
        <f t="shared" si="15"/>
        <v>3472.2682982098345</v>
      </c>
      <c r="BQ30" s="81"/>
      <c r="BS30">
        <f t="shared" si="16"/>
        <v>1972</v>
      </c>
      <c r="BV30" s="103">
        <v>0.89500000000000002</v>
      </c>
      <c r="BW30" s="103">
        <v>1E-3</v>
      </c>
      <c r="CB30">
        <v>4844.1926118229121</v>
      </c>
      <c r="CC30">
        <v>1918.3002742818733</v>
      </c>
      <c r="CD30">
        <v>2877.4504114228098</v>
      </c>
      <c r="CE30">
        <v>48.441926118229119</v>
      </c>
      <c r="CF30">
        <v>8120.0829999999996</v>
      </c>
      <c r="CG30">
        <v>3215.5528680000002</v>
      </c>
      <c r="CH30">
        <v>4823.3293019999992</v>
      </c>
      <c r="CI30">
        <v>81.200829999999996</v>
      </c>
      <c r="CK30" s="9"/>
      <c r="CL30" s="79">
        <v>75937</v>
      </c>
      <c r="CN30" s="11"/>
      <c r="CP30" s="86">
        <v>19.600000000000001</v>
      </c>
      <c r="CQ30" s="86">
        <f t="shared" si="2"/>
        <v>19.600000000000001</v>
      </c>
      <c r="CS30" s="12"/>
      <c r="CX30" s="12"/>
      <c r="CZ30" s="80">
        <v>1013000</v>
      </c>
      <c r="DA30" s="80">
        <v>3273000</v>
      </c>
      <c r="DB30" s="80">
        <f t="shared" si="17"/>
        <v>24119.047619047618</v>
      </c>
      <c r="DC30" s="80">
        <f t="shared" si="17"/>
        <v>77928.571428571435</v>
      </c>
      <c r="DD30" s="80">
        <f t="shared" si="8"/>
        <v>140.50309999999999</v>
      </c>
      <c r="DE30" s="80">
        <f t="shared" si="18"/>
        <v>489.96809999999994</v>
      </c>
      <c r="DF30" s="80">
        <f t="shared" si="19"/>
        <v>630.47119999999995</v>
      </c>
      <c r="DG30" s="80"/>
      <c r="DH30" s="80"/>
      <c r="DI30" s="80"/>
      <c r="DJ30" s="104">
        <v>315.10000000000002</v>
      </c>
      <c r="DK30" s="80"/>
      <c r="DL30" s="80">
        <f t="shared" si="9"/>
        <v>1994.0476190476184</v>
      </c>
      <c r="DM30" s="80">
        <f t="shared" si="9"/>
        <v>-3.428571428565192</v>
      </c>
    </row>
    <row r="31" spans="1:117" x14ac:dyDescent="0.25">
      <c r="A31" s="62">
        <v>1973</v>
      </c>
      <c r="B31" s="79">
        <f t="shared" si="10"/>
        <v>78233</v>
      </c>
      <c r="C31" s="80">
        <f t="shared" si="11"/>
        <v>76746.573000000004</v>
      </c>
      <c r="D31" s="80">
        <f t="shared" si="7"/>
        <v>0</v>
      </c>
      <c r="E31" s="88">
        <f>B31*0.019</f>
        <v>1486.4269999999999</v>
      </c>
      <c r="F31" s="80"/>
      <c r="G31" s="80"/>
      <c r="H31" s="80"/>
      <c r="I31" s="80"/>
      <c r="J31" s="71">
        <v>103.88</v>
      </c>
      <c r="K31" s="64">
        <f t="shared" si="1"/>
        <v>103.88</v>
      </c>
      <c r="L31" s="96">
        <v>16828.078000000001</v>
      </c>
      <c r="M31" s="80">
        <f t="shared" si="3"/>
        <v>16424.204128000001</v>
      </c>
      <c r="N31" s="80"/>
      <c r="O31" s="80">
        <f t="shared" si="4"/>
        <v>269.24924800000002</v>
      </c>
      <c r="P31" s="88">
        <f t="shared" si="5"/>
        <v>134.62462400000001</v>
      </c>
      <c r="Q31" s="80"/>
      <c r="R31" s="80"/>
      <c r="S31" s="80"/>
      <c r="T31" s="80"/>
      <c r="U31" s="80"/>
      <c r="V31" s="97">
        <f>[1]Adjust_Truck_Freight!AB9</f>
        <v>8636.5765879002702</v>
      </c>
      <c r="W31" s="80">
        <f t="shared" si="12"/>
        <v>898.20396514162769</v>
      </c>
      <c r="X31" s="80">
        <f>V31*FuelConsump!$BV31</f>
        <v>7729.7360461707422</v>
      </c>
      <c r="Y31" s="88">
        <f>V31*FuelConsump!$BW31</f>
        <v>8.6365765879002705</v>
      </c>
      <c r="Z31" s="97">
        <f>[1]Adjust_Truck_Freight!AC9</f>
        <v>9772.0806982912145</v>
      </c>
      <c r="AA31" s="80">
        <f t="shared" si="13"/>
        <v>1016.2963926222868</v>
      </c>
      <c r="AB31" s="80">
        <f>Z31*FuelConsump!$BV31</f>
        <v>8746.0122249706365</v>
      </c>
      <c r="AC31" s="80">
        <f>Z31*FuelConsump!$BW31</f>
        <v>9.7720806982912141</v>
      </c>
      <c r="AD31" s="92">
        <v>282.62</v>
      </c>
      <c r="AE31" s="93"/>
      <c r="AF31" s="93">
        <f t="shared" si="6"/>
        <v>12.3</v>
      </c>
      <c r="AG31" s="93"/>
      <c r="AH31" s="93"/>
      <c r="AI31" s="93"/>
      <c r="AJ31" s="76"/>
      <c r="AP31" s="70"/>
      <c r="AQ31" s="89">
        <v>327.04000000000002</v>
      </c>
      <c r="AR31" s="89"/>
      <c r="AS31" s="98" t="s">
        <v>99</v>
      </c>
      <c r="AT31" s="99">
        <v>6.01</v>
      </c>
      <c r="AU31" s="74">
        <v>1973</v>
      </c>
      <c r="AV31" s="79">
        <v>26786</v>
      </c>
      <c r="AW31" s="88">
        <v>92415</v>
      </c>
      <c r="AX31" s="62">
        <v>1973</v>
      </c>
      <c r="AY31" s="100">
        <f>0.828*(10671)</f>
        <v>8835.5879999999997</v>
      </c>
      <c r="AZ31" s="100">
        <f>10671-AY31</f>
        <v>1835.4120000000003</v>
      </c>
      <c r="BA31" s="77">
        <v>411</v>
      </c>
      <c r="BB31" s="76">
        <v>304</v>
      </c>
      <c r="BC31" s="62">
        <v>1973</v>
      </c>
      <c r="BD31" s="105">
        <f>BD30+((BD$32-BD$28)/4)</f>
        <v>78.718499999999992</v>
      </c>
      <c r="BE31" s="106">
        <f t="shared" si="14"/>
        <v>212.35499999999999</v>
      </c>
      <c r="BF31" s="76">
        <f>(FuelConsump!BD31*'[1]Fuel Heat Content'!$D$7/1000000)+(FuelConsump!BE31*'[1]Fuel Heat Content'!$C$21/1000000)</f>
        <v>11.64281121</v>
      </c>
      <c r="BG31" s="111">
        <f>'[1]TEDB_Ed31_Table 9.10'!J14</f>
        <v>13.7995</v>
      </c>
      <c r="BH31" s="108">
        <f t="shared" ref="BH31:BH50" si="20">BG31/BG32*BH32</f>
        <v>11.629767295597482</v>
      </c>
      <c r="BI31" s="105">
        <f t="shared" si="14"/>
        <v>52.290000000000006</v>
      </c>
      <c r="BJ31" s="109">
        <f t="shared" si="14"/>
        <v>763.21499999999992</v>
      </c>
      <c r="BK31" s="110">
        <v>2098</v>
      </c>
      <c r="BL31" s="65">
        <v>140</v>
      </c>
      <c r="BM31" s="78">
        <v>4160.7299999999996</v>
      </c>
      <c r="BN31" s="62">
        <v>1973</v>
      </c>
      <c r="BO31" s="77">
        <f>'[1]MER Table 4.3_Nov2019'!I37*1000</f>
        <v>728177</v>
      </c>
      <c r="BP31" s="80">
        <f t="shared" si="15"/>
        <v>3300.1450260593701</v>
      </c>
      <c r="BQ31" s="81"/>
      <c r="BS31">
        <f t="shared" si="16"/>
        <v>1973</v>
      </c>
      <c r="BV31" s="103">
        <v>0.89500000000000002</v>
      </c>
      <c r="BW31" s="103">
        <v>1E-3</v>
      </c>
      <c r="CB31">
        <v>5293.9686513988845</v>
      </c>
      <c r="CC31">
        <v>2096.4115859539584</v>
      </c>
      <c r="CD31">
        <v>3144.6173789309373</v>
      </c>
      <c r="CE31">
        <v>52.939686513988846</v>
      </c>
      <c r="CF31">
        <v>9025.8209999999999</v>
      </c>
      <c r="CG31">
        <v>3574.2251160000001</v>
      </c>
      <c r="CH31">
        <v>5361.3376739999994</v>
      </c>
      <c r="CI31">
        <v>90.258210000000005</v>
      </c>
      <c r="CK31" s="9"/>
      <c r="CL31" s="79">
        <v>78233</v>
      </c>
      <c r="CN31" s="11"/>
      <c r="CP31" s="86">
        <v>12.3</v>
      </c>
      <c r="CQ31" s="86">
        <f t="shared" si="2"/>
        <v>12.3</v>
      </c>
      <c r="CS31" s="12"/>
      <c r="CX31" s="12"/>
      <c r="CZ31" s="80">
        <v>1125000</v>
      </c>
      <c r="DA31" s="80">
        <v>3859000</v>
      </c>
      <c r="DB31" s="80">
        <f t="shared" si="17"/>
        <v>26785.714285714286</v>
      </c>
      <c r="DC31" s="80">
        <f t="shared" si="17"/>
        <v>91880.952380952382</v>
      </c>
      <c r="DD31" s="80">
        <f t="shared" si="8"/>
        <v>156.03749999999999</v>
      </c>
      <c r="DE31" s="80">
        <f t="shared" si="18"/>
        <v>577.69229999999993</v>
      </c>
      <c r="DF31" s="80">
        <f t="shared" si="19"/>
        <v>733.72979999999995</v>
      </c>
      <c r="DG31" s="80"/>
      <c r="DH31" s="80"/>
      <c r="DI31" s="80"/>
      <c r="DJ31" s="104">
        <v>337</v>
      </c>
      <c r="DK31" s="80"/>
      <c r="DL31" s="80">
        <f t="shared" si="9"/>
        <v>-0.285714285713766</v>
      </c>
      <c r="DM31" s="80">
        <f t="shared" si="9"/>
        <v>-534.04761904761835</v>
      </c>
    </row>
    <row r="32" spans="1:117" x14ac:dyDescent="0.25">
      <c r="A32" s="62">
        <v>1974</v>
      </c>
      <c r="B32" s="79">
        <f t="shared" si="10"/>
        <v>74229</v>
      </c>
      <c r="C32" s="80">
        <f t="shared" si="11"/>
        <v>72373.274999999994</v>
      </c>
      <c r="D32" s="80">
        <f t="shared" si="7"/>
        <v>0</v>
      </c>
      <c r="E32" s="88">
        <f>B32*0.025</f>
        <v>1855.7250000000001</v>
      </c>
      <c r="F32" s="80"/>
      <c r="G32" s="80"/>
      <c r="H32" s="80"/>
      <c r="I32" s="80"/>
      <c r="J32" s="71">
        <v>108.9</v>
      </c>
      <c r="K32" s="64">
        <f t="shared" si="1"/>
        <v>108.9</v>
      </c>
      <c r="L32" s="96">
        <v>16657.192999999999</v>
      </c>
      <c r="M32" s="80">
        <f t="shared" si="3"/>
        <v>16257.420367999999</v>
      </c>
      <c r="N32" s="80"/>
      <c r="O32" s="80">
        <f t="shared" si="4"/>
        <v>266.51508799999999</v>
      </c>
      <c r="P32" s="88">
        <f t="shared" si="5"/>
        <v>133.257544</v>
      </c>
      <c r="Q32" s="80"/>
      <c r="R32" s="80"/>
      <c r="S32" s="80"/>
      <c r="T32" s="80"/>
      <c r="U32" s="80"/>
      <c r="V32" s="97">
        <f>[1]Adjust_Truck_Freight!AB10</f>
        <v>8582.3144701448891</v>
      </c>
      <c r="W32" s="80">
        <f t="shared" si="12"/>
        <v>892.56070489506828</v>
      </c>
      <c r="X32" s="80">
        <f>V32*FuelConsump!$BV32</f>
        <v>7681.171450779676</v>
      </c>
      <c r="Y32" s="88">
        <f>V32*FuelConsump!$BW32</f>
        <v>8.5823144701448886</v>
      </c>
      <c r="Z32" s="97">
        <f>[1]Adjust_Truck_Freight!AC10</f>
        <v>9831.1238708057153</v>
      </c>
      <c r="AA32" s="80">
        <f t="shared" si="13"/>
        <v>1022.4368825637947</v>
      </c>
      <c r="AB32" s="80">
        <f>Z32*FuelConsump!$BV32</f>
        <v>8798.8558643711149</v>
      </c>
      <c r="AC32" s="80">
        <f>Z32*FuelConsump!$BW32</f>
        <v>9.8311238708057154</v>
      </c>
      <c r="AD32" s="92">
        <v>316.36</v>
      </c>
      <c r="AE32" s="93"/>
      <c r="AF32" s="93">
        <f t="shared" si="6"/>
        <v>7.5</v>
      </c>
      <c r="AG32" s="93"/>
      <c r="AH32" s="93"/>
      <c r="AI32" s="93"/>
      <c r="AJ32" s="76"/>
      <c r="AP32" s="70"/>
      <c r="AQ32" s="112">
        <v>334.06</v>
      </c>
      <c r="AR32" s="113"/>
      <c r="AS32" s="114" t="s">
        <v>99</v>
      </c>
      <c r="AT32" s="115">
        <v>5.16</v>
      </c>
      <c r="AU32" s="74">
        <v>1974</v>
      </c>
      <c r="AV32" s="79">
        <v>24257</v>
      </c>
      <c r="AW32" s="88">
        <v>91128</v>
      </c>
      <c r="AX32" s="62">
        <v>1974</v>
      </c>
      <c r="AY32" s="100">
        <f>0.828*(10417.3)</f>
        <v>8625.5243999999984</v>
      </c>
      <c r="AZ32" s="100">
        <f>10417.3-AY32</f>
        <v>1791.7756000000008</v>
      </c>
      <c r="BA32" s="77">
        <v>443</v>
      </c>
      <c r="BB32" s="76">
        <v>357</v>
      </c>
      <c r="BC32" s="62">
        <v>1974</v>
      </c>
      <c r="BD32" s="92">
        <f>0.7*3.57*42</f>
        <v>104.95799999999998</v>
      </c>
      <c r="BE32" s="95">
        <f>0.26*1089</f>
        <v>283.14</v>
      </c>
      <c r="BF32" s="76">
        <f>(FuelConsump!BD32*'[1]Fuel Heat Content'!$D$7/1000000)+(FuelConsump!BE32*'[1]Fuel Heat Content'!$C$21/1000000)</f>
        <v>15.523748279999998</v>
      </c>
      <c r="BG32" s="111">
        <f>'[1]TEDB_Ed31_Table 9.10'!J15</f>
        <v>13.317</v>
      </c>
      <c r="BH32" s="108">
        <f t="shared" si="20"/>
        <v>11.223132075471696</v>
      </c>
      <c r="BI32" s="92">
        <f>0.3*3.57*42</f>
        <v>44.981999999999999</v>
      </c>
      <c r="BJ32" s="78">
        <f>0.73*1089</f>
        <v>794.97</v>
      </c>
      <c r="BK32" s="116">
        <f>2630-BL32</f>
        <v>2487.4615384615386</v>
      </c>
      <c r="BL32" s="116">
        <f>BL31+(BL$44-BL$31)/(BC44-BC31)</f>
        <v>142.53846153846155</v>
      </c>
      <c r="BM32" s="78">
        <v>4175.375</v>
      </c>
      <c r="BN32" s="62">
        <v>1974</v>
      </c>
      <c r="BO32" s="77">
        <f>'[1]MER Table 4.3_Nov2019'!I38*1000</f>
        <v>668792</v>
      </c>
      <c r="BP32" s="80">
        <f t="shared" si="15"/>
        <v>3031.0083843190573</v>
      </c>
      <c r="BQ32" s="81"/>
      <c r="BS32">
        <f t="shared" si="16"/>
        <v>1974</v>
      </c>
      <c r="BV32" s="103">
        <v>0.89500000000000002</v>
      </c>
      <c r="BW32" s="103">
        <v>1E-3</v>
      </c>
      <c r="CB32">
        <v>5260.707561494587</v>
      </c>
      <c r="CC32">
        <v>2083.2401943518566</v>
      </c>
      <c r="CD32">
        <v>3124.8602915277847</v>
      </c>
      <c r="CE32">
        <v>52.60707561494587</v>
      </c>
      <c r="CF32">
        <v>9080.3552514906951</v>
      </c>
      <c r="CG32">
        <v>3595.8206795903156</v>
      </c>
      <c r="CH32">
        <v>5393.7310193854728</v>
      </c>
      <c r="CI32">
        <v>90.803552514906954</v>
      </c>
      <c r="CK32" s="9"/>
      <c r="CL32" s="79">
        <v>74229</v>
      </c>
      <c r="CN32" s="11"/>
      <c r="CP32" s="86">
        <v>7.5</v>
      </c>
      <c r="CQ32" s="86">
        <f t="shared" si="2"/>
        <v>7.5</v>
      </c>
      <c r="CS32" s="12"/>
      <c r="CX32" s="12"/>
      <c r="CZ32" s="80">
        <v>1018920</v>
      </c>
      <c r="DA32" s="80">
        <v>3827040</v>
      </c>
      <c r="DB32" s="80">
        <f t="shared" si="17"/>
        <v>24260</v>
      </c>
      <c r="DC32" s="80">
        <f t="shared" si="17"/>
        <v>91120</v>
      </c>
      <c r="DD32" s="80">
        <f t="shared" si="8"/>
        <v>141.32420399999998</v>
      </c>
      <c r="DE32" s="80">
        <f t="shared" si="18"/>
        <v>572.90788799999996</v>
      </c>
      <c r="DF32" s="80">
        <f t="shared" si="19"/>
        <v>714.23209199999997</v>
      </c>
      <c r="DG32" s="80"/>
      <c r="DH32" s="80"/>
      <c r="DI32" s="80"/>
      <c r="DJ32" s="104">
        <v>283.3</v>
      </c>
      <c r="DK32" s="80"/>
      <c r="DL32" s="80">
        <f t="shared" si="9"/>
        <v>3</v>
      </c>
      <c r="DM32" s="80">
        <f t="shared" si="9"/>
        <v>-8</v>
      </c>
    </row>
    <row r="33" spans="1:117" x14ac:dyDescent="0.25">
      <c r="A33" s="62">
        <v>1975</v>
      </c>
      <c r="B33" s="79">
        <f t="shared" si="10"/>
        <v>74140</v>
      </c>
      <c r="C33" s="80">
        <f t="shared" si="11"/>
        <v>71915.8</v>
      </c>
      <c r="D33" s="80">
        <f t="shared" si="7"/>
        <v>0</v>
      </c>
      <c r="E33" s="88">
        <f>B33*0.03</f>
        <v>2224.1999999999998</v>
      </c>
      <c r="F33" s="80"/>
      <c r="G33" s="80"/>
      <c r="H33" s="80"/>
      <c r="I33" s="80"/>
      <c r="J33" s="71">
        <v>112.58</v>
      </c>
      <c r="K33" s="64">
        <f t="shared" si="1"/>
        <v>112.58</v>
      </c>
      <c r="L33" s="96">
        <v>19080.67769871189</v>
      </c>
      <c r="M33" s="80">
        <f t="shared" si="3"/>
        <v>18622.741433942803</v>
      </c>
      <c r="N33" s="80"/>
      <c r="O33" s="80">
        <f t="shared" si="4"/>
        <v>305.29084317939027</v>
      </c>
      <c r="P33" s="88">
        <f t="shared" si="5"/>
        <v>152.64542158969513</v>
      </c>
      <c r="Q33" s="80"/>
      <c r="R33" s="80"/>
      <c r="S33" s="80"/>
      <c r="T33" s="80"/>
      <c r="U33" s="80"/>
      <c r="V33" s="97">
        <f>[1]Adjust_Truck_Freight!AB11</f>
        <v>8842.976426551264</v>
      </c>
      <c r="W33" s="80">
        <f t="shared" si="12"/>
        <v>919.66954836133107</v>
      </c>
      <c r="X33" s="80">
        <f>V33*FuelConsump!$BV33</f>
        <v>7914.4639017633817</v>
      </c>
      <c r="Y33" s="88">
        <f>V33*FuelConsump!$BW33</f>
        <v>8.8429764265512638</v>
      </c>
      <c r="Z33" s="97">
        <f>[1]Adjust_Truck_Freight!AC11</f>
        <v>9936.2741585224103</v>
      </c>
      <c r="AA33" s="80">
        <f t="shared" si="13"/>
        <v>1033.3725124863308</v>
      </c>
      <c r="AB33" s="80">
        <f>Z33*FuelConsump!$BV33</f>
        <v>8892.9653718775571</v>
      </c>
      <c r="AC33" s="80">
        <f>Z33*FuelConsump!$BW33</f>
        <v>9.9362741585224104</v>
      </c>
      <c r="AD33" s="92">
        <v>365.06</v>
      </c>
      <c r="AE33" s="93"/>
      <c r="AF33" s="93">
        <f t="shared" si="6"/>
        <v>5</v>
      </c>
      <c r="AG33" s="93"/>
      <c r="AH33" s="93"/>
      <c r="AI33" s="93"/>
      <c r="AJ33" s="76"/>
      <c r="AP33" s="70"/>
      <c r="AQ33" s="89">
        <f>AR33*42</f>
        <v>341.88</v>
      </c>
      <c r="AR33" s="89">
        <v>8.14</v>
      </c>
      <c r="AS33" s="98">
        <f>AT33*42</f>
        <v>181.01999999999998</v>
      </c>
      <c r="AT33" s="99">
        <v>4.3099999999999996</v>
      </c>
      <c r="AU33" s="74">
        <v>1975</v>
      </c>
      <c r="AV33" s="79">
        <v>26138</v>
      </c>
      <c r="AW33" s="88">
        <v>96673</v>
      </c>
      <c r="AX33" s="62">
        <v>1975</v>
      </c>
      <c r="AY33" s="100">
        <f>0.828*(10412.6)</f>
        <v>8621.6327999999994</v>
      </c>
      <c r="AZ33" s="100">
        <f>10412.6-AY33</f>
        <v>1790.967200000001</v>
      </c>
      <c r="BA33" s="77">
        <v>412</v>
      </c>
      <c r="BB33" s="76">
        <v>453</v>
      </c>
      <c r="BC33" s="62">
        <v>1975</v>
      </c>
      <c r="BD33" s="92">
        <f>0.7*3.31*42</f>
        <v>97.313999999999993</v>
      </c>
      <c r="BE33" s="95">
        <f>0.26*1132</f>
        <v>294.32</v>
      </c>
      <c r="BF33" s="76">
        <f>(FuelConsump!BD33*'[1]Fuel Heat Content'!$D$7/1000000)+(FuelConsump!BE33*'[1]Fuel Heat Content'!$C$21/1000000)</f>
        <v>14.501671639999998</v>
      </c>
      <c r="BG33" s="111">
        <f>'[1]TEDB_Ed31_Table 9.10'!J16</f>
        <v>13.3</v>
      </c>
      <c r="BH33" s="108">
        <f t="shared" si="20"/>
        <v>11.20880503144654</v>
      </c>
      <c r="BI33" s="92">
        <f>0.3*3.31*42</f>
        <v>41.706000000000003</v>
      </c>
      <c r="BJ33" s="78">
        <f>0.73*1132</f>
        <v>826.36</v>
      </c>
      <c r="BK33" s="116">
        <f>2646-BL33</f>
        <v>2500.9230769230771</v>
      </c>
      <c r="BL33" s="116">
        <f t="shared" ref="BL33:BL43" si="21">BL32+(BL$44-BL$31)/(BC45-BC32)</f>
        <v>145.07692307692309</v>
      </c>
      <c r="BM33" s="78">
        <v>3736.4839999999999</v>
      </c>
      <c r="BN33" s="62">
        <v>1975</v>
      </c>
      <c r="BO33" s="77">
        <f>'[1]MER Table 4.3_Nov2019'!I39*1000</f>
        <v>582963</v>
      </c>
      <c r="BP33" s="80">
        <f t="shared" si="15"/>
        <v>2642.0258327668253</v>
      </c>
      <c r="BQ33" s="81"/>
      <c r="BS33">
        <f t="shared" si="16"/>
        <v>1975</v>
      </c>
      <c r="BV33" s="103">
        <v>0.89500000000000002</v>
      </c>
      <c r="BW33" s="103">
        <v>1E-3</v>
      </c>
      <c r="CB33">
        <v>5420.4857110638186</v>
      </c>
      <c r="CC33">
        <v>2146.5123415812723</v>
      </c>
      <c r="CD33">
        <v>3219.7685123719079</v>
      </c>
      <c r="CE33">
        <v>54.204857110638187</v>
      </c>
      <c r="CF33">
        <v>9177.4755787097856</v>
      </c>
      <c r="CG33">
        <v>3634.2803291690752</v>
      </c>
      <c r="CH33">
        <v>5451.4204937536124</v>
      </c>
      <c r="CI33">
        <v>91.77475578709786</v>
      </c>
      <c r="CK33" s="9"/>
      <c r="CL33" s="79">
        <v>74140</v>
      </c>
      <c r="CN33" s="11"/>
      <c r="CP33" s="86">
        <v>5</v>
      </c>
      <c r="CQ33" s="86">
        <f t="shared" si="2"/>
        <v>5</v>
      </c>
      <c r="CS33" s="12"/>
      <c r="CX33" s="12"/>
      <c r="CZ33" s="80">
        <v>1097880</v>
      </c>
      <c r="DA33" s="80">
        <v>4060140</v>
      </c>
      <c r="DB33" s="80">
        <f t="shared" si="17"/>
        <v>26140</v>
      </c>
      <c r="DC33" s="80">
        <f t="shared" si="17"/>
        <v>96670</v>
      </c>
      <c r="DD33" s="80">
        <f t="shared" si="8"/>
        <v>152.27595599999998</v>
      </c>
      <c r="DE33" s="80">
        <f t="shared" si="18"/>
        <v>607.80295799999999</v>
      </c>
      <c r="DF33" s="80">
        <f t="shared" si="19"/>
        <v>760.07891399999994</v>
      </c>
      <c r="DG33" s="80"/>
      <c r="DH33" s="80"/>
      <c r="DI33" s="80"/>
      <c r="DJ33" s="104">
        <v>311</v>
      </c>
      <c r="DK33" s="80"/>
      <c r="DL33" s="80">
        <f t="shared" si="9"/>
        <v>2</v>
      </c>
      <c r="DM33" s="80">
        <f t="shared" si="9"/>
        <v>-3</v>
      </c>
    </row>
    <row r="34" spans="1:117" x14ac:dyDescent="0.25">
      <c r="A34" s="62">
        <v>1976</v>
      </c>
      <c r="B34" s="79">
        <f t="shared" si="10"/>
        <v>78297</v>
      </c>
      <c r="C34" s="80">
        <f t="shared" si="11"/>
        <v>75478.308000000005</v>
      </c>
      <c r="D34" s="80">
        <f t="shared" si="7"/>
        <v>0</v>
      </c>
      <c r="E34" s="88">
        <f>B34*0.036</f>
        <v>2818.692</v>
      </c>
      <c r="F34" s="80"/>
      <c r="G34" s="80"/>
      <c r="H34" s="80"/>
      <c r="I34" s="80"/>
      <c r="J34" s="71">
        <v>120.06</v>
      </c>
      <c r="K34" s="64">
        <f t="shared" si="1"/>
        <v>120.06</v>
      </c>
      <c r="L34" s="96">
        <v>20827.909013057597</v>
      </c>
      <c r="M34" s="80">
        <f t="shared" si="3"/>
        <v>20328.039196744212</v>
      </c>
      <c r="N34" s="80"/>
      <c r="O34" s="80">
        <f t="shared" si="4"/>
        <v>333.24654420892153</v>
      </c>
      <c r="P34" s="88">
        <f t="shared" si="5"/>
        <v>166.62327210446077</v>
      </c>
      <c r="Q34" s="80"/>
      <c r="R34" s="80"/>
      <c r="S34" s="80"/>
      <c r="T34" s="80"/>
      <c r="U34" s="80"/>
      <c r="V34" s="97">
        <f>[1]Adjust_Truck_Freight!AB12</f>
        <v>9308.3902777116818</v>
      </c>
      <c r="W34" s="80">
        <f t="shared" si="12"/>
        <v>968.07258888201511</v>
      </c>
      <c r="X34" s="80">
        <f>V34*FuelConsump!$BV34</f>
        <v>8331.009298551955</v>
      </c>
      <c r="Y34" s="88">
        <f>V34*FuelConsump!$BW34</f>
        <v>9.3083902777116823</v>
      </c>
      <c r="Z34" s="97">
        <f>[1]Adjust_Truck_Freight!AC12</f>
        <v>10504.725844348139</v>
      </c>
      <c r="AA34" s="80">
        <f t="shared" si="13"/>
        <v>1092.4914878122056</v>
      </c>
      <c r="AB34" s="80">
        <f>Z34*FuelConsump!$BV34</f>
        <v>9401.729630691585</v>
      </c>
      <c r="AC34" s="80">
        <f>Z34*FuelConsump!$BW34</f>
        <v>10.504725844348139</v>
      </c>
      <c r="AD34" s="92">
        <v>389.18700000000001</v>
      </c>
      <c r="AE34" s="93"/>
      <c r="AF34" s="93">
        <f t="shared" si="6"/>
        <v>5.2</v>
      </c>
      <c r="AG34" s="93"/>
      <c r="AH34" s="93"/>
      <c r="AI34" s="93"/>
      <c r="AJ34" s="76"/>
      <c r="AP34" s="70"/>
      <c r="AQ34" s="89">
        <f t="shared" ref="AQ34:AQ58" si="22">AR34*42</f>
        <v>389.76</v>
      </c>
      <c r="AR34" s="89">
        <v>9.2799999999999994</v>
      </c>
      <c r="AS34" s="98">
        <f t="shared" ref="AS34:AS58" si="23">AT34*42</f>
        <v>182.28</v>
      </c>
      <c r="AT34" s="99">
        <v>4.34</v>
      </c>
      <c r="AU34" s="74">
        <v>1976</v>
      </c>
      <c r="AV34" s="79">
        <v>28330</v>
      </c>
      <c r="AW34" s="88">
        <v>117458</v>
      </c>
      <c r="AX34" s="62">
        <v>1976</v>
      </c>
      <c r="AY34" s="100">
        <f>0.828*(10400)</f>
        <v>8611.1999999999989</v>
      </c>
      <c r="AZ34" s="100">
        <f>10400-AY34</f>
        <v>1788.8000000000011</v>
      </c>
      <c r="BA34" s="77">
        <v>432</v>
      </c>
      <c r="BB34" s="76">
        <v>495</v>
      </c>
      <c r="BC34" s="62">
        <v>1976</v>
      </c>
      <c r="BD34" s="92">
        <f>0.7*3.13*42</f>
        <v>92.021999999999991</v>
      </c>
      <c r="BE34" s="95">
        <f>0.26*1061</f>
        <v>275.86</v>
      </c>
      <c r="BF34" s="76">
        <f>(FuelConsump!BD34*'[1]Fuel Heat Content'!$D$7/1000000)+(FuelConsump!BE34*'[1]Fuel Heat Content'!$C$21/1000000)</f>
        <v>13.704685719999999</v>
      </c>
      <c r="BG34" s="111">
        <f>'[1]TEDB_Ed31_Table 9.10'!J17</f>
        <v>13.9925</v>
      </c>
      <c r="BH34" s="108">
        <f t="shared" si="20"/>
        <v>11.792421383647797</v>
      </c>
      <c r="BI34" s="92">
        <f>0.3*3.13*42</f>
        <v>39.437999999999995</v>
      </c>
      <c r="BJ34" s="78">
        <f>0.73*1061</f>
        <v>774.53</v>
      </c>
      <c r="BK34" s="116">
        <f>2576-BL34</f>
        <v>2428.3846153846152</v>
      </c>
      <c r="BL34" s="116">
        <f t="shared" si="21"/>
        <v>147.61538461538464</v>
      </c>
      <c r="BM34" s="78">
        <v>3895.5419999999999</v>
      </c>
      <c r="BN34" s="62">
        <v>1976</v>
      </c>
      <c r="BO34" s="77">
        <f>'[1]MER Table 4.3_Nov2019'!I40*1000</f>
        <v>548323</v>
      </c>
      <c r="BP34" s="80">
        <f t="shared" si="15"/>
        <v>2485.0351234987538</v>
      </c>
      <c r="BQ34" s="81"/>
      <c r="BS34">
        <f t="shared" si="16"/>
        <v>1976</v>
      </c>
      <c r="BV34" s="103">
        <v>0.89500000000000002</v>
      </c>
      <c r="BW34" s="103">
        <v>1E-3</v>
      </c>
      <c r="CB34">
        <v>5705.7707789253072</v>
      </c>
      <c r="CC34">
        <v>2259.4852284544218</v>
      </c>
      <c r="CD34">
        <v>3389.2278426816324</v>
      </c>
      <c r="CE34">
        <v>57.057707789253072</v>
      </c>
      <c r="CF34">
        <v>9702.5165931897864</v>
      </c>
      <c r="CG34">
        <v>3842.1965709031556</v>
      </c>
      <c r="CH34">
        <v>5763.2948563547325</v>
      </c>
      <c r="CI34">
        <v>97.02516593189786</v>
      </c>
      <c r="CK34" s="9"/>
      <c r="CL34" s="79">
        <v>78297</v>
      </c>
      <c r="CN34" s="11"/>
      <c r="CP34" s="86">
        <v>5.2</v>
      </c>
      <c r="CQ34" s="86">
        <f t="shared" si="2"/>
        <v>5.2</v>
      </c>
      <c r="CS34" s="12"/>
      <c r="CX34" s="12"/>
      <c r="CZ34" s="80">
        <v>1220100</v>
      </c>
      <c r="DA34" s="80">
        <v>4977000</v>
      </c>
      <c r="DB34" s="80">
        <f t="shared" si="17"/>
        <v>29050</v>
      </c>
      <c r="DC34" s="80">
        <f t="shared" si="17"/>
        <v>118500</v>
      </c>
      <c r="DD34" s="80">
        <f t="shared" si="8"/>
        <v>169.22787</v>
      </c>
      <c r="DE34" s="80">
        <f t="shared" si="18"/>
        <v>745.05689999999993</v>
      </c>
      <c r="DF34" s="80">
        <f t="shared" si="19"/>
        <v>914.28476999999998</v>
      </c>
      <c r="DG34" s="80"/>
      <c r="DH34" s="80"/>
      <c r="DI34" s="80"/>
      <c r="DJ34" s="104">
        <v>277.3</v>
      </c>
      <c r="DK34" s="80"/>
      <c r="DL34" s="80">
        <f t="shared" si="9"/>
        <v>720</v>
      </c>
      <c r="DM34" s="80">
        <f t="shared" si="9"/>
        <v>1042</v>
      </c>
    </row>
    <row r="35" spans="1:117" x14ac:dyDescent="0.25">
      <c r="A35" s="62">
        <v>1977</v>
      </c>
      <c r="B35" s="79">
        <f t="shared" si="10"/>
        <v>79060</v>
      </c>
      <c r="C35" s="80">
        <f t="shared" si="11"/>
        <v>75739.48</v>
      </c>
      <c r="D35" s="80">
        <f t="shared" si="7"/>
        <v>0</v>
      </c>
      <c r="E35" s="88">
        <f>B35*0.042</f>
        <v>3320.52</v>
      </c>
      <c r="F35" s="80"/>
      <c r="G35" s="80"/>
      <c r="H35" s="80"/>
      <c r="I35" s="80"/>
      <c r="J35" s="71">
        <v>126.98</v>
      </c>
      <c r="K35" s="64">
        <f t="shared" si="1"/>
        <v>126.98</v>
      </c>
      <c r="L35" s="96">
        <v>22382.663499565762</v>
      </c>
      <c r="M35" s="80">
        <f t="shared" si="3"/>
        <v>21845.479575576184</v>
      </c>
      <c r="N35" s="80"/>
      <c r="O35" s="80">
        <f t="shared" si="4"/>
        <v>358.12261599305219</v>
      </c>
      <c r="P35" s="88">
        <f t="shared" si="5"/>
        <v>179.0613079965261</v>
      </c>
      <c r="Q35" s="80"/>
      <c r="R35" s="80"/>
      <c r="S35" s="80"/>
      <c r="T35" s="80"/>
      <c r="U35" s="80"/>
      <c r="V35" s="97">
        <f>[1]Adjust_Truck_Freight!AB13</f>
        <v>10225.1602191698</v>
      </c>
      <c r="W35" s="80">
        <f t="shared" si="12"/>
        <v>1063.4166627936595</v>
      </c>
      <c r="X35" s="80">
        <f>V35*FuelConsump!$BV35</f>
        <v>9151.518396156971</v>
      </c>
      <c r="Y35" s="88">
        <f>V35*FuelConsump!$BW35</f>
        <v>10.225160219169801</v>
      </c>
      <c r="Z35" s="97">
        <f>[1]Adjust_Truck_Freight!AC13</f>
        <v>11708.362942582162</v>
      </c>
      <c r="AA35" s="80">
        <f t="shared" si="13"/>
        <v>1217.6697460285443</v>
      </c>
      <c r="AB35" s="80">
        <f>Z35*FuelConsump!$BV35</f>
        <v>10478.984833611035</v>
      </c>
      <c r="AC35" s="80">
        <f>Z35*FuelConsump!$BW35</f>
        <v>11.708362942582163</v>
      </c>
      <c r="AD35" s="92">
        <v>402.84199999999998</v>
      </c>
      <c r="AE35" s="93"/>
      <c r="AF35" s="93">
        <f t="shared" si="6"/>
        <v>8.1</v>
      </c>
      <c r="AG35" s="93"/>
      <c r="AH35" s="93"/>
      <c r="AI35" s="93"/>
      <c r="AJ35" s="76"/>
      <c r="AP35" s="70"/>
      <c r="AQ35" s="89">
        <f t="shared" si="22"/>
        <v>401.52000000000004</v>
      </c>
      <c r="AR35" s="89">
        <v>9.56</v>
      </c>
      <c r="AS35" s="98">
        <f t="shared" si="23"/>
        <v>181.86</v>
      </c>
      <c r="AT35" s="99">
        <v>4.33</v>
      </c>
      <c r="AU35" s="74">
        <v>1977</v>
      </c>
      <c r="AV35" s="79">
        <v>33512</v>
      </c>
      <c r="AW35" s="88">
        <v>128966</v>
      </c>
      <c r="AX35" s="62">
        <v>1977</v>
      </c>
      <c r="AY35" s="117">
        <v>8202</v>
      </c>
      <c r="AZ35" s="117">
        <v>1708.4</v>
      </c>
      <c r="BA35" s="77">
        <v>456</v>
      </c>
      <c r="BB35" s="76">
        <v>536</v>
      </c>
      <c r="BC35" s="62">
        <v>1977</v>
      </c>
      <c r="BD35" s="118">
        <f>0.7*3.12*42</f>
        <v>91.727999999999994</v>
      </c>
      <c r="BE35" s="119">
        <f>0.26*1250</f>
        <v>325</v>
      </c>
      <c r="BF35" s="76">
        <f>(FuelConsump!BD35*'[1]Fuel Heat Content'!$D$7/1000000)+(FuelConsump!BE35*'[1]Fuel Heat Content'!$C$21/1000000)</f>
        <v>13.8315736</v>
      </c>
      <c r="BG35" s="111">
        <f>'[1]TEDB_Ed31_Table 9.10'!J18</f>
        <v>14.475</v>
      </c>
      <c r="BH35" s="108">
        <f t="shared" si="20"/>
        <v>12.199056603773583</v>
      </c>
      <c r="BI35" s="118">
        <f>0.3*3.12*42</f>
        <v>39.311999999999998</v>
      </c>
      <c r="BJ35" s="120">
        <f>0.73*1250</f>
        <v>912.5</v>
      </c>
      <c r="BK35" s="116">
        <f>2303-BL35</f>
        <v>2152.8461538461538</v>
      </c>
      <c r="BL35" s="116">
        <f t="shared" si="21"/>
        <v>150.15384615384619</v>
      </c>
      <c r="BM35" s="78">
        <v>3985.069</v>
      </c>
      <c r="BN35" s="62">
        <v>1977</v>
      </c>
      <c r="BO35" s="77">
        <f>'[1]MER Table 4.3_Nov2019'!I41*1000</f>
        <v>532669</v>
      </c>
      <c r="BP35" s="80">
        <f t="shared" si="15"/>
        <v>2414.0901880806705</v>
      </c>
      <c r="BQ35" s="81"/>
      <c r="BS35">
        <f t="shared" si="16"/>
        <v>1977</v>
      </c>
      <c r="BV35" s="103">
        <v>0.89500000000000002</v>
      </c>
      <c r="BW35" s="103">
        <v>1E-3</v>
      </c>
      <c r="BX35" s="103">
        <f>AY35/(AY35+AZ35)</f>
        <v>0.82761543429124962</v>
      </c>
      <c r="CB35">
        <v>6267.7239187172427</v>
      </c>
      <c r="CC35">
        <v>2482.0186718120281</v>
      </c>
      <c r="CD35">
        <v>3723.0280077180419</v>
      </c>
      <c r="CE35">
        <v>62.677239187172425</v>
      </c>
      <c r="CF35">
        <v>10814.236126934469</v>
      </c>
      <c r="CG35">
        <v>4282.4375062660501</v>
      </c>
      <c r="CH35">
        <v>6423.6562593990748</v>
      </c>
      <c r="CI35">
        <v>108.14236126934469</v>
      </c>
      <c r="CK35" s="9"/>
      <c r="CL35" s="79">
        <v>79060</v>
      </c>
      <c r="CN35" s="11"/>
      <c r="CP35" s="86">
        <v>8.1</v>
      </c>
      <c r="CQ35" s="86">
        <f t="shared" si="2"/>
        <v>8.1</v>
      </c>
      <c r="CS35" s="12"/>
      <c r="CX35" s="12"/>
      <c r="CZ35" s="80">
        <v>1407420</v>
      </c>
      <c r="DA35" s="80">
        <v>5416740</v>
      </c>
      <c r="DB35" s="80">
        <f t="shared" si="17"/>
        <v>33510</v>
      </c>
      <c r="DC35" s="80">
        <f t="shared" si="17"/>
        <v>128970</v>
      </c>
      <c r="DD35" s="80">
        <f t="shared" si="8"/>
        <v>195.20915399999996</v>
      </c>
      <c r="DE35" s="80">
        <f t="shared" si="18"/>
        <v>810.8859779999998</v>
      </c>
      <c r="DF35" s="80">
        <f t="shared" si="19"/>
        <v>1006.0951319999997</v>
      </c>
      <c r="DG35" s="80"/>
      <c r="DH35" s="80"/>
      <c r="DI35" s="80"/>
      <c r="DJ35" s="104">
        <v>274.3</v>
      </c>
      <c r="DK35" s="80"/>
      <c r="DL35" s="80">
        <f t="shared" si="9"/>
        <v>-2</v>
      </c>
      <c r="DM35" s="80">
        <f t="shared" si="9"/>
        <v>4</v>
      </c>
    </row>
    <row r="36" spans="1:117" x14ac:dyDescent="0.25">
      <c r="A36" s="62">
        <v>1978</v>
      </c>
      <c r="B36" s="79">
        <f t="shared" si="10"/>
        <v>80652</v>
      </c>
      <c r="C36" s="80">
        <f t="shared" si="11"/>
        <v>76861.356</v>
      </c>
      <c r="D36" s="80">
        <f t="shared" si="7"/>
        <v>0</v>
      </c>
      <c r="E36" s="88">
        <f>B36*0.047</f>
        <v>3790.6440000000002</v>
      </c>
      <c r="F36" s="80"/>
      <c r="G36" s="80"/>
      <c r="H36" s="80"/>
      <c r="I36" s="80"/>
      <c r="J36" s="71">
        <v>143.16</v>
      </c>
      <c r="K36" s="64">
        <f t="shared" si="1"/>
        <v>143.16</v>
      </c>
      <c r="L36" s="96">
        <v>24162.056698983626</v>
      </c>
      <c r="M36" s="80">
        <f t="shared" si="3"/>
        <v>23461.357054713102</v>
      </c>
      <c r="N36" s="80"/>
      <c r="O36" s="80">
        <f>L36*0.02</f>
        <v>483.24113397967255</v>
      </c>
      <c r="P36" s="88">
        <f>L36*0.009</f>
        <v>217.45851029085262</v>
      </c>
      <c r="Q36" s="80"/>
      <c r="R36" s="80"/>
      <c r="S36" s="80"/>
      <c r="T36" s="80"/>
      <c r="U36" s="80"/>
      <c r="V36" s="97">
        <f>[1]Adjust_Truck_Freight!AB14</f>
        <v>11347.141820940411</v>
      </c>
      <c r="W36" s="80">
        <f t="shared" si="12"/>
        <v>1849.5841168132877</v>
      </c>
      <c r="X36" s="80">
        <f>V36*FuelConsump!$BV36</f>
        <v>9474.8634204852424</v>
      </c>
      <c r="Y36" s="88">
        <f>V36*FuelConsump!$BW36</f>
        <v>22.694283641880823</v>
      </c>
      <c r="Z36" s="97">
        <f>[1]Adjust_Truck_Freight!AC14</f>
        <v>13171.15703351792</v>
      </c>
      <c r="AA36" s="80">
        <f t="shared" si="13"/>
        <v>2146.8985964634221</v>
      </c>
      <c r="AB36" s="80">
        <f>Z36*FuelConsump!$BV36</f>
        <v>10997.916122987463</v>
      </c>
      <c r="AC36" s="80">
        <f>Z36*FuelConsump!$BW36</f>
        <v>26.34231406703584</v>
      </c>
      <c r="AD36" s="92">
        <v>422.017</v>
      </c>
      <c r="AE36" s="93"/>
      <c r="AF36" s="93">
        <f t="shared" si="6"/>
        <v>9.3000000000000007</v>
      </c>
      <c r="AG36" s="93"/>
      <c r="AH36" s="93"/>
      <c r="AI36" s="93"/>
      <c r="AJ36" s="76"/>
      <c r="AP36" s="70"/>
      <c r="AQ36" s="89">
        <f t="shared" si="22"/>
        <v>406.97999999999996</v>
      </c>
      <c r="AR36" s="89">
        <v>9.69</v>
      </c>
      <c r="AS36" s="98">
        <f t="shared" si="23"/>
        <v>180.18</v>
      </c>
      <c r="AT36" s="99">
        <v>4.29</v>
      </c>
      <c r="AU36" s="74">
        <v>1978</v>
      </c>
      <c r="AV36" s="79">
        <v>37591</v>
      </c>
      <c r="AW36" s="88">
        <v>157495</v>
      </c>
      <c r="AX36" s="62">
        <v>1978</v>
      </c>
      <c r="AY36" s="117">
        <v>8446.1</v>
      </c>
      <c r="AZ36" s="117">
        <v>1741.9</v>
      </c>
      <c r="BA36" s="77">
        <v>518</v>
      </c>
      <c r="BB36" s="76">
        <v>763</v>
      </c>
      <c r="BC36" s="62">
        <v>1978</v>
      </c>
      <c r="BD36" s="92">
        <v>101.874</v>
      </c>
      <c r="BE36" s="95">
        <v>341</v>
      </c>
      <c r="BF36" s="76">
        <f>(FuelConsump!BD36*'[1]Fuel Heat Content'!$D$7/1000000)+(FuelConsump!BE36*'[1]Fuel Heat Content'!$C$21/1000000)</f>
        <v>15.293415799999998</v>
      </c>
      <c r="BG36" s="111">
        <f>'[1]TEDB_Ed31_Table 9.10'!J19</f>
        <v>14.7645</v>
      </c>
      <c r="BH36" s="108">
        <f t="shared" si="20"/>
        <v>12.443037735849055</v>
      </c>
      <c r="BI36" s="95">
        <v>41.146000000000001</v>
      </c>
      <c r="BJ36" s="88">
        <v>935</v>
      </c>
      <c r="BK36" s="116">
        <f>2223-BL36</f>
        <v>2070.3076923076924</v>
      </c>
      <c r="BL36" s="116">
        <f t="shared" si="21"/>
        <v>152.69230769230774</v>
      </c>
      <c r="BM36" s="78">
        <v>3968.0070000000001</v>
      </c>
      <c r="BN36" s="62">
        <v>1978</v>
      </c>
      <c r="BO36" s="77">
        <f>'[1]MER Table 4.3_Nov2019'!I42*1000</f>
        <v>530451</v>
      </c>
      <c r="BP36" s="80">
        <f t="shared" si="15"/>
        <v>2404.0380693405846</v>
      </c>
      <c r="BQ36" s="81"/>
      <c r="BS36">
        <f t="shared" si="16"/>
        <v>1978</v>
      </c>
      <c r="BV36" s="103">
        <v>0.83499999999999996</v>
      </c>
      <c r="BW36" s="121">
        <v>2E-3</v>
      </c>
      <c r="BX36" s="103">
        <f>AY36/(AY36+AZ36)</f>
        <v>0.82902434236356504</v>
      </c>
      <c r="CB36">
        <v>6955.4657996311935</v>
      </c>
      <c r="CC36">
        <v>2754.3644566539529</v>
      </c>
      <c r="CD36">
        <v>4131.5466849809291</v>
      </c>
      <c r="CE36">
        <v>69.554657996311931</v>
      </c>
      <c r="CF36">
        <v>12165.321738308166</v>
      </c>
      <c r="CG36">
        <v>4817.4674083700338</v>
      </c>
      <c r="CH36">
        <v>7226.2011125550507</v>
      </c>
      <c r="CI36">
        <v>121.65321738308167</v>
      </c>
      <c r="CK36" s="9"/>
      <c r="CL36" s="79">
        <v>80652</v>
      </c>
      <c r="CN36" s="11"/>
      <c r="CP36" s="86">
        <v>9.3000000000000007</v>
      </c>
      <c r="CQ36" s="86">
        <f t="shared" si="2"/>
        <v>9.3000000000000007</v>
      </c>
      <c r="CS36" s="12"/>
      <c r="CX36" s="12"/>
      <c r="CZ36" s="80">
        <v>1578822</v>
      </c>
      <c r="DA36" s="80">
        <v>6614790</v>
      </c>
      <c r="DB36" s="80">
        <f t="shared" si="17"/>
        <v>37591</v>
      </c>
      <c r="DC36" s="80">
        <f t="shared" si="17"/>
        <v>157495</v>
      </c>
      <c r="DD36" s="80">
        <f t="shared" si="8"/>
        <v>218.98261139999997</v>
      </c>
      <c r="DE36" s="80">
        <f t="shared" si="18"/>
        <v>990.23406299999988</v>
      </c>
      <c r="DF36" s="80">
        <f t="shared" si="19"/>
        <v>1209.2166743999999</v>
      </c>
      <c r="DG36" s="80"/>
      <c r="DH36" s="80"/>
      <c r="DI36" s="80"/>
      <c r="DJ36" s="104">
        <v>316.60000000000002</v>
      </c>
      <c r="DK36" s="80"/>
      <c r="DL36" s="80">
        <f t="shared" si="9"/>
        <v>0</v>
      </c>
      <c r="DM36" s="80">
        <f t="shared" si="9"/>
        <v>0</v>
      </c>
    </row>
    <row r="37" spans="1:117" x14ac:dyDescent="0.25">
      <c r="A37" s="62">
        <v>1979</v>
      </c>
      <c r="B37" s="79">
        <f t="shared" si="10"/>
        <v>76588</v>
      </c>
      <c r="C37" s="80">
        <f t="shared" si="11"/>
        <v>72528.835999999996</v>
      </c>
      <c r="D37" s="80">
        <f t="shared" si="7"/>
        <v>0</v>
      </c>
      <c r="E37" s="88">
        <f>B37*0.053</f>
        <v>4059.1639999999998</v>
      </c>
      <c r="F37" s="80"/>
      <c r="G37" s="80"/>
      <c r="H37" s="80"/>
      <c r="I37" s="80"/>
      <c r="J37" s="71">
        <v>172.74</v>
      </c>
      <c r="K37" s="64">
        <f t="shared" si="1"/>
        <v>172.74</v>
      </c>
      <c r="L37" s="96">
        <v>24444.55050473749</v>
      </c>
      <c r="M37" s="80">
        <f t="shared" si="3"/>
        <v>23613.435787576418</v>
      </c>
      <c r="N37" s="80"/>
      <c r="O37" s="80">
        <f>L37*0.024</f>
        <v>586.66921211369981</v>
      </c>
      <c r="P37" s="88">
        <f>L37*0.01</f>
        <v>244.44550504737489</v>
      </c>
      <c r="Q37" s="80"/>
      <c r="R37" s="80"/>
      <c r="S37" s="80"/>
      <c r="T37" s="80"/>
      <c r="U37" s="80"/>
      <c r="V37" s="97">
        <f>[1]Adjust_Truck_Freight!AB15</f>
        <v>11500.558105368769</v>
      </c>
      <c r="W37" s="80">
        <f t="shared" si="12"/>
        <v>2265.6099467576464</v>
      </c>
      <c r="X37" s="80">
        <f>V37*FuelConsump!$BV37</f>
        <v>9200.4464842950165</v>
      </c>
      <c r="Y37" s="88">
        <f>V37*FuelConsump!$BW37</f>
        <v>34.50167431610631</v>
      </c>
      <c r="Z37" s="97">
        <f>[1]Adjust_Truck_Freight!AC15</f>
        <v>13927.360625484529</v>
      </c>
      <c r="AA37" s="80">
        <f t="shared" si="13"/>
        <v>2743.6900432204516</v>
      </c>
      <c r="AB37" s="80">
        <f>Z37*FuelConsump!$BV37</f>
        <v>11141.888500387624</v>
      </c>
      <c r="AC37" s="80">
        <f>Z37*FuelConsump!$BW37</f>
        <v>41.782081876453589</v>
      </c>
      <c r="AD37" s="92">
        <v>423.21199999999999</v>
      </c>
      <c r="AE37" s="80"/>
      <c r="AF37" s="93">
        <f t="shared" si="6"/>
        <v>9</v>
      </c>
      <c r="AG37" s="80"/>
      <c r="AH37" s="80"/>
      <c r="AI37" s="80"/>
      <c r="AJ37" s="88"/>
      <c r="AP37" s="70"/>
      <c r="AQ37" s="89">
        <f t="shared" si="22"/>
        <v>404.88</v>
      </c>
      <c r="AR37" s="89">
        <v>9.64</v>
      </c>
      <c r="AS37" s="98">
        <f t="shared" si="23"/>
        <v>205.38</v>
      </c>
      <c r="AT37" s="99">
        <v>4.8899999999999997</v>
      </c>
      <c r="AU37" s="74">
        <v>1979</v>
      </c>
      <c r="AV37" s="79">
        <v>38826</v>
      </c>
      <c r="AW37" s="88">
        <v>190543</v>
      </c>
      <c r="AX37" s="62">
        <v>1979</v>
      </c>
      <c r="AY37" s="117">
        <v>8865.9</v>
      </c>
      <c r="AZ37" s="117">
        <v>1828.4</v>
      </c>
      <c r="BA37" s="77">
        <v>570</v>
      </c>
      <c r="BB37" s="76">
        <v>736</v>
      </c>
      <c r="BC37" s="62">
        <v>1979</v>
      </c>
      <c r="BD37" s="122">
        <f>(BD38+BD36)/2</f>
        <v>82.660143475126176</v>
      </c>
      <c r="BE37" s="123">
        <f>(BE38+BE36)/2</f>
        <v>359.10624818647841</v>
      </c>
      <c r="BF37" s="76">
        <f>(FuelConsump!BD37*'[1]Fuel Heat Content'!$D$7/1000000)+(FuelConsump!BE37*'[1]Fuel Heat Content'!$C$21/1000000)</f>
        <v>12.690232418812265</v>
      </c>
      <c r="BG37" s="111">
        <f>'[1]TEDB_Ed31_Table 9.10'!J20</f>
        <v>16.308499999999999</v>
      </c>
      <c r="BH37" s="108">
        <f t="shared" si="20"/>
        <v>13.744270440251569</v>
      </c>
      <c r="BI37" s="105">
        <f>(BI38+BI36)/2</f>
        <v>37.876532804614271</v>
      </c>
      <c r="BJ37" s="124">
        <f>(BJ38+BJ36)/2</f>
        <v>1018.8105716220138</v>
      </c>
      <c r="BK37" s="125">
        <f>2473-BL37</f>
        <v>2317.7692307692305</v>
      </c>
      <c r="BL37" s="116">
        <f t="shared" si="21"/>
        <v>155.23076923076928</v>
      </c>
      <c r="BM37" s="78">
        <v>4072.1869999999999</v>
      </c>
      <c r="BN37" s="62">
        <v>1979</v>
      </c>
      <c r="BO37" s="77">
        <f>'[1]MER Table 4.3_Nov2019'!I43*1000</f>
        <v>600964</v>
      </c>
      <c r="BP37" s="80">
        <f t="shared" si="15"/>
        <v>2723.6075232268299</v>
      </c>
      <c r="BQ37" s="81"/>
      <c r="BS37">
        <f t="shared" si="16"/>
        <v>1979</v>
      </c>
      <c r="BV37" s="121">
        <v>0.8</v>
      </c>
      <c r="BW37" s="121">
        <v>3.0000000000000001E-3</v>
      </c>
      <c r="BX37" s="103">
        <f>AY37/(AY37+AZ37)</f>
        <v>0.82903041807317923</v>
      </c>
      <c r="CB37">
        <v>7049.5054914131979</v>
      </c>
      <c r="CC37">
        <v>2791.6041745996263</v>
      </c>
      <c r="CD37">
        <v>4187.4062618994394</v>
      </c>
      <c r="CE37">
        <v>70.495054914131984</v>
      </c>
      <c r="CF37">
        <v>12863.776701112673</v>
      </c>
      <c r="CG37">
        <v>5094.0555736406186</v>
      </c>
      <c r="CH37">
        <v>7641.083360460927</v>
      </c>
      <c r="CI37">
        <v>128.63776701112673</v>
      </c>
      <c r="CK37" s="9"/>
      <c r="CL37" s="79">
        <v>76588</v>
      </c>
      <c r="CN37" s="11"/>
      <c r="CP37" s="86">
        <v>9</v>
      </c>
      <c r="CQ37" s="86">
        <f t="shared" si="2"/>
        <v>9</v>
      </c>
      <c r="CS37" s="12"/>
      <c r="CX37" s="12"/>
      <c r="CZ37" s="80">
        <v>1630858</v>
      </c>
      <c r="DA37" s="80">
        <v>8002672</v>
      </c>
      <c r="DB37" s="80">
        <f t="shared" si="17"/>
        <v>38829.952380952382</v>
      </c>
      <c r="DC37" s="80">
        <f t="shared" si="17"/>
        <v>190539.80952380953</v>
      </c>
      <c r="DD37" s="80">
        <f t="shared" si="8"/>
        <v>226.20000459999997</v>
      </c>
      <c r="DE37" s="80">
        <f t="shared" si="18"/>
        <v>1197.9999983999999</v>
      </c>
      <c r="DF37" s="80">
        <f t="shared" si="19"/>
        <v>1424.2000029999999</v>
      </c>
      <c r="DG37" s="80"/>
      <c r="DH37" s="80"/>
      <c r="DI37" s="80"/>
      <c r="DJ37" s="104">
        <v>378.7</v>
      </c>
      <c r="DK37" s="80"/>
      <c r="DL37" s="80">
        <f t="shared" si="9"/>
        <v>3.9523809523816453</v>
      </c>
      <c r="DM37" s="80">
        <f t="shared" si="9"/>
        <v>-3.1904761904734187</v>
      </c>
    </row>
    <row r="38" spans="1:117" x14ac:dyDescent="0.25">
      <c r="A38" s="62">
        <v>1980</v>
      </c>
      <c r="B38" s="79">
        <f t="shared" si="10"/>
        <v>69981</v>
      </c>
      <c r="C38" s="80">
        <f t="shared" si="11"/>
        <v>65712.159</v>
      </c>
      <c r="D38" s="80">
        <f>B38*0.005</f>
        <v>349.90500000000003</v>
      </c>
      <c r="E38" s="126">
        <f>B38*0.056</f>
        <v>3918.9360000000001</v>
      </c>
      <c r="F38" s="80"/>
      <c r="G38" s="80"/>
      <c r="H38" s="80"/>
      <c r="I38" s="80"/>
      <c r="J38" s="71">
        <v>204.28</v>
      </c>
      <c r="K38" s="64">
        <f t="shared" si="1"/>
        <v>204.28</v>
      </c>
      <c r="L38" s="96">
        <v>23796.196146445756</v>
      </c>
      <c r="M38" s="80">
        <f t="shared" si="3"/>
        <v>22796.755908295036</v>
      </c>
      <c r="N38" s="80">
        <f>L38*0.005</f>
        <v>118.98098073222879</v>
      </c>
      <c r="O38" s="80">
        <f>L38*0.027</f>
        <v>642.49729595403539</v>
      </c>
      <c r="P38" s="88">
        <f>L38*0.01</f>
        <v>237.96196146445757</v>
      </c>
      <c r="Q38" s="80"/>
      <c r="R38" s="80"/>
      <c r="S38" s="80"/>
      <c r="T38" s="80"/>
      <c r="U38" s="80"/>
      <c r="V38" s="97">
        <f>[1]Adjust_Truck_Freight!AB16</f>
        <v>11293.797478502338</v>
      </c>
      <c r="W38" s="80">
        <f t="shared" si="12"/>
        <v>2224.8781032649604</v>
      </c>
      <c r="X38" s="80">
        <f>V38*FuelConsump!$BV38</f>
        <v>9035.0379828018704</v>
      </c>
      <c r="Y38" s="88">
        <f>V38*FuelConsump!$BW38</f>
        <v>33.881392435507017</v>
      </c>
      <c r="Z38" s="97">
        <f>[1]Adjust_Truck_Freight!AC16</f>
        <v>14114.909178414164</v>
      </c>
      <c r="AA38" s="80">
        <f t="shared" si="13"/>
        <v>2780.6371081475904</v>
      </c>
      <c r="AB38" s="80">
        <f>Z38*FuelConsump!$BV38</f>
        <v>11291.927342731331</v>
      </c>
      <c r="AC38" s="80">
        <f>Z38*FuelConsump!$BW38</f>
        <v>42.344727535242491</v>
      </c>
      <c r="AD38" s="92">
        <v>431.4</v>
      </c>
      <c r="AE38" s="80"/>
      <c r="AF38" s="93">
        <f t="shared" si="6"/>
        <v>11.4</v>
      </c>
      <c r="AG38" s="80"/>
      <c r="AH38" s="80"/>
      <c r="AI38" s="80"/>
      <c r="AJ38" s="88"/>
      <c r="AP38" s="70"/>
      <c r="AQ38" s="89">
        <f t="shared" si="22"/>
        <v>379.67999999999995</v>
      </c>
      <c r="AR38" s="89">
        <v>9.0399999999999991</v>
      </c>
      <c r="AS38" s="98">
        <f t="shared" si="23"/>
        <v>213.78</v>
      </c>
      <c r="AT38" s="99">
        <v>5.09</v>
      </c>
      <c r="AU38" s="74">
        <v>1980</v>
      </c>
      <c r="AV38" s="79">
        <v>35201</v>
      </c>
      <c r="AW38" s="88">
        <v>213131</v>
      </c>
      <c r="AX38" s="62">
        <v>1980</v>
      </c>
      <c r="AY38" s="117">
        <v>8519.2000000000007</v>
      </c>
      <c r="AZ38" s="117">
        <v>1747.3</v>
      </c>
      <c r="BA38" s="77">
        <v>520</v>
      </c>
      <c r="BB38" s="76">
        <v>766</v>
      </c>
      <c r="BC38" s="62">
        <v>1980</v>
      </c>
      <c r="BD38" s="92">
        <f>8.8/'[1]Fuel Heat Content'!B7*1000000</f>
        <v>63.44628695025235</v>
      </c>
      <c r="BE38" s="95">
        <f>3.9/'[1]Fuel Heat Content'!B21*1000000</f>
        <v>377.21249637295676</v>
      </c>
      <c r="BF38" s="76">
        <f>(FuelConsump!BD38*'[1]Fuel Heat Content'!$D$7/1000000)+(FuelConsump!BE38*'[1]Fuel Heat Content'!$C$21/1000000)</f>
        <v>10.087049037624531</v>
      </c>
      <c r="BG38" s="111">
        <f>'[1]TEDB_Ed31_Table 9.10'!J21</f>
        <v>13.8</v>
      </c>
      <c r="BH38" s="108">
        <f t="shared" si="20"/>
        <v>11.630188679245281</v>
      </c>
      <c r="BI38" s="95">
        <f>4.8/'[1]Fuel Heat Content'!$B$7*1000000</f>
        <v>34.607065609228549</v>
      </c>
      <c r="BJ38" s="88">
        <f>11.4/'[1]Fuel Heat Content'!$B$21*1000000</f>
        <v>1102.6211432440275</v>
      </c>
      <c r="BK38" s="116">
        <f>2446-BL38</f>
        <v>2288.2307692307691</v>
      </c>
      <c r="BL38" s="116">
        <f t="shared" si="21"/>
        <v>157.76923076923083</v>
      </c>
      <c r="BM38" s="78">
        <v>3955.9960000000001</v>
      </c>
      <c r="BN38" s="62">
        <v>1980</v>
      </c>
      <c r="BO38" s="77">
        <f>'[1]MER Table 4.3_Nov2019'!I44*1000</f>
        <v>634622</v>
      </c>
      <c r="BP38" s="80">
        <f t="shared" si="15"/>
        <v>2876.147745297983</v>
      </c>
      <c r="BQ38" s="81"/>
      <c r="BS38">
        <f t="shared" si="16"/>
        <v>1980</v>
      </c>
      <c r="BV38" s="121">
        <v>0.8</v>
      </c>
      <c r="BW38" s="121">
        <v>3.0000000000000001E-3</v>
      </c>
      <c r="BX38" s="103">
        <f>AY38/(AY38+AZ38)</f>
        <v>0.82980567866361477</v>
      </c>
      <c r="CB38">
        <v>6922.7672791326549</v>
      </c>
      <c r="CC38">
        <v>2741.4158425365313</v>
      </c>
      <c r="CD38">
        <v>4112.1237638047969</v>
      </c>
      <c r="CE38">
        <v>69.227672791326555</v>
      </c>
      <c r="CF38">
        <v>13037.002825600974</v>
      </c>
      <c r="CG38">
        <v>5162.6531189379857</v>
      </c>
      <c r="CH38">
        <v>7743.9796784069777</v>
      </c>
      <c r="CI38">
        <v>130.37002825600973</v>
      </c>
      <c r="CK38" s="9"/>
      <c r="CL38" s="79">
        <v>69981</v>
      </c>
      <c r="CN38" s="11"/>
      <c r="CP38" s="86">
        <v>11.4</v>
      </c>
      <c r="CQ38" s="86">
        <f t="shared" si="2"/>
        <v>11.4</v>
      </c>
      <c r="CS38" s="12"/>
      <c r="CX38" s="12"/>
      <c r="CZ38" s="80">
        <v>717376</v>
      </c>
      <c r="DA38" s="80">
        <v>7454242</v>
      </c>
      <c r="DB38" s="80">
        <f t="shared" si="17"/>
        <v>17080.380952380954</v>
      </c>
      <c r="DC38" s="80">
        <f t="shared" si="17"/>
        <v>177481.95238095237</v>
      </c>
      <c r="DD38" s="80">
        <f t="shared" si="8"/>
        <v>99.500051199999987</v>
      </c>
      <c r="DE38" s="80">
        <f t="shared" si="18"/>
        <v>1115.9000273999998</v>
      </c>
      <c r="DF38" s="80">
        <f t="shared" si="19"/>
        <v>1215.4000785999997</v>
      </c>
      <c r="DG38" s="80"/>
      <c r="DH38" s="80"/>
      <c r="DI38" s="80"/>
      <c r="DJ38" s="104">
        <v>329.4</v>
      </c>
      <c r="DK38" s="80"/>
      <c r="DL38" s="80">
        <f t="shared" si="9"/>
        <v>-18120.619047619046</v>
      </c>
      <c r="DM38" s="80">
        <f t="shared" si="9"/>
        <v>-35649.047619047633</v>
      </c>
    </row>
    <row r="39" spans="1:117" x14ac:dyDescent="0.25">
      <c r="A39" s="62">
        <v>1981</v>
      </c>
      <c r="B39" s="79">
        <f t="shared" si="10"/>
        <v>69112</v>
      </c>
      <c r="C39" s="80">
        <f t="shared" si="11"/>
        <v>64550.608</v>
      </c>
      <c r="D39" s="80">
        <f>B39*0.007</f>
        <v>483.78399999999999</v>
      </c>
      <c r="E39" s="88">
        <f>B39*0.059</f>
        <v>4077.6079999999997</v>
      </c>
      <c r="F39" s="80"/>
      <c r="G39" s="80"/>
      <c r="H39" s="80"/>
      <c r="I39" s="80"/>
      <c r="J39" s="71">
        <v>213.8</v>
      </c>
      <c r="K39" s="64">
        <f t="shared" si="1"/>
        <v>213.8</v>
      </c>
      <c r="L39" s="96">
        <v>23697.319</v>
      </c>
      <c r="M39" s="80">
        <f t="shared" si="3"/>
        <v>22536.150368999999</v>
      </c>
      <c r="N39" s="80">
        <f>L39*0.007</f>
        <v>165.88123300000001</v>
      </c>
      <c r="O39" s="80">
        <f>L39*0.031</f>
        <v>734.61688900000001</v>
      </c>
      <c r="P39" s="88">
        <f>L39*0.011</f>
        <v>260.67050899999998</v>
      </c>
      <c r="Q39" s="80"/>
      <c r="R39" s="80"/>
      <c r="S39" s="80"/>
      <c r="T39" s="80"/>
      <c r="U39" s="80"/>
      <c r="V39" s="97">
        <f>[1]Adjust_Truck_Freight!AB17</f>
        <v>11203.109984861778</v>
      </c>
      <c r="W39" s="80">
        <f t="shared" si="12"/>
        <v>2207.0126670177697</v>
      </c>
      <c r="X39" s="80">
        <f>V39*FuelConsump!$BV39</f>
        <v>8962.4879878894226</v>
      </c>
      <c r="Y39" s="88">
        <f>V39*FuelConsump!$BW39</f>
        <v>33.609329954585334</v>
      </c>
      <c r="Z39" s="97">
        <f>[1]Adjust_Truck_Freight!AC17</f>
        <v>14625.422032833427</v>
      </c>
      <c r="AA39" s="80">
        <f t="shared" si="13"/>
        <v>2881.208140468184</v>
      </c>
      <c r="AB39" s="80">
        <f>Z39*FuelConsump!$BV39</f>
        <v>11700.337626266743</v>
      </c>
      <c r="AC39" s="80">
        <f>Z39*FuelConsump!$BW39</f>
        <v>43.876266098500281</v>
      </c>
      <c r="AD39" s="92">
        <v>445.95</v>
      </c>
      <c r="AE39" s="80"/>
      <c r="AF39" s="93">
        <f t="shared" si="6"/>
        <v>14</v>
      </c>
      <c r="AG39" s="80"/>
      <c r="AH39" s="80"/>
      <c r="AI39" s="80"/>
      <c r="AJ39" s="88"/>
      <c r="AP39" s="70"/>
      <c r="AQ39" s="89">
        <f t="shared" si="22"/>
        <v>386.82000000000005</v>
      </c>
      <c r="AR39" s="89">
        <v>9.2100000000000009</v>
      </c>
      <c r="AS39" s="98">
        <f t="shared" si="23"/>
        <v>205.38</v>
      </c>
      <c r="AT39" s="99">
        <v>4.8899999999999997</v>
      </c>
      <c r="AU39" s="74">
        <v>1981</v>
      </c>
      <c r="AV39" s="79">
        <v>41024</v>
      </c>
      <c r="AW39" s="88">
        <v>188632</v>
      </c>
      <c r="AX39" s="62">
        <v>1981</v>
      </c>
      <c r="AY39" s="117">
        <v>8555.2000000000007</v>
      </c>
      <c r="AZ39" s="117">
        <v>2032.5</v>
      </c>
      <c r="BA39" s="77">
        <v>489</v>
      </c>
      <c r="BB39" s="76">
        <v>759</v>
      </c>
      <c r="BC39" s="62">
        <v>1981</v>
      </c>
      <c r="BD39" s="92">
        <f>9.6/'[1]Fuel Heat Content'!B7*1000000</f>
        <v>69.214131218457098</v>
      </c>
      <c r="BE39" s="95">
        <f>3.5/'[1]Fuel Heat Content'!B21*1000000</f>
        <v>338.52403520649966</v>
      </c>
      <c r="BF39" s="76">
        <f>(FuelConsump!BD39*'[1]Fuel Heat Content'!$D$7/1000000)+(FuelConsump!BE39*'[1]Fuel Heat Content'!$C$21/1000000)</f>
        <v>10.755044008124576</v>
      </c>
      <c r="BG39" s="111">
        <f>'[1]TEDB_Ed31_Table 9.10'!J22</f>
        <v>12.7</v>
      </c>
      <c r="BH39" s="108">
        <f t="shared" si="20"/>
        <v>10.703144654088048</v>
      </c>
      <c r="BI39" s="95">
        <f>4.8/'[1]Fuel Heat Content'!$B$7*1000000</f>
        <v>34.607065609228549</v>
      </c>
      <c r="BJ39" s="127">
        <f>10.8/'[1]Fuel Heat Content'!$B$21*1000000</f>
        <v>1044.5884514943418</v>
      </c>
      <c r="BK39" s="116">
        <f>2655-BL39</f>
        <v>2494.6923076923076</v>
      </c>
      <c r="BL39" s="116">
        <f t="shared" si="21"/>
        <v>160.30769230769238</v>
      </c>
      <c r="BM39" s="78">
        <v>3774.239</v>
      </c>
      <c r="BN39" s="62">
        <v>1981</v>
      </c>
      <c r="BO39" s="77">
        <f>'[1]MER Table 4.3_Nov2019'!I45*1000</f>
        <v>642325</v>
      </c>
      <c r="BP39" s="80">
        <f t="shared" si="15"/>
        <v>2911.0582370269658</v>
      </c>
      <c r="BQ39" s="81"/>
      <c r="BS39">
        <f t="shared" si="16"/>
        <v>1981</v>
      </c>
      <c r="BV39" s="121">
        <v>0.8</v>
      </c>
      <c r="BW39" s="121">
        <v>3.0000000000000001E-3</v>
      </c>
      <c r="CB39">
        <v>6867.1785</v>
      </c>
      <c r="CC39">
        <v>2719.4026859999999</v>
      </c>
      <c r="CD39">
        <v>4079.1040289999996</v>
      </c>
      <c r="CE39">
        <v>68.671785</v>
      </c>
      <c r="CF39">
        <v>13508.529595022052</v>
      </c>
      <c r="CG39">
        <v>5349.3777196287328</v>
      </c>
      <c r="CH39">
        <v>8024.0665794430979</v>
      </c>
      <c r="CI39">
        <v>135.08529595022051</v>
      </c>
      <c r="CK39" s="9"/>
      <c r="CL39" s="79">
        <v>69112</v>
      </c>
      <c r="CN39" s="11"/>
      <c r="CP39" s="86">
        <v>14</v>
      </c>
      <c r="CQ39" s="86">
        <f t="shared" si="2"/>
        <v>14</v>
      </c>
      <c r="CS39" s="12"/>
      <c r="CX39" s="12"/>
      <c r="CZ39" s="80">
        <v>1723143</v>
      </c>
      <c r="DA39" s="80">
        <v>7922512</v>
      </c>
      <c r="DB39" s="80">
        <f t="shared" si="17"/>
        <v>41027.214285714283</v>
      </c>
      <c r="DC39" s="80">
        <f t="shared" si="17"/>
        <v>188631.23809523811</v>
      </c>
      <c r="DD39" s="80">
        <f t="shared" si="8"/>
        <v>238.99993409999999</v>
      </c>
      <c r="DE39" s="80">
        <f t="shared" si="18"/>
        <v>1186.0000463999997</v>
      </c>
      <c r="DF39" s="80">
        <f t="shared" si="19"/>
        <v>1424.9999804999998</v>
      </c>
      <c r="DG39" s="80"/>
      <c r="DH39" s="80"/>
      <c r="DI39" s="80"/>
      <c r="DJ39" s="104">
        <v>334.5</v>
      </c>
      <c r="DK39" s="80"/>
      <c r="DL39" s="80">
        <f t="shared" si="9"/>
        <v>3.214285714282596</v>
      </c>
      <c r="DM39" s="80">
        <f t="shared" si="9"/>
        <v>-0.76190476189367473</v>
      </c>
    </row>
    <row r="40" spans="1:117" x14ac:dyDescent="0.25">
      <c r="A40" s="62">
        <v>1982</v>
      </c>
      <c r="B40" s="79">
        <f t="shared" si="10"/>
        <v>69314</v>
      </c>
      <c r="C40" s="80">
        <f t="shared" si="11"/>
        <v>64808.590000000004</v>
      </c>
      <c r="D40" s="80">
        <f>B40*0.023</f>
        <v>1594.222</v>
      </c>
      <c r="E40" s="88">
        <f>B40*0.042</f>
        <v>2911.1880000000001</v>
      </c>
      <c r="F40" s="80"/>
      <c r="G40" s="80"/>
      <c r="H40" s="80"/>
      <c r="I40" s="80"/>
      <c r="J40" s="71">
        <v>198.2</v>
      </c>
      <c r="K40" s="64">
        <f t="shared" si="1"/>
        <v>198.2</v>
      </c>
      <c r="L40" s="96">
        <v>22702.354899999998</v>
      </c>
      <c r="M40" s="80">
        <f t="shared" si="3"/>
        <v>21113.190057</v>
      </c>
      <c r="N40" s="80">
        <f>L40*0.023</f>
        <v>522.15416269999992</v>
      </c>
      <c r="O40" s="80">
        <f t="shared" ref="O40:O46" si="24">L40*0.035</f>
        <v>794.58242150000001</v>
      </c>
      <c r="P40" s="88">
        <f t="shared" ref="P40:P45" si="25">L40*0.012</f>
        <v>272.42825879999998</v>
      </c>
      <c r="Q40" s="80"/>
      <c r="R40" s="80"/>
      <c r="S40" s="80"/>
      <c r="T40" s="80"/>
      <c r="U40" s="80"/>
      <c r="V40" s="97">
        <f>[1]Adjust_Truck_Freight!AB18</f>
        <v>11098.438755204254</v>
      </c>
      <c r="W40" s="80">
        <f t="shared" si="12"/>
        <v>2186.3924347752377</v>
      </c>
      <c r="X40" s="80">
        <f>V40*FuelConsump!$BV40</f>
        <v>8878.7510041634032</v>
      </c>
      <c r="Y40" s="88">
        <f>V40*FuelConsump!$BW40</f>
        <v>33.295316265612762</v>
      </c>
      <c r="Z40" s="97">
        <f>[1]Adjust_Truck_Freight!AC18</f>
        <v>14705.561875758925</v>
      </c>
      <c r="AA40" s="80">
        <f t="shared" si="13"/>
        <v>2896.9956895245077</v>
      </c>
      <c r="AB40" s="80">
        <f>Z40*FuelConsump!$BV40</f>
        <v>11764.449500607141</v>
      </c>
      <c r="AC40" s="80">
        <f>Z40*FuelConsump!$BW40</f>
        <v>44.11668562727678</v>
      </c>
      <c r="AD40" s="92">
        <v>455.59</v>
      </c>
      <c r="AE40" s="80"/>
      <c r="AF40" s="93">
        <f t="shared" si="6"/>
        <v>11.7</v>
      </c>
      <c r="AG40" s="80"/>
      <c r="AH40" s="80"/>
      <c r="AI40" s="80"/>
      <c r="AJ40" s="88"/>
      <c r="AP40" s="70"/>
      <c r="AQ40" s="89">
        <f t="shared" si="22"/>
        <v>398.58</v>
      </c>
      <c r="AR40" s="89">
        <v>9.49</v>
      </c>
      <c r="AS40" s="98">
        <f t="shared" si="23"/>
        <v>227.22</v>
      </c>
      <c r="AT40" s="99">
        <v>5.41</v>
      </c>
      <c r="AU40" s="74">
        <v>1982</v>
      </c>
      <c r="AV40" s="79">
        <v>33885</v>
      </c>
      <c r="AW40" s="88">
        <v>152586</v>
      </c>
      <c r="AX40" s="62">
        <v>1982</v>
      </c>
      <c r="AY40" s="117">
        <v>8432.5</v>
      </c>
      <c r="AZ40" s="117">
        <v>1967.7</v>
      </c>
      <c r="BA40" s="77">
        <v>448</v>
      </c>
      <c r="BB40" s="76">
        <v>887</v>
      </c>
      <c r="BC40" s="62">
        <v>1982</v>
      </c>
      <c r="BD40" s="92">
        <f>9.2/'[1]Fuel Heat Content'!B7*1000000</f>
        <v>66.330209084354706</v>
      </c>
      <c r="BE40" s="95">
        <f>3.4/'[1]Fuel Heat Content'!B21*1000000</f>
        <v>328.8519199148854</v>
      </c>
      <c r="BF40" s="76">
        <f>(FuelConsump!BD40*'[1]Fuel Heat Content'!$D$7/1000000)+(FuelConsump!BE40*'[1]Fuel Heat Content'!$C$21/1000000)</f>
        <v>10.322042750749587</v>
      </c>
      <c r="BG40" s="111">
        <f>'[1]TEDB_Ed31_Table 9.10'!J23</f>
        <v>12.2</v>
      </c>
      <c r="BH40" s="108">
        <f t="shared" si="20"/>
        <v>10.281761006289306</v>
      </c>
      <c r="BI40" s="95">
        <f>4.7/'[1]Fuel Heat Content'!$B$7*1000000</f>
        <v>33.886085075702958</v>
      </c>
      <c r="BJ40" s="88">
        <f>10.6/'[1]Fuel Heat Content'!$B$21*1000000</f>
        <v>1025.2442209111132</v>
      </c>
      <c r="BK40" s="116">
        <f>2722-BL40</f>
        <v>2559.1538461538462</v>
      </c>
      <c r="BL40" s="116">
        <f t="shared" si="21"/>
        <v>162.84615384615392</v>
      </c>
      <c r="BM40" s="78">
        <v>3178.116</v>
      </c>
      <c r="BN40" s="62">
        <v>1982</v>
      </c>
      <c r="BO40" s="77">
        <f>'[1]MER Table 4.3_Nov2019'!I46*1000</f>
        <v>596411</v>
      </c>
      <c r="BP40" s="80">
        <f t="shared" si="15"/>
        <v>2702.973034217086</v>
      </c>
      <c r="BQ40" s="81"/>
      <c r="BS40">
        <f t="shared" si="16"/>
        <v>1982</v>
      </c>
      <c r="BV40" s="121">
        <v>0.8</v>
      </c>
      <c r="BW40" s="121">
        <v>3.0000000000000001E-3</v>
      </c>
      <c r="CB40">
        <v>6803.0181000000002</v>
      </c>
      <c r="CC40">
        <v>2693.9951676000001</v>
      </c>
      <c r="CD40">
        <v>4040.9927514000001</v>
      </c>
      <c r="CE40">
        <v>68.030180999999999</v>
      </c>
      <c r="CF40">
        <v>13582.549437832002</v>
      </c>
      <c r="CG40">
        <v>5378.6895773814731</v>
      </c>
      <c r="CH40">
        <v>8068.0343660722083</v>
      </c>
      <c r="CI40">
        <v>135.82549437832003</v>
      </c>
      <c r="CK40" s="9"/>
      <c r="CL40" s="79">
        <v>69314</v>
      </c>
      <c r="CN40" s="11"/>
      <c r="CP40" s="86">
        <v>11.7</v>
      </c>
      <c r="CQ40" s="86">
        <f t="shared" si="2"/>
        <v>11.7</v>
      </c>
      <c r="CS40" s="12"/>
      <c r="CX40" s="12"/>
      <c r="CZ40" s="80">
        <v>1423216</v>
      </c>
      <c r="DA40" s="80">
        <v>6408818</v>
      </c>
      <c r="DB40" s="80">
        <f t="shared" si="17"/>
        <v>33886.095238095237</v>
      </c>
      <c r="DC40" s="80">
        <f t="shared" si="17"/>
        <v>152590.90476190476</v>
      </c>
      <c r="DD40" s="80">
        <f t="shared" si="8"/>
        <v>197.40005919999999</v>
      </c>
      <c r="DE40" s="80">
        <f t="shared" si="18"/>
        <v>959.40005459999986</v>
      </c>
      <c r="DF40" s="80">
        <f t="shared" si="19"/>
        <v>1156.8001138</v>
      </c>
      <c r="DG40" s="80"/>
      <c r="DH40" s="80"/>
      <c r="DI40" s="80"/>
      <c r="DJ40" s="104">
        <v>274.5</v>
      </c>
      <c r="DK40" s="80"/>
      <c r="DL40" s="80">
        <f t="shared" si="9"/>
        <v>1.0952380952367093</v>
      </c>
      <c r="DM40" s="80">
        <f t="shared" si="9"/>
        <v>4.9047619047632907</v>
      </c>
    </row>
    <row r="41" spans="1:117" x14ac:dyDescent="0.25">
      <c r="A41" s="62">
        <v>1983</v>
      </c>
      <c r="B41" s="79">
        <f t="shared" si="10"/>
        <v>70322</v>
      </c>
      <c r="C41" s="80">
        <f t="shared" si="11"/>
        <v>65540.103999999992</v>
      </c>
      <c r="D41" s="80">
        <f>B41*0.043</f>
        <v>3023.8459999999995</v>
      </c>
      <c r="E41" s="88">
        <f>B41*0.025</f>
        <v>1758.0500000000002</v>
      </c>
      <c r="F41" s="80"/>
      <c r="G41" s="80"/>
      <c r="H41" s="80"/>
      <c r="I41" s="80"/>
      <c r="J41" s="71">
        <v>175.2</v>
      </c>
      <c r="K41" s="64">
        <f t="shared" si="1"/>
        <v>175.2</v>
      </c>
      <c r="L41" s="96">
        <v>23945.395300112163</v>
      </c>
      <c r="M41" s="80">
        <f t="shared" si="3"/>
        <v>21790.309723102069</v>
      </c>
      <c r="N41" s="80">
        <f>L41*0.043</f>
        <v>1029.651997904823</v>
      </c>
      <c r="O41" s="80">
        <f t="shared" si="24"/>
        <v>838.08883550392579</v>
      </c>
      <c r="P41" s="88">
        <f t="shared" si="25"/>
        <v>287.34474360134595</v>
      </c>
      <c r="Q41" s="80"/>
      <c r="R41" s="80"/>
      <c r="S41" s="80"/>
      <c r="T41" s="80"/>
      <c r="U41" s="80"/>
      <c r="V41" s="97">
        <f>[1]Adjust_Truck_Freight!AB19</f>
        <v>11362.47289617233</v>
      </c>
      <c r="W41" s="80">
        <f t="shared" si="12"/>
        <v>2238.407160545949</v>
      </c>
      <c r="X41" s="80">
        <f>V41*FuelConsump!$BV41</f>
        <v>9089.9783169378643</v>
      </c>
      <c r="Y41" s="88">
        <f>V41*FuelConsump!$BW41</f>
        <v>34.087418688516991</v>
      </c>
      <c r="Z41" s="97">
        <f>[1]Adjust_Truck_Freight!AC19</f>
        <v>14936.406312606632</v>
      </c>
      <c r="AA41" s="80">
        <f t="shared" si="13"/>
        <v>2942.4720435835065</v>
      </c>
      <c r="AB41" s="80">
        <f>Z41*FuelConsump!$BV41</f>
        <v>11949.125050085306</v>
      </c>
      <c r="AC41" s="80">
        <f>Z41*FuelConsump!$BW41</f>
        <v>44.8092189378199</v>
      </c>
      <c r="AD41" s="118">
        <v>450.26</v>
      </c>
      <c r="AE41" s="128"/>
      <c r="AF41" s="93">
        <f t="shared" si="6"/>
        <v>9.5</v>
      </c>
      <c r="AG41" s="128"/>
      <c r="AH41" s="128"/>
      <c r="AI41" s="128"/>
      <c r="AJ41" s="119"/>
      <c r="AP41" s="70"/>
      <c r="AQ41" s="89">
        <f t="shared" si="22"/>
        <v>400.67999999999995</v>
      </c>
      <c r="AR41" s="89">
        <v>9.5399999999999991</v>
      </c>
      <c r="AS41" s="98">
        <f t="shared" si="23"/>
        <v>237.3</v>
      </c>
      <c r="AT41" s="99">
        <v>5.65</v>
      </c>
      <c r="AU41" s="74">
        <v>1983</v>
      </c>
      <c r="AV41" s="79">
        <v>39108</v>
      </c>
      <c r="AW41" s="88">
        <v>136290</v>
      </c>
      <c r="AX41" s="62">
        <v>1983</v>
      </c>
      <c r="AY41" s="117">
        <v>8672.6</v>
      </c>
      <c r="AZ41" s="117">
        <v>1998.3</v>
      </c>
      <c r="BA41" s="77">
        <v>428</v>
      </c>
      <c r="BB41" s="76">
        <v>613</v>
      </c>
      <c r="BC41" s="62">
        <v>1983</v>
      </c>
      <c r="BD41" s="92">
        <f>8.9/'[1]Fuel Heat Content'!B7*1000000</f>
        <v>64.167267483777934</v>
      </c>
      <c r="BE41" s="95">
        <f>3.7/'[1]Fuel Heat Content'!B21*1000000</f>
        <v>357.86826578972824</v>
      </c>
      <c r="BF41" s="76">
        <f>(FuelConsump!BD41*'[1]Fuel Heat Content'!$D$7/1000000)+(FuelConsump!BE41*'[1]Fuel Heat Content'!$C$21/1000000)</f>
        <v>10.121046522874554</v>
      </c>
      <c r="BG41" s="111">
        <f>'[1]TEDB_Ed31_Table 9.10'!J24</f>
        <v>12.2</v>
      </c>
      <c r="BH41" s="108">
        <f t="shared" si="20"/>
        <v>10.281761006289306</v>
      </c>
      <c r="BI41" s="129">
        <f>8.9/'[1]Fuel Heat Content'!$B$7*1000000</f>
        <v>64.167267483777934</v>
      </c>
      <c r="BJ41" s="124">
        <f>(BJ42+BJ40)/2</f>
        <v>963.12211045555659</v>
      </c>
      <c r="BK41" s="130">
        <f>2930-BL41</f>
        <v>2764.6153846153848</v>
      </c>
      <c r="BL41" s="116">
        <f t="shared" si="21"/>
        <v>165.38461538461547</v>
      </c>
      <c r="BM41" s="78">
        <v>3137.2950000000001</v>
      </c>
      <c r="BN41" s="62">
        <v>1983</v>
      </c>
      <c r="BO41" s="77">
        <f>'[1]MER Table 4.3_Nov2019'!I47*1000</f>
        <v>490042</v>
      </c>
      <c r="BP41" s="80">
        <f t="shared" si="15"/>
        <v>2220.9018808067076</v>
      </c>
      <c r="BQ41" s="81"/>
      <c r="BS41">
        <f t="shared" si="16"/>
        <v>1983</v>
      </c>
      <c r="BV41" s="121">
        <v>0.8</v>
      </c>
      <c r="BW41" s="121">
        <v>3.0000000000000001E-3</v>
      </c>
      <c r="CB41">
        <v>6964.8633</v>
      </c>
      <c r="CC41">
        <v>2758.0858668000001</v>
      </c>
      <c r="CD41">
        <v>4137.1288002000001</v>
      </c>
      <c r="CE41">
        <v>69.648633000000004</v>
      </c>
      <c r="CF41">
        <v>13795.765090686522</v>
      </c>
      <c r="CG41">
        <v>5463.1229759118633</v>
      </c>
      <c r="CH41">
        <v>8194.684463867794</v>
      </c>
      <c r="CI41">
        <v>137.95765090686521</v>
      </c>
      <c r="CK41" s="9"/>
      <c r="CL41" s="79">
        <v>70322</v>
      </c>
      <c r="CN41" s="11"/>
      <c r="CP41" s="86">
        <v>9.5</v>
      </c>
      <c r="CQ41" s="86">
        <f t="shared" si="2"/>
        <v>9.5</v>
      </c>
      <c r="CS41" s="12"/>
      <c r="CX41" s="12"/>
      <c r="CZ41" s="80">
        <v>1418890</v>
      </c>
      <c r="DA41" s="80">
        <v>5724115</v>
      </c>
      <c r="DB41" s="80">
        <f t="shared" si="17"/>
        <v>33783.095238095237</v>
      </c>
      <c r="DC41" s="80">
        <f t="shared" si="17"/>
        <v>136288.45238095237</v>
      </c>
      <c r="DD41" s="80">
        <f t="shared" si="8"/>
        <v>196.80004299999996</v>
      </c>
      <c r="DE41" s="80">
        <f t="shared" si="18"/>
        <v>856.90001549999988</v>
      </c>
      <c r="DF41" s="80">
        <f t="shared" si="19"/>
        <v>1053.7000584999998</v>
      </c>
      <c r="DG41" s="80"/>
      <c r="DH41" s="80"/>
      <c r="DI41" s="80"/>
      <c r="DJ41" s="104">
        <v>293.7</v>
      </c>
      <c r="DK41" s="80"/>
      <c r="DL41" s="80">
        <f t="shared" si="9"/>
        <v>-5324.9047619047633</v>
      </c>
      <c r="DM41" s="80">
        <f t="shared" si="9"/>
        <v>-1.5476190476329066</v>
      </c>
    </row>
    <row r="42" spans="1:117" x14ac:dyDescent="0.25">
      <c r="A42" s="62">
        <v>1984</v>
      </c>
      <c r="B42" s="79">
        <f t="shared" si="10"/>
        <v>70663</v>
      </c>
      <c r="C42" s="80">
        <f t="shared" si="11"/>
        <v>65504.601000000002</v>
      </c>
      <c r="D42" s="80">
        <f>B42*0.053</f>
        <v>3745.1389999999997</v>
      </c>
      <c r="E42" s="88">
        <f>B42*0.02</f>
        <v>1413.26</v>
      </c>
      <c r="F42" s="80"/>
      <c r="G42" s="80"/>
      <c r="H42" s="80"/>
      <c r="I42" s="80"/>
      <c r="J42" s="71">
        <v>181.72</v>
      </c>
      <c r="K42" s="64">
        <f t="shared" si="1"/>
        <v>181.72</v>
      </c>
      <c r="L42" s="96">
        <v>25603.91126311789</v>
      </c>
      <c r="M42" s="80">
        <f t="shared" si="3"/>
        <v>23043.520136806103</v>
      </c>
      <c r="N42" s="80">
        <f>L42*0.053</f>
        <v>1357.0072969452481</v>
      </c>
      <c r="O42" s="80">
        <f t="shared" si="24"/>
        <v>896.13689420912624</v>
      </c>
      <c r="P42" s="88">
        <f t="shared" si="25"/>
        <v>307.24693515741467</v>
      </c>
      <c r="Q42" s="80"/>
      <c r="R42" s="80"/>
      <c r="S42" s="80"/>
      <c r="T42" s="80"/>
      <c r="U42" s="80"/>
      <c r="V42" s="97">
        <f>[1]Adjust_Truck_Freight!AB20</f>
        <v>11811.205343668811</v>
      </c>
      <c r="W42" s="80">
        <f t="shared" si="12"/>
        <v>2326.8074527027552</v>
      </c>
      <c r="X42" s="80">
        <f>V42*FuelConsump!$BV42</f>
        <v>9448.9642749350496</v>
      </c>
      <c r="Y42" s="88">
        <f>V42*FuelConsump!$BW42</f>
        <v>35.433616031006437</v>
      </c>
      <c r="Z42" s="97">
        <f>[1]Adjust_Truck_Freight!AC20</f>
        <v>15361.055817928222</v>
      </c>
      <c r="AA42" s="80">
        <f t="shared" si="13"/>
        <v>3026.1279961318587</v>
      </c>
      <c r="AB42" s="80">
        <f>Z42*FuelConsump!$BV42</f>
        <v>12288.844654342578</v>
      </c>
      <c r="AC42" s="80">
        <f>Z42*FuelConsump!$BW42</f>
        <v>46.083167453784668</v>
      </c>
      <c r="AD42" s="92">
        <v>505.04899999999998</v>
      </c>
      <c r="AF42" s="131">
        <f t="shared" si="6"/>
        <v>8</v>
      </c>
      <c r="AG42" s="93"/>
      <c r="AH42" s="93"/>
      <c r="AI42" s="93"/>
      <c r="AJ42" s="95"/>
      <c r="AK42" s="86">
        <v>15.4</v>
      </c>
      <c r="AL42" s="86"/>
      <c r="AM42" s="132">
        <f t="shared" ref="AM42:AM51" si="26">CR42</f>
        <v>39.404999999999994</v>
      </c>
      <c r="AN42" s="132"/>
      <c r="AO42" s="132"/>
      <c r="AP42" s="70"/>
      <c r="AQ42" s="89">
        <f t="shared" si="22"/>
        <v>375.06</v>
      </c>
      <c r="AR42" s="89">
        <v>8.93</v>
      </c>
      <c r="AS42" s="98">
        <f t="shared" si="23"/>
        <v>169.26000000000002</v>
      </c>
      <c r="AT42" s="99">
        <v>4.03</v>
      </c>
      <c r="AU42" s="74">
        <v>1984</v>
      </c>
      <c r="AV42" s="79">
        <v>40287</v>
      </c>
      <c r="AW42" s="88">
        <v>135408</v>
      </c>
      <c r="AX42" s="62">
        <v>1984</v>
      </c>
      <c r="AY42" s="117">
        <v>9626</v>
      </c>
      <c r="AZ42" s="117">
        <v>2286.4</v>
      </c>
      <c r="BA42" s="77">
        <f>254.3+199.4+8.7</f>
        <v>462.40000000000003</v>
      </c>
      <c r="BB42" s="76">
        <f>238.8+433.2+66.9</f>
        <v>738.9</v>
      </c>
      <c r="BC42" s="62">
        <v>1984</v>
      </c>
      <c r="BD42" s="122">
        <f>(BD43+BD41)/2</f>
        <v>66.708502741888964</v>
      </c>
      <c r="BE42" s="123">
        <f>(BE43+BE41)/2</f>
        <v>339.94353289486412</v>
      </c>
      <c r="BF42" s="76">
        <f>(FuelConsump!BD42*'[1]Fuel Heat Content'!$D$7/1000000)+(FuelConsump!BE42*'[1]Fuel Heat Content'!$C$21/1000000)</f>
        <v>10.412356664537278</v>
      </c>
      <c r="BG42" s="111">
        <f>'[1]TEDB_Ed31_Table 9.10'!J25</f>
        <v>12.9</v>
      </c>
      <c r="BH42" s="108">
        <f t="shared" si="20"/>
        <v>10.871698113207547</v>
      </c>
      <c r="BI42" s="95">
        <v>58.32</v>
      </c>
      <c r="BJ42" s="88">
        <v>901</v>
      </c>
      <c r="BK42" s="116">
        <f>3092-BL42</f>
        <v>2924.0769230769229</v>
      </c>
      <c r="BL42" s="116">
        <f t="shared" si="21"/>
        <v>167.92307692307702</v>
      </c>
      <c r="BM42" s="78">
        <v>3388.1729999999998</v>
      </c>
      <c r="BN42" s="62">
        <v>1984</v>
      </c>
      <c r="BO42" s="77">
        <f>'[1]MER Table 4.3_Nov2019'!I48*1000</f>
        <v>528754</v>
      </c>
      <c r="BP42" s="80">
        <f t="shared" si="15"/>
        <v>2396.3471561296169</v>
      </c>
      <c r="BQ42" s="81"/>
      <c r="BS42">
        <f t="shared" si="16"/>
        <v>1984</v>
      </c>
      <c r="BV42" s="121">
        <v>0.8</v>
      </c>
      <c r="BW42" s="121">
        <v>3.0000000000000001E-3</v>
      </c>
      <c r="CB42">
        <v>7239.9231556886534</v>
      </c>
      <c r="CC42">
        <v>2867.0095696527069</v>
      </c>
      <c r="CD42">
        <v>4300.5143544790599</v>
      </c>
      <c r="CE42">
        <v>72.399231556886534</v>
      </c>
      <c r="CF42">
        <v>14187.985595316761</v>
      </c>
      <c r="CG42">
        <v>5618.4422957454371</v>
      </c>
      <c r="CH42">
        <v>8427.6634436181557</v>
      </c>
      <c r="CI42">
        <v>141.87985595316761</v>
      </c>
      <c r="CK42" s="9"/>
      <c r="CL42" s="79">
        <v>70663</v>
      </c>
      <c r="CN42" s="11"/>
      <c r="CO42" s="86">
        <v>49.9</v>
      </c>
      <c r="CP42" s="133">
        <f>1*CO42</f>
        <v>49.9</v>
      </c>
      <c r="CQ42" s="133">
        <v>8</v>
      </c>
      <c r="CR42" s="133">
        <f>(0.95*CP42-CQ42)</f>
        <v>39.404999999999994</v>
      </c>
      <c r="CS42" s="12"/>
      <c r="CX42" s="12"/>
      <c r="CZ42" s="80">
        <v>1692141</v>
      </c>
      <c r="DA42" s="80">
        <v>5687375</v>
      </c>
      <c r="DB42" s="80">
        <f t="shared" si="17"/>
        <v>40289.071428571428</v>
      </c>
      <c r="DC42" s="80">
        <f t="shared" si="17"/>
        <v>135413.69047619047</v>
      </c>
      <c r="DD42" s="80">
        <f t="shared" si="8"/>
        <v>234.69995669999997</v>
      </c>
      <c r="DE42" s="80">
        <f t="shared" si="18"/>
        <v>851.40003749999983</v>
      </c>
      <c r="DF42" s="80">
        <f t="shared" si="19"/>
        <v>1086.0999941999999</v>
      </c>
      <c r="DG42" s="80"/>
      <c r="DH42" s="80"/>
      <c r="DI42" s="80"/>
      <c r="DJ42" s="104">
        <v>307.3</v>
      </c>
      <c r="DK42" s="80"/>
      <c r="DL42" s="80">
        <f t="shared" si="9"/>
        <v>2.071428571427532</v>
      </c>
      <c r="DM42" s="80">
        <f t="shared" si="9"/>
        <v>5.6904761904734187</v>
      </c>
    </row>
    <row r="43" spans="1:117" x14ac:dyDescent="0.25">
      <c r="A43" s="62">
        <v>1985</v>
      </c>
      <c r="B43" s="79">
        <f t="shared" si="10"/>
        <v>71518</v>
      </c>
      <c r="C43" s="80">
        <f t="shared" si="11"/>
        <v>64938.344000000005</v>
      </c>
      <c r="D43" s="80">
        <f>B43*0.077</f>
        <v>5506.8859999999995</v>
      </c>
      <c r="E43" s="88">
        <f>B43*0.015</f>
        <v>1072.77</v>
      </c>
      <c r="F43" s="80"/>
      <c r="G43" s="80"/>
      <c r="H43" s="80"/>
      <c r="I43" s="80"/>
      <c r="J43" s="71">
        <v>187.94</v>
      </c>
      <c r="K43" s="64">
        <f t="shared" si="1"/>
        <v>187.94</v>
      </c>
      <c r="L43" s="96">
        <v>27363.169913761038</v>
      </c>
      <c r="M43" s="80">
        <f t="shared" si="3"/>
        <v>23970.136844454672</v>
      </c>
      <c r="N43" s="80">
        <f>L43*0.077</f>
        <v>2106.9640833596</v>
      </c>
      <c r="O43" s="80">
        <f t="shared" si="24"/>
        <v>957.71094698163643</v>
      </c>
      <c r="P43" s="88">
        <f t="shared" si="25"/>
        <v>328.35803896513244</v>
      </c>
      <c r="Q43" s="80"/>
      <c r="R43" s="80"/>
      <c r="S43" s="80"/>
      <c r="T43" s="80"/>
      <c r="U43" s="80"/>
      <c r="V43" s="97">
        <f>[1]Adjust_Truck_Freight!AB21</f>
        <v>12071.34100405696</v>
      </c>
      <c r="W43" s="80">
        <f t="shared" si="12"/>
        <v>2378.0541777992207</v>
      </c>
      <c r="X43" s="80">
        <f>V43*FuelConsump!$BV43</f>
        <v>9657.0728032455681</v>
      </c>
      <c r="Y43" s="88">
        <f>V43*FuelConsump!$BW43</f>
        <v>36.214023012170877</v>
      </c>
      <c r="Z43" s="97">
        <f>[1]Adjust_Truck_Freight!AC21</f>
        <v>15163.234407918406</v>
      </c>
      <c r="AA43" s="80">
        <f t="shared" si="13"/>
        <v>2987.1571783599243</v>
      </c>
      <c r="AB43" s="80">
        <f>Z43*FuelConsump!$BV43</f>
        <v>12130.587526334726</v>
      </c>
      <c r="AC43" s="80">
        <f>Z43*FuelConsump!$BW43</f>
        <v>45.489703223755221</v>
      </c>
      <c r="AD43" s="92">
        <v>518.13699999999994</v>
      </c>
      <c r="AF43" s="131">
        <f t="shared" si="6"/>
        <v>6</v>
      </c>
      <c r="AG43" s="93"/>
      <c r="AH43" s="93"/>
      <c r="AI43" s="93"/>
      <c r="AJ43" s="95"/>
      <c r="AK43" s="86">
        <v>14.5</v>
      </c>
      <c r="AL43" s="86"/>
      <c r="AM43" s="132">
        <f t="shared" si="26"/>
        <v>37.414999999999999</v>
      </c>
      <c r="AN43" s="132"/>
      <c r="AO43" s="132"/>
      <c r="AP43" s="70"/>
      <c r="AQ43" s="89">
        <f t="shared" si="22"/>
        <v>425.03999999999996</v>
      </c>
      <c r="AR43" s="89">
        <v>10.119999999999999</v>
      </c>
      <c r="AS43" s="98">
        <f t="shared" si="23"/>
        <v>165.48</v>
      </c>
      <c r="AT43" s="99">
        <v>3.94</v>
      </c>
      <c r="AU43" s="74">
        <v>1985</v>
      </c>
      <c r="AV43" s="79">
        <v>45102</v>
      </c>
      <c r="AW43" s="88">
        <v>130323</v>
      </c>
      <c r="AX43" s="62">
        <v>1985</v>
      </c>
      <c r="AY43" s="117">
        <v>10115</v>
      </c>
      <c r="AZ43" s="117">
        <v>2487.9</v>
      </c>
      <c r="BA43" s="77">
        <v>421</v>
      </c>
      <c r="BB43" s="76">
        <v>691</v>
      </c>
      <c r="BC43" s="62">
        <v>1985</v>
      </c>
      <c r="BD43" s="92">
        <v>69.249737999999994</v>
      </c>
      <c r="BE43" s="95">
        <v>322.0188</v>
      </c>
      <c r="BF43" s="76">
        <f>(FuelConsump!BD43*'[1]Fuel Heat Content'!$D$7/1000000)+(FuelConsump!BE43*'[1]Fuel Heat Content'!$C$21/1000000)</f>
        <v>10.703666806199998</v>
      </c>
      <c r="BG43" s="111">
        <f>'[1]TEDB_Ed31_Table 9.10'!J26</f>
        <v>12.9</v>
      </c>
      <c r="BH43" s="108">
        <f t="shared" si="20"/>
        <v>10.871698113207547</v>
      </c>
      <c r="BI43" s="95">
        <v>55.372</v>
      </c>
      <c r="BJ43" s="88">
        <v>1043</v>
      </c>
      <c r="BK43" s="116">
        <f>2928-BL43</f>
        <v>2757.5384615384614</v>
      </c>
      <c r="BL43" s="116">
        <f t="shared" si="21"/>
        <v>170.46153846153857</v>
      </c>
      <c r="BM43" s="78">
        <v>3144.19</v>
      </c>
      <c r="BN43" s="62">
        <v>1985</v>
      </c>
      <c r="BO43" s="77">
        <f>'[1]MER Table 4.3_Nov2019'!I49*1000</f>
        <v>503766</v>
      </c>
      <c r="BP43" s="80">
        <f t="shared" si="15"/>
        <v>2283.0999320190344</v>
      </c>
      <c r="BQ43" s="81"/>
      <c r="BS43">
        <f t="shared" si="16"/>
        <v>1985</v>
      </c>
      <c r="BV43" s="121">
        <v>0.8</v>
      </c>
      <c r="BW43" s="121">
        <v>3.0000000000000001E-3</v>
      </c>
      <c r="CB43">
        <v>7399.3787012036664</v>
      </c>
      <c r="CC43">
        <v>2930.1539656766522</v>
      </c>
      <c r="CD43">
        <v>4395.2309485149781</v>
      </c>
      <c r="CE43">
        <v>73.993787012036663</v>
      </c>
      <c r="CF43">
        <v>14005.271115991143</v>
      </c>
      <c r="CG43">
        <v>5546.087361932493</v>
      </c>
      <c r="CH43">
        <v>8319.1310428987381</v>
      </c>
      <c r="CI43">
        <v>140.05271115991144</v>
      </c>
      <c r="CK43" s="9"/>
      <c r="CL43" s="79">
        <v>71518</v>
      </c>
      <c r="CN43" s="11"/>
      <c r="CO43" s="86">
        <v>45.7</v>
      </c>
      <c r="CP43" s="133">
        <f t="shared" ref="CP43:CP49" si="27">1*CO43</f>
        <v>45.7</v>
      </c>
      <c r="CQ43" s="133">
        <v>6</v>
      </c>
      <c r="CR43" s="133">
        <f t="shared" ref="CR43:CR49" si="28">(0.95*CP43-CQ43)</f>
        <v>37.414999999999999</v>
      </c>
      <c r="CS43" s="12"/>
      <c r="CX43" s="12"/>
      <c r="CZ43" s="80">
        <v>1894106</v>
      </c>
      <c r="DA43" s="80">
        <v>5473614</v>
      </c>
      <c r="DB43" s="80">
        <f t="shared" si="17"/>
        <v>45097.761904761908</v>
      </c>
      <c r="DC43" s="80">
        <f t="shared" si="17"/>
        <v>130324.14285714286</v>
      </c>
      <c r="DD43" s="80">
        <f t="shared" si="8"/>
        <v>262.71250219999996</v>
      </c>
      <c r="DE43" s="80">
        <f t="shared" si="18"/>
        <v>819.40001579999989</v>
      </c>
      <c r="DF43" s="80">
        <f t="shared" si="19"/>
        <v>1082.1125179999999</v>
      </c>
      <c r="DG43" s="80"/>
      <c r="DH43" s="80"/>
      <c r="DI43" s="80"/>
      <c r="DJ43" s="104">
        <v>398.6</v>
      </c>
      <c r="DK43" s="80"/>
      <c r="DL43" s="80">
        <f t="shared" si="9"/>
        <v>-4.2380952380917734</v>
      </c>
      <c r="DM43" s="80">
        <f t="shared" si="9"/>
        <v>1.142857142855064</v>
      </c>
    </row>
    <row r="44" spans="1:117" x14ac:dyDescent="0.25">
      <c r="A44" s="62">
        <v>1986</v>
      </c>
      <c r="B44" s="79">
        <f t="shared" si="10"/>
        <v>73174</v>
      </c>
      <c r="C44" s="80">
        <f t="shared" si="11"/>
        <v>66515.165999999997</v>
      </c>
      <c r="D44" s="80">
        <f>B44*0.076</f>
        <v>5561.2240000000002</v>
      </c>
      <c r="E44" s="88">
        <f>B44*0.015</f>
        <v>1097.6099999999999</v>
      </c>
      <c r="F44" s="80"/>
      <c r="G44" s="80"/>
      <c r="H44" s="80"/>
      <c r="I44" s="80"/>
      <c r="J44" s="71">
        <v>187.94</v>
      </c>
      <c r="K44" s="64">
        <f t="shared" si="1"/>
        <v>187.94</v>
      </c>
      <c r="L44" s="96">
        <v>29074.181654580065</v>
      </c>
      <c r="M44" s="80">
        <f t="shared" si="3"/>
        <v>25498.057311066721</v>
      </c>
      <c r="N44" s="80">
        <f>L44*0.076</f>
        <v>2209.6378057480847</v>
      </c>
      <c r="O44" s="80">
        <f t="shared" si="24"/>
        <v>1017.5963579103023</v>
      </c>
      <c r="P44" s="88">
        <f t="shared" si="25"/>
        <v>348.89017985496076</v>
      </c>
      <c r="Q44" s="80"/>
      <c r="R44" s="80"/>
      <c r="S44" s="80"/>
      <c r="T44" s="80"/>
      <c r="U44" s="80"/>
      <c r="V44" s="97">
        <f>[1]Adjust_Truck_Freight!AB22</f>
        <v>12049.417142839635</v>
      </c>
      <c r="W44" s="80">
        <f t="shared" si="12"/>
        <v>2373.7351771394069</v>
      </c>
      <c r="X44" s="80">
        <f>V44*FuelConsump!$BV44</f>
        <v>9639.533714271709</v>
      </c>
      <c r="Y44" s="88">
        <f>V44*FuelConsump!$BW44</f>
        <v>36.148251428518904</v>
      </c>
      <c r="Z44" s="97">
        <f>[1]Adjust_Truck_Freight!AC22</f>
        <v>15671.350108174873</v>
      </c>
      <c r="AA44" s="80">
        <f t="shared" si="13"/>
        <v>3087.2559713104483</v>
      </c>
      <c r="AB44" s="80">
        <f>Z44*FuelConsump!$BV44</f>
        <v>12537.0800865399</v>
      </c>
      <c r="AC44" s="80">
        <f>Z44*FuelConsump!$BW44</f>
        <v>47.014050324524618</v>
      </c>
      <c r="AD44" s="92">
        <v>546.89200000000005</v>
      </c>
      <c r="AF44" s="131">
        <f t="shared" si="6"/>
        <v>4</v>
      </c>
      <c r="AG44" s="93"/>
      <c r="AH44" s="93"/>
      <c r="AI44" s="93"/>
      <c r="AJ44" s="95"/>
      <c r="AK44" s="86">
        <v>15.9</v>
      </c>
      <c r="AL44" s="86"/>
      <c r="AM44" s="132">
        <f t="shared" si="26"/>
        <v>32.29</v>
      </c>
      <c r="AN44" s="132"/>
      <c r="AO44" s="132"/>
      <c r="AP44" s="70"/>
      <c r="AQ44" s="89">
        <f t="shared" si="22"/>
        <v>462.42</v>
      </c>
      <c r="AR44" s="89">
        <v>11.01</v>
      </c>
      <c r="AS44" s="98">
        <f t="shared" si="23"/>
        <v>148.68</v>
      </c>
      <c r="AT44" s="99">
        <v>3.54</v>
      </c>
      <c r="AU44" s="74">
        <v>1986</v>
      </c>
      <c r="AV44" s="79">
        <v>48434</v>
      </c>
      <c r="AW44" s="88">
        <v>125889</v>
      </c>
      <c r="AX44" s="62">
        <v>1986</v>
      </c>
      <c r="AY44" s="117">
        <v>11137.3</v>
      </c>
      <c r="AZ44" s="117">
        <v>2545</v>
      </c>
      <c r="BA44" s="77">
        <f>242.4+154.4+11.8</f>
        <v>408.6</v>
      </c>
      <c r="BB44" s="76">
        <f>237.3+420.8+74</f>
        <v>732.1</v>
      </c>
      <c r="BC44" s="62">
        <v>1986</v>
      </c>
      <c r="BD44" s="92">
        <v>65.718001000000001</v>
      </c>
      <c r="BE44" s="95">
        <v>320.65795700000001</v>
      </c>
      <c r="BF44" s="76">
        <f>(FuelConsump!BD44*'[1]Fuel Heat Content'!$D$7/1000000)+(FuelConsump!BE44*'[1]Fuel Heat Content'!$C$21/1000000)</f>
        <v>10.209171687984</v>
      </c>
      <c r="BG44" s="111">
        <f>'[1]TEDB_Ed31_Table 9.10'!J27</f>
        <v>12.4</v>
      </c>
      <c r="BH44" s="108">
        <f t="shared" si="20"/>
        <v>10.450314465408805</v>
      </c>
      <c r="BI44" s="95">
        <v>54.607999999999997</v>
      </c>
      <c r="BJ44" s="88">
        <v>1170</v>
      </c>
      <c r="BK44" s="88">
        <v>3066</v>
      </c>
      <c r="BL44" s="88">
        <v>173</v>
      </c>
      <c r="BM44" s="78">
        <v>3039.069</v>
      </c>
      <c r="BN44" s="62">
        <v>1986</v>
      </c>
      <c r="BO44" s="77">
        <f>'[1]MER Table 4.3_Nov2019'!I50*1000</f>
        <v>485041</v>
      </c>
      <c r="BP44" s="80">
        <f t="shared" si="15"/>
        <v>2198.2370269657827</v>
      </c>
      <c r="BQ44" s="81"/>
      <c r="BS44">
        <f t="shared" si="16"/>
        <v>1986</v>
      </c>
      <c r="BV44" s="121">
        <v>0.8</v>
      </c>
      <c r="BW44" s="121">
        <v>3.0000000000000001E-3</v>
      </c>
      <c r="CB44">
        <v>7385.9400159999996</v>
      </c>
      <c r="CC44">
        <v>2924.832246336</v>
      </c>
      <c r="CD44">
        <v>4387.2483695039991</v>
      </c>
      <c r="CE44">
        <v>73.859400159999993</v>
      </c>
      <c r="CF44">
        <v>14474.58379354675</v>
      </c>
      <c r="CG44">
        <v>5731.9351822445133</v>
      </c>
      <c r="CH44">
        <v>8597.9027733667681</v>
      </c>
      <c r="CI44">
        <v>144.74583793546751</v>
      </c>
      <c r="CK44" s="9"/>
      <c r="CL44" s="79">
        <v>73174</v>
      </c>
      <c r="CN44" s="11"/>
      <c r="CO44" s="86">
        <v>38.200000000000003</v>
      </c>
      <c r="CP44" s="133">
        <f t="shared" si="27"/>
        <v>38.200000000000003</v>
      </c>
      <c r="CQ44" s="133">
        <v>4</v>
      </c>
      <c r="CR44" s="133">
        <f t="shared" si="28"/>
        <v>32.29</v>
      </c>
      <c r="CS44" s="12"/>
      <c r="CX44" s="12"/>
      <c r="CZ44" s="80">
        <v>2034215</v>
      </c>
      <c r="DA44" s="80">
        <v>5287347</v>
      </c>
      <c r="DB44" s="80">
        <f t="shared" si="17"/>
        <v>48433.690476190473</v>
      </c>
      <c r="DC44" s="80">
        <f t="shared" si="17"/>
        <v>125889.21428571429</v>
      </c>
      <c r="DD44" s="80">
        <f t="shared" si="8"/>
        <v>282.14562050000001</v>
      </c>
      <c r="DE44" s="80">
        <f t="shared" si="18"/>
        <v>791.51584589999993</v>
      </c>
      <c r="DF44" s="80">
        <f t="shared" si="19"/>
        <v>1073.6614663999999</v>
      </c>
      <c r="DG44" s="80"/>
      <c r="DH44" s="80"/>
      <c r="DI44" s="80"/>
      <c r="DJ44" s="104">
        <v>404</v>
      </c>
      <c r="DK44" s="80"/>
      <c r="DL44" s="80">
        <f t="shared" si="9"/>
        <v>-0.30952380952658132</v>
      </c>
      <c r="DM44" s="80">
        <f t="shared" si="9"/>
        <v>0.21428571428987198</v>
      </c>
    </row>
    <row r="45" spans="1:117" x14ac:dyDescent="0.25">
      <c r="A45" s="62">
        <v>1987</v>
      </c>
      <c r="B45" s="79">
        <f t="shared" si="10"/>
        <v>73308</v>
      </c>
      <c r="C45" s="80">
        <f t="shared" si="11"/>
        <v>67663.284</v>
      </c>
      <c r="D45" s="80">
        <f>B45*0.063</f>
        <v>4618.4040000000005</v>
      </c>
      <c r="E45" s="88">
        <f>B45*0.014</f>
        <v>1026.3120000000001</v>
      </c>
      <c r="F45" s="80"/>
      <c r="G45" s="80"/>
      <c r="H45" s="80"/>
      <c r="I45" s="80"/>
      <c r="J45" s="71">
        <v>190.12</v>
      </c>
      <c r="K45" s="64">
        <f t="shared" si="1"/>
        <v>190.12</v>
      </c>
      <c r="L45" s="96">
        <v>30597.935144204836</v>
      </c>
      <c r="M45" s="80">
        <f t="shared" si="3"/>
        <v>27232.162278342304</v>
      </c>
      <c r="N45" s="80">
        <f>L45*0.063</f>
        <v>1927.6699140849046</v>
      </c>
      <c r="O45" s="80">
        <f t="shared" si="24"/>
        <v>1070.9277300471692</v>
      </c>
      <c r="P45" s="88">
        <f t="shared" si="25"/>
        <v>367.17522173045802</v>
      </c>
      <c r="Q45" s="80"/>
      <c r="R45" s="80"/>
      <c r="S45" s="80"/>
      <c r="T45" s="80"/>
      <c r="U45" s="80"/>
      <c r="V45" s="97">
        <f>[1]Adjust_Truck_Freight!AB23</f>
        <v>12272.466659374968</v>
      </c>
      <c r="W45" s="80">
        <f t="shared" si="12"/>
        <v>2368.5860652593692</v>
      </c>
      <c r="X45" s="80">
        <f>V45*FuelConsump!$BV45</f>
        <v>9867.0631941374741</v>
      </c>
      <c r="Y45" s="88">
        <f>V45*FuelConsump!$BW45</f>
        <v>36.817399978124904</v>
      </c>
      <c r="Z45" s="97">
        <f>[1]Adjust_Truck_Freight!AC23</f>
        <v>16229.51574228832</v>
      </c>
      <c r="AA45" s="80">
        <f t="shared" si="13"/>
        <v>3132.2965382616449</v>
      </c>
      <c r="AB45" s="80">
        <f>Z45*FuelConsump!$BV45</f>
        <v>13048.53065679981</v>
      </c>
      <c r="AC45" s="80">
        <f>Z45*FuelConsump!$BW45</f>
        <v>48.688547226864962</v>
      </c>
      <c r="AD45" s="92">
        <v>543.31399999999996</v>
      </c>
      <c r="AF45" s="131">
        <f t="shared" si="6"/>
        <v>2</v>
      </c>
      <c r="AG45" s="93"/>
      <c r="AH45" s="93"/>
      <c r="AI45" s="93"/>
      <c r="AJ45" s="95"/>
      <c r="AK45" s="86">
        <v>15.4</v>
      </c>
      <c r="AL45" s="86"/>
      <c r="AM45" s="132">
        <f t="shared" si="26"/>
        <v>30.490000000000002</v>
      </c>
      <c r="AN45" s="132"/>
      <c r="AO45" s="132"/>
      <c r="AP45" s="70"/>
      <c r="AQ45" s="89">
        <f t="shared" si="22"/>
        <v>487.2</v>
      </c>
      <c r="AR45" s="89">
        <v>11.6</v>
      </c>
      <c r="AS45" s="98">
        <f t="shared" si="23"/>
        <v>155.82</v>
      </c>
      <c r="AT45" s="99">
        <v>3.71</v>
      </c>
      <c r="AU45" s="74">
        <v>1987</v>
      </c>
      <c r="AV45" s="79">
        <v>52935</v>
      </c>
      <c r="AW45" s="88">
        <v>125221</v>
      </c>
      <c r="AX45" s="62">
        <v>1987</v>
      </c>
      <c r="AY45" s="117">
        <v>11586.8</v>
      </c>
      <c r="AZ45" s="117">
        <v>2893.6</v>
      </c>
      <c r="BA45" s="77">
        <f>236.4+156.6+8.8</f>
        <v>401.8</v>
      </c>
      <c r="BB45" s="76">
        <f>198+407.8+66.9</f>
        <v>672.69999999999993</v>
      </c>
      <c r="BC45" s="62">
        <v>1987</v>
      </c>
      <c r="BD45" s="92">
        <v>68.103565000000003</v>
      </c>
      <c r="BE45" s="95">
        <v>356.92789900000002</v>
      </c>
      <c r="BF45" s="76">
        <f>(FuelConsump!BD45*'[1]Fuel Heat Content'!$D$7/1000000)+(FuelConsump!BE45*'[1]Fuel Heat Content'!$C$21/1000000)</f>
        <v>10.663802456888002</v>
      </c>
      <c r="BG45" s="111">
        <f>'[1]TEDB_Ed31_Table 9.10'!J28</f>
        <v>13.1</v>
      </c>
      <c r="BH45" s="108">
        <f t="shared" si="20"/>
        <v>11.040251572327044</v>
      </c>
      <c r="BI45" s="95">
        <v>51.594000000000001</v>
      </c>
      <c r="BJ45" s="88">
        <v>1155</v>
      </c>
      <c r="BK45" s="88">
        <v>3219</v>
      </c>
      <c r="BL45" s="88">
        <v>191</v>
      </c>
      <c r="BM45" s="78">
        <v>3102.2269999999999</v>
      </c>
      <c r="BN45" s="62">
        <v>1987</v>
      </c>
      <c r="BO45" s="77">
        <f>'[1]MER Table 4.3_Nov2019'!I51*1000</f>
        <v>519169.99999999994</v>
      </c>
      <c r="BP45" s="80">
        <f t="shared" si="15"/>
        <v>2352.911851348289</v>
      </c>
      <c r="BQ45" s="81"/>
      <c r="BS45">
        <f t="shared" si="16"/>
        <v>1987</v>
      </c>
      <c r="BV45" s="121">
        <v>0.80400000000000005</v>
      </c>
      <c r="BW45" s="121">
        <v>3.0000000000000001E-3</v>
      </c>
      <c r="BX45" s="134" t="s">
        <v>100</v>
      </c>
      <c r="CB45">
        <v>7522.6628408635042</v>
      </c>
      <c r="CC45">
        <v>1459.39659112752</v>
      </c>
      <c r="CD45">
        <v>6048.2209240542579</v>
      </c>
      <c r="CE45">
        <v>15.045325681727009</v>
      </c>
      <c r="CF45">
        <v>14990.124266185339</v>
      </c>
      <c r="CG45">
        <v>2908.0841076399561</v>
      </c>
      <c r="CH45">
        <v>12052.059910013013</v>
      </c>
      <c r="CI45">
        <v>29.98024853237068</v>
      </c>
      <c r="CK45" s="9"/>
      <c r="CL45" s="79">
        <v>73308</v>
      </c>
      <c r="CN45" s="11"/>
      <c r="CO45" s="86">
        <v>34.200000000000003</v>
      </c>
      <c r="CP45" s="133">
        <f t="shared" si="27"/>
        <v>34.200000000000003</v>
      </c>
      <c r="CQ45" s="133">
        <v>2</v>
      </c>
      <c r="CR45" s="133">
        <f t="shared" si="28"/>
        <v>30.490000000000002</v>
      </c>
      <c r="CS45" s="12"/>
      <c r="CX45" s="12"/>
      <c r="CZ45" s="80">
        <v>2223258</v>
      </c>
      <c r="DA45" s="80">
        <v>5259272</v>
      </c>
      <c r="DB45" s="80">
        <f t="shared" si="17"/>
        <v>52934.714285714283</v>
      </c>
      <c r="DC45" s="80">
        <f t="shared" si="17"/>
        <v>125220.76190476191</v>
      </c>
      <c r="DD45" s="80">
        <f t="shared" si="8"/>
        <v>308.36588459999996</v>
      </c>
      <c r="DE45" s="80">
        <f t="shared" si="18"/>
        <v>787.31301839999992</v>
      </c>
      <c r="DF45" s="80">
        <f t="shared" si="19"/>
        <v>1095.678903</v>
      </c>
      <c r="DG45" s="80"/>
      <c r="DH45" s="80"/>
      <c r="DI45" s="80"/>
      <c r="DJ45" s="104">
        <v>370.7</v>
      </c>
      <c r="DK45" s="80"/>
      <c r="DL45" s="80">
        <f t="shared" si="9"/>
        <v>-0.28571428571740398</v>
      </c>
      <c r="DM45" s="80">
        <f t="shared" si="9"/>
        <v>-0.23809523809177335</v>
      </c>
    </row>
    <row r="46" spans="1:117" x14ac:dyDescent="0.25">
      <c r="A46" s="62">
        <v>1988</v>
      </c>
      <c r="B46" s="79">
        <f t="shared" si="10"/>
        <v>73345</v>
      </c>
      <c r="C46" s="80">
        <f t="shared" si="11"/>
        <v>67037.33</v>
      </c>
      <c r="D46" s="80">
        <f>B46*0.074</f>
        <v>5427.53</v>
      </c>
      <c r="E46" s="88">
        <f>B46*0.012</f>
        <v>880.14</v>
      </c>
      <c r="F46" s="80"/>
      <c r="G46" s="80"/>
      <c r="H46" s="80"/>
      <c r="I46" s="80"/>
      <c r="J46" s="71">
        <v>200.48</v>
      </c>
      <c r="K46" s="64">
        <f t="shared" si="1"/>
        <v>200.48</v>
      </c>
      <c r="L46" s="96">
        <v>32653.332974457222</v>
      </c>
      <c r="M46" s="80">
        <f t="shared" si="3"/>
        <v>28767.586350496811</v>
      </c>
      <c r="N46" s="80">
        <f>L46*0.074</f>
        <v>2416.3466401098344</v>
      </c>
      <c r="O46" s="80">
        <f t="shared" si="24"/>
        <v>1142.8666541060029</v>
      </c>
      <c r="P46" s="88">
        <f>L46*0.01</f>
        <v>326.5333297445722</v>
      </c>
      <c r="Q46" s="80"/>
      <c r="R46" s="80"/>
      <c r="S46" s="80"/>
      <c r="T46" s="80"/>
      <c r="U46" s="80"/>
      <c r="V46" s="97">
        <f>[1]Adjust_Truck_Freight!AB24</f>
        <v>12563.870408248746</v>
      </c>
      <c r="W46" s="80">
        <f t="shared" si="12"/>
        <v>2349.4437663425151</v>
      </c>
      <c r="X46" s="80">
        <f>V46*FuelConsump!$BV46</f>
        <v>10176.735030681484</v>
      </c>
      <c r="Y46" s="88">
        <f>V46*FuelConsump!$BW46</f>
        <v>37.691611224746239</v>
      </c>
      <c r="Z46" s="97">
        <f>[1]Adjust_Truck_Freight!AC24</f>
        <v>16482.245696066966</v>
      </c>
      <c r="AA46" s="80">
        <f t="shared" si="13"/>
        <v>3082.1799451645225</v>
      </c>
      <c r="AB46" s="80">
        <f>Z46*FuelConsump!$BV46</f>
        <v>13350.619013814243</v>
      </c>
      <c r="AC46" s="80">
        <f>Z46*FuelConsump!$BW46</f>
        <v>49.446737088200898</v>
      </c>
      <c r="AD46" s="92">
        <v>552.65800000000002</v>
      </c>
      <c r="AF46" s="131">
        <f t="shared" si="6"/>
        <v>2</v>
      </c>
      <c r="AG46" s="93"/>
      <c r="AH46" s="93"/>
      <c r="AI46" s="93"/>
      <c r="AJ46" s="95"/>
      <c r="AK46" s="86">
        <v>15.1</v>
      </c>
      <c r="AL46" s="86"/>
      <c r="AM46" s="132">
        <f t="shared" si="26"/>
        <v>36.094999999999999</v>
      </c>
      <c r="AN46" s="132"/>
      <c r="AO46" s="132"/>
      <c r="AP46" s="70"/>
      <c r="AQ46" s="89">
        <f t="shared" si="22"/>
        <v>511.14</v>
      </c>
      <c r="AR46" s="89">
        <v>12.17</v>
      </c>
      <c r="AS46" s="98">
        <f t="shared" si="23"/>
        <v>160.44</v>
      </c>
      <c r="AT46" s="99">
        <v>3.82</v>
      </c>
      <c r="AU46" s="74">
        <v>1988</v>
      </c>
      <c r="AV46" s="79">
        <v>55009</v>
      </c>
      <c r="AW46" s="88">
        <v>124976</v>
      </c>
      <c r="AX46" s="62">
        <v>1988</v>
      </c>
      <c r="AY46" s="117">
        <v>11917.9</v>
      </c>
      <c r="AZ46" s="117">
        <v>3262.8</v>
      </c>
      <c r="BA46" s="77">
        <f>244+143+11</f>
        <v>398</v>
      </c>
      <c r="BB46" s="76">
        <f>211+454+81</f>
        <v>746</v>
      </c>
      <c r="BC46" s="62">
        <v>1988</v>
      </c>
      <c r="BD46" s="92">
        <v>72.331149999999994</v>
      </c>
      <c r="BE46" s="95">
        <v>337.97011800000001</v>
      </c>
      <c r="BF46" s="76">
        <f>(FuelConsump!BD46*'[1]Fuel Heat Content'!$D$7/1000000)+(FuelConsump!BE46*'[1]Fuel Heat Content'!$C$21/1000000)</f>
        <v>11.185484547615999</v>
      </c>
      <c r="BG46" s="111">
        <f>'[1]TEDB_Ed31_Table 9.10'!J29</f>
        <v>13.5</v>
      </c>
      <c r="BH46" s="108">
        <f t="shared" si="20"/>
        <v>11.377358490566039</v>
      </c>
      <c r="BI46" s="95">
        <v>53.054000000000002</v>
      </c>
      <c r="BJ46" s="88">
        <v>1195</v>
      </c>
      <c r="BK46" s="88">
        <v>3256</v>
      </c>
      <c r="BL46" s="88">
        <v>243</v>
      </c>
      <c r="BM46" s="78">
        <v>3182.2669999999998</v>
      </c>
      <c r="BN46" s="62">
        <v>1988</v>
      </c>
      <c r="BO46" s="77">
        <f>'[1]MER Table 4.3_Nov2019'!I52*1000</f>
        <v>613912</v>
      </c>
      <c r="BP46" s="80">
        <f t="shared" si="15"/>
        <v>2782.2886924994336</v>
      </c>
      <c r="BQ46" s="81"/>
      <c r="BS46">
        <f t="shared" si="16"/>
        <v>1988</v>
      </c>
      <c r="BV46" s="135">
        <v>0.81</v>
      </c>
      <c r="BW46" s="103">
        <v>3.0000000000000001E-3</v>
      </c>
      <c r="CB46">
        <v>7701.2848093873727</v>
      </c>
      <c r="CC46">
        <v>1494.0492530211504</v>
      </c>
      <c r="CD46">
        <v>6191.8329867474476</v>
      </c>
      <c r="CE46">
        <v>15.402569618774745</v>
      </c>
      <c r="CF46">
        <v>15223.554115423403</v>
      </c>
      <c r="CG46">
        <v>2953.3694983921405</v>
      </c>
      <c r="CH46">
        <v>12239.737508800417</v>
      </c>
      <c r="CI46">
        <v>30.447108230846808</v>
      </c>
      <c r="CK46" s="9"/>
      <c r="CL46" s="79">
        <v>73345</v>
      </c>
      <c r="CN46" s="11"/>
      <c r="CO46" s="86">
        <v>40.1</v>
      </c>
      <c r="CP46" s="133">
        <f t="shared" si="27"/>
        <v>40.1</v>
      </c>
      <c r="CQ46" s="133">
        <v>2</v>
      </c>
      <c r="CR46" s="133">
        <f t="shared" si="28"/>
        <v>36.094999999999999</v>
      </c>
      <c r="CS46" s="12"/>
      <c r="CX46" s="12"/>
      <c r="CZ46" s="80">
        <v>2310367</v>
      </c>
      <c r="DA46" s="80">
        <v>5248981</v>
      </c>
      <c r="DB46" s="80">
        <f t="shared" si="17"/>
        <v>55008.738095238092</v>
      </c>
      <c r="DC46" s="80">
        <f t="shared" si="17"/>
        <v>124975.73809523809</v>
      </c>
      <c r="DD46" s="80">
        <f t="shared" si="8"/>
        <v>320.44790289999997</v>
      </c>
      <c r="DE46" s="80">
        <f t="shared" si="18"/>
        <v>785.77245569999991</v>
      </c>
      <c r="DF46" s="80">
        <f t="shared" si="19"/>
        <v>1106.2203585999998</v>
      </c>
      <c r="DG46" s="93">
        <v>0.77500000000000002</v>
      </c>
      <c r="DH46" s="93">
        <v>9.2999999999999999E-2</v>
      </c>
      <c r="DI46" s="80">
        <f>DG46*DD46+DH46*DE46</f>
        <v>321.42396312759996</v>
      </c>
      <c r="DJ46" s="104">
        <v>321.3</v>
      </c>
      <c r="DK46" s="80"/>
      <c r="DL46" s="80">
        <f t="shared" si="9"/>
        <v>-0.26190476190822665</v>
      </c>
      <c r="DM46" s="80">
        <f t="shared" si="9"/>
        <v>-0.26190476190822665</v>
      </c>
    </row>
    <row r="47" spans="1:117" x14ac:dyDescent="0.25">
      <c r="A47" s="62">
        <v>1989</v>
      </c>
      <c r="B47" s="79">
        <f t="shared" si="10"/>
        <v>73913</v>
      </c>
      <c r="C47" s="80">
        <f t="shared" si="11"/>
        <v>68443.437999999995</v>
      </c>
      <c r="D47" s="80">
        <f>B47*0.062</f>
        <v>4582.6059999999998</v>
      </c>
      <c r="E47" s="88">
        <f>B47*0.012</f>
        <v>886.95600000000002</v>
      </c>
      <c r="F47" s="80"/>
      <c r="G47" s="80"/>
      <c r="H47" s="80"/>
      <c r="I47" s="80"/>
      <c r="J47" s="71">
        <v>207.42</v>
      </c>
      <c r="K47" s="64">
        <f t="shared" si="1"/>
        <v>207.42</v>
      </c>
      <c r="L47" s="96">
        <v>33270.783574316076</v>
      </c>
      <c r="M47" s="80">
        <f t="shared" si="3"/>
        <v>29810.622082587201</v>
      </c>
      <c r="N47" s="80">
        <f>L47*0.062</f>
        <v>2062.7885816075968</v>
      </c>
      <c r="O47" s="80">
        <f>L47*0.034</f>
        <v>1131.2066415267466</v>
      </c>
      <c r="P47" s="88">
        <f>L47*0.008</f>
        <v>266.16626859452862</v>
      </c>
      <c r="Q47" s="80"/>
      <c r="R47" s="80"/>
      <c r="S47" s="80"/>
      <c r="T47" s="80"/>
      <c r="U47" s="80"/>
      <c r="V47" s="97">
        <f>[1]Adjust_Truck_Freight!AB25</f>
        <v>12691.09212840699</v>
      </c>
      <c r="W47" s="80">
        <f t="shared" si="12"/>
        <v>2297.0876752416661</v>
      </c>
      <c r="X47" s="80">
        <f>V47*FuelConsump!$BV47</f>
        <v>10355.931176780103</v>
      </c>
      <c r="Y47" s="88">
        <f>V47*FuelConsump!$BW47</f>
        <v>38.073276385220971</v>
      </c>
      <c r="Z47" s="97">
        <f>[1]Adjust_Truck_Freight!AC25</f>
        <v>17033.519146890525</v>
      </c>
      <c r="AA47" s="80">
        <f t="shared" si="13"/>
        <v>3083.0669655871861</v>
      </c>
      <c r="AB47" s="80">
        <f>Z47*FuelConsump!$BV47</f>
        <v>13899.351623862667</v>
      </c>
      <c r="AC47" s="80">
        <f>Z47*FuelConsump!$BW47</f>
        <v>51.100557440671579</v>
      </c>
      <c r="AD47" s="92">
        <v>551.15599999999995</v>
      </c>
      <c r="AF47" s="131">
        <f t="shared" si="6"/>
        <v>2</v>
      </c>
      <c r="AG47" s="93"/>
      <c r="AH47" s="93"/>
      <c r="AI47" s="93"/>
      <c r="AJ47" s="95"/>
      <c r="AK47" s="86">
        <v>14.8</v>
      </c>
      <c r="AL47" s="86"/>
      <c r="AM47" s="132">
        <f t="shared" si="26"/>
        <v>35.43</v>
      </c>
      <c r="AN47" s="132"/>
      <c r="AO47" s="132"/>
      <c r="AP47" s="70"/>
      <c r="AQ47" s="89">
        <f t="shared" si="22"/>
        <v>498.12</v>
      </c>
      <c r="AR47" s="89">
        <v>11.86</v>
      </c>
      <c r="AS47" s="98">
        <f t="shared" si="23"/>
        <v>166.74</v>
      </c>
      <c r="AT47" s="99">
        <v>3.97</v>
      </c>
      <c r="AU47" s="74">
        <v>1989</v>
      </c>
      <c r="AV47" s="79">
        <v>56106</v>
      </c>
      <c r="AW47" s="88">
        <v>128816</v>
      </c>
      <c r="AX47" s="62">
        <v>1989</v>
      </c>
      <c r="AY47" s="117">
        <v>11905.1</v>
      </c>
      <c r="AZ47" s="117">
        <v>3557.3</v>
      </c>
      <c r="BA47" s="77">
        <v>342.8</v>
      </c>
      <c r="BB47" s="76">
        <v>688</v>
      </c>
      <c r="BC47" s="62">
        <v>1989</v>
      </c>
      <c r="BD47" s="92">
        <v>76.888012000000003</v>
      </c>
      <c r="BE47" s="95">
        <v>449.78108700000001</v>
      </c>
      <c r="BF47" s="76">
        <f>(FuelConsump!BD47*'[1]Fuel Heat Content'!$D$7/1000000)+(FuelConsump!BE47*'[1]Fuel Heat Content'!$C$21/1000000)</f>
        <v>12.199020333243999</v>
      </c>
      <c r="BG47" s="111">
        <f>'[1]TEDB_Ed31_Table 9.10'!J30</f>
        <v>15.3</v>
      </c>
      <c r="BH47" s="108">
        <f t="shared" si="20"/>
        <v>12.89433962264151</v>
      </c>
      <c r="BI47" s="95">
        <v>52.515999999999998</v>
      </c>
      <c r="BJ47" s="88">
        <v>1293</v>
      </c>
      <c r="BK47" s="88">
        <v>3286</v>
      </c>
      <c r="BL47" s="88">
        <v>242</v>
      </c>
      <c r="BM47" s="78">
        <v>3190.8150000000001</v>
      </c>
      <c r="BN47" s="62">
        <v>1989</v>
      </c>
      <c r="BO47" s="77">
        <f>'[1]MER Table 4.3_Nov2019'!I53*1000</f>
        <v>629308</v>
      </c>
      <c r="BP47" s="80">
        <f t="shared" si="15"/>
        <v>2852.0643553138452</v>
      </c>
      <c r="BQ47" s="81"/>
      <c r="BS47">
        <f t="shared" si="16"/>
        <v>1989</v>
      </c>
      <c r="BV47" s="135">
        <v>0.81599999999999995</v>
      </c>
      <c r="BW47" s="103">
        <v>3.0000000000000001E-3</v>
      </c>
      <c r="CB47">
        <v>7779.268</v>
      </c>
      <c r="CC47">
        <v>1509.1779920000001</v>
      </c>
      <c r="CD47">
        <v>6254.5314720000006</v>
      </c>
      <c r="CE47">
        <v>15.558536</v>
      </c>
      <c r="CF47">
        <v>15732.728736756177</v>
      </c>
      <c r="CG47">
        <v>3052.1493749306983</v>
      </c>
      <c r="CH47">
        <v>12649.113904351967</v>
      </c>
      <c r="CI47">
        <v>31.465457473512355</v>
      </c>
      <c r="CK47" s="9"/>
      <c r="CL47" s="79">
        <v>73913</v>
      </c>
      <c r="CN47" s="11"/>
      <c r="CO47" s="86">
        <v>39.4</v>
      </c>
      <c r="CP47" s="133">
        <f t="shared" si="27"/>
        <v>39.4</v>
      </c>
      <c r="CQ47" s="133">
        <v>2</v>
      </c>
      <c r="CR47" s="133">
        <f t="shared" si="28"/>
        <v>35.43</v>
      </c>
      <c r="CS47" s="12"/>
      <c r="CX47" s="12"/>
      <c r="CZ47" s="80">
        <v>2356444</v>
      </c>
      <c r="DA47" s="80">
        <v>5410263</v>
      </c>
      <c r="DB47" s="80">
        <f t="shared" si="17"/>
        <v>56105.809523809527</v>
      </c>
      <c r="DC47" s="80">
        <f t="shared" si="17"/>
        <v>128815.78571428571</v>
      </c>
      <c r="DD47" s="80">
        <f t="shared" si="8"/>
        <v>326.83878279999993</v>
      </c>
      <c r="DE47" s="80">
        <f t="shared" si="18"/>
        <v>809.91637109999988</v>
      </c>
      <c r="DF47" s="80">
        <f t="shared" si="19"/>
        <v>1136.7551538999999</v>
      </c>
      <c r="DG47" s="93">
        <v>0.77500000000000002</v>
      </c>
      <c r="DH47" s="93">
        <v>9.2999999999999999E-2</v>
      </c>
      <c r="DI47" s="80">
        <f t="shared" ref="DI47:DI74" si="29">DG47*DD47+DH47*DE47</f>
        <v>328.62227918229996</v>
      </c>
      <c r="DJ47" s="104">
        <v>328.6</v>
      </c>
      <c r="DK47" s="80"/>
      <c r="DL47" s="80">
        <f t="shared" si="9"/>
        <v>-0.19047619047341868</v>
      </c>
      <c r="DM47" s="80">
        <f t="shared" si="9"/>
        <v>-0.21428571428987198</v>
      </c>
    </row>
    <row r="48" spans="1:117" x14ac:dyDescent="0.25">
      <c r="A48" s="62">
        <v>1990</v>
      </c>
      <c r="B48" s="79">
        <f t="shared" si="10"/>
        <v>69568</v>
      </c>
      <c r="C48" s="80">
        <f t="shared" si="11"/>
        <v>64002.559999999998</v>
      </c>
      <c r="D48" s="80">
        <f>B48*0.068</f>
        <v>4730.6240000000007</v>
      </c>
      <c r="E48" s="88">
        <f>B48*0.012</f>
        <v>834.81600000000003</v>
      </c>
      <c r="F48" s="80"/>
      <c r="G48" s="80"/>
      <c r="H48" s="80"/>
      <c r="I48" s="80"/>
      <c r="J48" s="71">
        <v>191.14</v>
      </c>
      <c r="K48" s="64">
        <f t="shared" si="1"/>
        <v>191.14</v>
      </c>
      <c r="L48" s="96">
        <v>35611.040834766216</v>
      </c>
      <c r="M48" s="80">
        <f t="shared" si="3"/>
        <v>31729.437383776698</v>
      </c>
      <c r="N48" s="80">
        <f>L48*0.068</f>
        <v>2421.5507767641029</v>
      </c>
      <c r="O48" s="80">
        <f>L48*0.034</f>
        <v>1210.7753883820515</v>
      </c>
      <c r="P48" s="88">
        <f>L48*0.007</f>
        <v>249.27728584336353</v>
      </c>
      <c r="Q48" s="80"/>
      <c r="R48" s="80"/>
      <c r="S48" s="80"/>
      <c r="T48" s="80"/>
      <c r="U48" s="80"/>
      <c r="V48" s="97">
        <f>[1]Adjust_Truck_Freight!AB26</f>
        <v>13633.074438175439</v>
      </c>
      <c r="W48" s="80">
        <f t="shared" si="12"/>
        <v>2385.7880266807019</v>
      </c>
      <c r="X48" s="80">
        <f>V48*FuelConsump!$BV48</f>
        <v>11192.754113742036</v>
      </c>
      <c r="Y48" s="88">
        <f>V48*FuelConsump!$BW48</f>
        <v>54.532297752701758</v>
      </c>
      <c r="Z48" s="97">
        <f>[1]Adjust_Truck_Freight!AC26</f>
        <v>17466.798631611971</v>
      </c>
      <c r="AA48" s="80">
        <f t="shared" si="13"/>
        <v>3056.6897605320964</v>
      </c>
      <c r="AB48" s="80">
        <f>Z48*FuelConsump!$BV48</f>
        <v>14340.241676553427</v>
      </c>
      <c r="AC48" s="80">
        <f>Z48*FuelConsump!$BW48</f>
        <v>69.867194526447889</v>
      </c>
      <c r="AD48" s="92">
        <v>563.15099999999995</v>
      </c>
      <c r="AF48" s="131">
        <f t="shared" si="6"/>
        <v>2</v>
      </c>
      <c r="AG48" s="93"/>
      <c r="AH48" s="93"/>
      <c r="AI48" s="93"/>
      <c r="AJ48" s="95"/>
      <c r="AK48" s="86">
        <v>15.5</v>
      </c>
      <c r="AL48" s="86"/>
      <c r="AM48" s="132">
        <f t="shared" si="26"/>
        <v>29.445</v>
      </c>
      <c r="AN48" s="132"/>
      <c r="AO48" s="132"/>
      <c r="AP48" s="70"/>
      <c r="AQ48" s="89">
        <f t="shared" si="22"/>
        <v>472.08</v>
      </c>
      <c r="AR48" s="89">
        <v>11.24</v>
      </c>
      <c r="AS48" s="98">
        <f t="shared" si="23"/>
        <v>159.6</v>
      </c>
      <c r="AT48" s="99">
        <v>3.8</v>
      </c>
      <c r="AU48" s="74">
        <v>1990</v>
      </c>
      <c r="AV48" s="79">
        <v>52310</v>
      </c>
      <c r="AW48" s="88">
        <v>148764</v>
      </c>
      <c r="AX48" s="62">
        <v>1990</v>
      </c>
      <c r="AY48" s="117">
        <v>12429.3</v>
      </c>
      <c r="AZ48" s="117">
        <v>3963.1</v>
      </c>
      <c r="BA48" s="77">
        <f>220+122+11</f>
        <v>353</v>
      </c>
      <c r="BB48" s="76">
        <v>663</v>
      </c>
      <c r="BC48" s="62">
        <v>1990</v>
      </c>
      <c r="BD48" s="92">
        <v>79.855889000000005</v>
      </c>
      <c r="BE48" s="95">
        <v>396.04014699999999</v>
      </c>
      <c r="BF48" s="76">
        <f>(FuelConsump!BD48*'[1]Fuel Heat Content'!$D$7/1000000)+(FuelConsump!BE48*'[1]Fuel Heat Content'!$C$21/1000000)</f>
        <v>12.427300785864</v>
      </c>
      <c r="BG48" s="111">
        <f>'[1]TEDB_Ed31_Table 9.10'!J31</f>
        <v>15.2</v>
      </c>
      <c r="BH48" s="108">
        <f t="shared" si="20"/>
        <v>12.81006289308176</v>
      </c>
      <c r="BI48" s="95">
        <v>52.680999999999997</v>
      </c>
      <c r="BJ48" s="88">
        <v>1226</v>
      </c>
      <c r="BK48" s="88">
        <v>3284</v>
      </c>
      <c r="BL48" s="88">
        <v>239</v>
      </c>
      <c r="BM48" s="78">
        <v>3134</v>
      </c>
      <c r="BN48" s="62">
        <v>1990</v>
      </c>
      <c r="BO48" s="77">
        <f>'[1]MER Table 4.3_Nov2019'!I54*1000</f>
        <v>659816</v>
      </c>
      <c r="BP48" s="80">
        <f t="shared" si="15"/>
        <v>2990.3285746657602</v>
      </c>
      <c r="BQ48" s="81"/>
      <c r="BR48">
        <f>353*120.2+663*135</f>
        <v>131935.6</v>
      </c>
      <c r="BS48">
        <f t="shared" si="16"/>
        <v>1990</v>
      </c>
      <c r="BV48" s="135">
        <v>0.82099999999999995</v>
      </c>
      <c r="BW48" s="103">
        <v>4.0000000000000001E-3</v>
      </c>
      <c r="CB48">
        <v>8356.6755835873391</v>
      </c>
      <c r="CC48">
        <v>1621.1950632159439</v>
      </c>
      <c r="CD48">
        <v>6718.7671692042213</v>
      </c>
      <c r="CE48">
        <v>16.713351167174679</v>
      </c>
      <c r="CF48">
        <v>16132.920179378207</v>
      </c>
      <c r="CG48">
        <v>3129.7865147993721</v>
      </c>
      <c r="CH48">
        <v>12970.867824220079</v>
      </c>
      <c r="CI48">
        <v>32.265840358756414</v>
      </c>
      <c r="CK48" s="9"/>
      <c r="CL48" s="79">
        <v>69568</v>
      </c>
      <c r="CN48" s="11"/>
      <c r="CO48" s="86">
        <v>33.1</v>
      </c>
      <c r="CP48" s="133">
        <f t="shared" si="27"/>
        <v>33.1</v>
      </c>
      <c r="CQ48" s="133">
        <v>2</v>
      </c>
      <c r="CR48" s="133">
        <f t="shared" si="28"/>
        <v>29.445</v>
      </c>
      <c r="CS48" s="12"/>
      <c r="CX48" s="12"/>
      <c r="CZ48" s="80">
        <v>2197004</v>
      </c>
      <c r="DA48" s="80">
        <v>6248095</v>
      </c>
      <c r="DB48" s="80">
        <f t="shared" si="17"/>
        <v>52309.619047619046</v>
      </c>
      <c r="DC48" s="80">
        <f t="shared" si="17"/>
        <v>148764.16666666666</v>
      </c>
      <c r="DD48" s="80">
        <f t="shared" si="8"/>
        <v>304.72445479999993</v>
      </c>
      <c r="DE48" s="80">
        <f t="shared" si="18"/>
        <v>935.33982149999986</v>
      </c>
      <c r="DF48" s="80">
        <f t="shared" si="19"/>
        <v>1240.0642762999998</v>
      </c>
      <c r="DG48" s="93">
        <v>0.77500000000000002</v>
      </c>
      <c r="DH48" s="93">
        <v>9.2999999999999999E-2</v>
      </c>
      <c r="DI48" s="80">
        <f t="shared" si="29"/>
        <v>323.1480558694999</v>
      </c>
      <c r="DJ48" s="104">
        <v>323.2</v>
      </c>
      <c r="DK48" s="80"/>
      <c r="DL48" s="80">
        <f t="shared" si="9"/>
        <v>-0.38095238095411332</v>
      </c>
      <c r="DM48" s="80">
        <f t="shared" si="9"/>
        <v>0.16666666665696539</v>
      </c>
    </row>
    <row r="49" spans="1:119" x14ac:dyDescent="0.25">
      <c r="A49" s="62">
        <v>1991</v>
      </c>
      <c r="B49" s="79">
        <f t="shared" si="10"/>
        <v>64318</v>
      </c>
      <c r="C49" s="80">
        <f t="shared" si="11"/>
        <v>58400.743999999999</v>
      </c>
      <c r="D49" s="80">
        <f>B49*0.08</f>
        <v>5145.4400000000005</v>
      </c>
      <c r="E49" s="88">
        <f>B49*0.012</f>
        <v>771.81600000000003</v>
      </c>
      <c r="F49" s="80"/>
      <c r="G49" s="80"/>
      <c r="H49" s="80"/>
      <c r="I49" s="80"/>
      <c r="J49" s="71">
        <v>183.56</v>
      </c>
      <c r="K49" s="64">
        <f t="shared" si="1"/>
        <v>183.56</v>
      </c>
      <c r="L49" s="96">
        <v>38216.904843411023</v>
      </c>
      <c r="M49" s="80">
        <f t="shared" si="3"/>
        <v>33707.310071888525</v>
      </c>
      <c r="N49" s="80">
        <f>L49*0.08</f>
        <v>3057.3523874728817</v>
      </c>
      <c r="O49" s="80">
        <f>L49*0.033</f>
        <v>1261.1578598325639</v>
      </c>
      <c r="P49" s="88">
        <f>L49*0.005</f>
        <v>191.0845242170551</v>
      </c>
      <c r="Q49" s="80"/>
      <c r="R49" s="80"/>
      <c r="S49" s="80"/>
      <c r="T49" s="80"/>
      <c r="U49" s="80"/>
      <c r="V49" s="97">
        <f>[1]Adjust_Truck_Freight!AB27</f>
        <v>13332.417933573681</v>
      </c>
      <c r="W49" s="80">
        <f t="shared" si="12"/>
        <v>2253.178630773953</v>
      </c>
      <c r="X49" s="80">
        <f>V49*FuelConsump!$BV49</f>
        <v>11025.909631065433</v>
      </c>
      <c r="Y49" s="88">
        <f>V49*FuelConsump!$BW49</f>
        <v>53.329671734294728</v>
      </c>
      <c r="Z49" s="97">
        <f>[1]Adjust_Truck_Freight!AC27</f>
        <v>18198.369863411124</v>
      </c>
      <c r="AA49" s="80">
        <f t="shared" si="13"/>
        <v>3075.5245069164816</v>
      </c>
      <c r="AB49" s="80">
        <f>Z49*FuelConsump!$BV49</f>
        <v>15050.051877040998</v>
      </c>
      <c r="AC49" s="80">
        <f>Z49*FuelConsump!$BW49</f>
        <v>72.793479453644494</v>
      </c>
      <c r="AD49" s="92">
        <v>572.86099999999999</v>
      </c>
      <c r="AF49" s="131">
        <f t="shared" si="6"/>
        <v>2</v>
      </c>
      <c r="AG49" s="93"/>
      <c r="AH49" s="93"/>
      <c r="AI49" s="93"/>
      <c r="AJ49" s="95"/>
      <c r="AK49" s="86">
        <v>17.399999999999999</v>
      </c>
      <c r="AL49" s="86"/>
      <c r="AM49" s="132">
        <f t="shared" si="26"/>
        <v>30.774999999999999</v>
      </c>
      <c r="AN49" s="132"/>
      <c r="AO49" s="132"/>
      <c r="AP49" s="70"/>
      <c r="AQ49" s="89">
        <f t="shared" si="22"/>
        <v>533.4</v>
      </c>
      <c r="AR49" s="89">
        <v>12.7</v>
      </c>
      <c r="AS49" s="98">
        <f t="shared" si="23"/>
        <v>160.44</v>
      </c>
      <c r="AT49" s="99">
        <v>3.82</v>
      </c>
      <c r="AU49" s="74">
        <v>1991</v>
      </c>
      <c r="AV49" s="79">
        <v>51610</v>
      </c>
      <c r="AW49" s="88">
        <v>161573</v>
      </c>
      <c r="AX49" s="62">
        <v>1991</v>
      </c>
      <c r="AY49" s="117">
        <v>11506.5</v>
      </c>
      <c r="AZ49" s="117">
        <v>3339.7</v>
      </c>
      <c r="BA49" s="77">
        <v>354</v>
      </c>
      <c r="BB49" s="76">
        <v>577</v>
      </c>
      <c r="BC49" s="62">
        <v>1991</v>
      </c>
      <c r="BD49" s="92">
        <v>81.932141999999999</v>
      </c>
      <c r="BE49" s="95">
        <v>367.16662700000001</v>
      </c>
      <c r="BF49" s="76">
        <f>(FuelConsump!BD49*'[1]Fuel Heat Content'!$D$7/1000000)+(FuelConsump!BE49*'[1]Fuel Heat Content'!$C$21/1000000)</f>
        <v>12.616760626724</v>
      </c>
      <c r="BG49" s="111">
        <f>'[1]TEDB_Ed31_Table 9.10'!J32</f>
        <v>15.2</v>
      </c>
      <c r="BH49" s="108">
        <f t="shared" si="20"/>
        <v>12.81006289308176</v>
      </c>
      <c r="BI49" s="95">
        <v>54.314999999999998</v>
      </c>
      <c r="BJ49" s="88">
        <v>1239</v>
      </c>
      <c r="BK49" s="88">
        <v>3248</v>
      </c>
      <c r="BL49" s="88">
        <v>274</v>
      </c>
      <c r="BM49" s="78">
        <v>2926</v>
      </c>
      <c r="BN49" s="62">
        <v>1991</v>
      </c>
      <c r="BO49" s="77">
        <f>'[1]MER Table 4.3_Nov2019'!I55*1000</f>
        <v>601305</v>
      </c>
      <c r="BP49" s="80">
        <f t="shared" si="15"/>
        <v>2725.1529571719916</v>
      </c>
      <c r="BQ49" s="81"/>
      <c r="BS49">
        <f t="shared" si="16"/>
        <v>1991</v>
      </c>
      <c r="BV49" s="135">
        <v>0.82699999999999996</v>
      </c>
      <c r="BW49" s="103">
        <v>4.0000000000000001E-3</v>
      </c>
      <c r="CB49">
        <v>8172.3819466350797</v>
      </c>
      <c r="CC49">
        <v>1585.4420976472054</v>
      </c>
      <c r="CD49">
        <v>6570.5950850946047</v>
      </c>
      <c r="CE49">
        <v>16.344763893270159</v>
      </c>
      <c r="CF49">
        <v>16808.623869394116</v>
      </c>
      <c r="CG49">
        <v>3260.8730306624584</v>
      </c>
      <c r="CH49">
        <v>13514.133590992869</v>
      </c>
      <c r="CI49">
        <v>33.61724773878823</v>
      </c>
      <c r="CK49" s="9"/>
      <c r="CL49" s="79">
        <v>64318</v>
      </c>
      <c r="CN49" s="11"/>
      <c r="CO49" s="86">
        <v>34.5</v>
      </c>
      <c r="CP49" s="133">
        <f t="shared" si="27"/>
        <v>34.5</v>
      </c>
      <c r="CQ49" s="133">
        <v>2</v>
      </c>
      <c r="CR49" s="133">
        <f t="shared" si="28"/>
        <v>30.774999999999999</v>
      </c>
      <c r="CS49" s="12"/>
      <c r="CX49" s="12"/>
      <c r="CZ49" s="80">
        <v>2167640</v>
      </c>
      <c r="DA49" s="80">
        <v>6786055</v>
      </c>
      <c r="DB49" s="80">
        <f t="shared" si="17"/>
        <v>51610.476190476191</v>
      </c>
      <c r="DC49" s="80">
        <f t="shared" si="17"/>
        <v>161572.73809523811</v>
      </c>
      <c r="DD49" s="80">
        <f t="shared" si="8"/>
        <v>300.65166799999997</v>
      </c>
      <c r="DE49" s="80">
        <f t="shared" si="18"/>
        <v>1015.8724334999998</v>
      </c>
      <c r="DF49" s="80">
        <f t="shared" si="19"/>
        <v>1316.5241014999997</v>
      </c>
      <c r="DG49" s="93">
        <v>0.77500000000000002</v>
      </c>
      <c r="DH49" s="93">
        <v>9.2999999999999999E-2</v>
      </c>
      <c r="DI49" s="80">
        <f t="shared" si="29"/>
        <v>327.48117901549995</v>
      </c>
      <c r="DJ49" s="104">
        <v>327.5</v>
      </c>
      <c r="DK49" s="80"/>
      <c r="DL49" s="80">
        <f t="shared" si="9"/>
        <v>0.47619047619082266</v>
      </c>
      <c r="DM49" s="80">
        <f t="shared" si="9"/>
        <v>-0.26190476189367473</v>
      </c>
    </row>
    <row r="50" spans="1:119" x14ac:dyDescent="0.25">
      <c r="A50" s="62">
        <v>1992</v>
      </c>
      <c r="B50" s="79">
        <f t="shared" si="10"/>
        <v>65436</v>
      </c>
      <c r="C50" s="80">
        <f t="shared" si="11"/>
        <v>59481.323999999993</v>
      </c>
      <c r="D50" s="80">
        <f>B50*0.079</f>
        <v>5169.4440000000004</v>
      </c>
      <c r="E50" s="88">
        <f>B50*0.012</f>
        <v>785.23199999999997</v>
      </c>
      <c r="F50" s="80"/>
      <c r="G50" s="80"/>
      <c r="H50" s="80"/>
      <c r="I50" s="80"/>
      <c r="J50" s="71">
        <v>191.14</v>
      </c>
      <c r="K50" s="64">
        <f t="shared" si="1"/>
        <v>191.14</v>
      </c>
      <c r="L50" s="96">
        <v>40929.421682287357</v>
      </c>
      <c r="M50" s="80">
        <f t="shared" si="3"/>
        <v>36222.538188824314</v>
      </c>
      <c r="N50" s="80">
        <f>L50*0.079</f>
        <v>3233.4243129007014</v>
      </c>
      <c r="O50" s="80">
        <f>L50*0.033</f>
        <v>1350.6709155154829</v>
      </c>
      <c r="P50" s="88">
        <f>L50*0.003</f>
        <v>122.78826504686208</v>
      </c>
      <c r="Q50" s="80"/>
      <c r="R50" s="80"/>
      <c r="S50" s="80"/>
      <c r="T50" s="80"/>
      <c r="U50" s="80"/>
      <c r="V50" s="97">
        <f>[1]Adjust_Truck_Freight!AB28</f>
        <v>13437.716445693837</v>
      </c>
      <c r="W50" s="80">
        <f t="shared" si="12"/>
        <v>2176.9100642024023</v>
      </c>
      <c r="X50" s="80">
        <f>V50*FuelConsump!$BV50</f>
        <v>11193.617799262965</v>
      </c>
      <c r="Y50" s="88">
        <f>V50*FuelConsump!$BW50</f>
        <v>67.188582228469187</v>
      </c>
      <c r="Z50" s="97">
        <f>[1]Adjust_Truck_Freight!AC28</f>
        <v>18639.680330148854</v>
      </c>
      <c r="AA50" s="80">
        <f t="shared" si="13"/>
        <v>3019.6282134841153</v>
      </c>
      <c r="AB50" s="80">
        <f>Z50*FuelConsump!$BV50</f>
        <v>15526.853715013995</v>
      </c>
      <c r="AC50" s="80">
        <f>Z50*FuelConsump!$BW50</f>
        <v>93.198401650744273</v>
      </c>
      <c r="AD50" s="92">
        <v>592.04899999999998</v>
      </c>
      <c r="AE50" s="93">
        <f>1.009</f>
        <v>1.0089999999999999</v>
      </c>
      <c r="AF50" s="131">
        <f t="shared" si="6"/>
        <v>2</v>
      </c>
      <c r="AG50" s="93">
        <v>0.191</v>
      </c>
      <c r="AH50" s="93"/>
      <c r="AI50" s="93">
        <v>1.583</v>
      </c>
      <c r="AJ50" s="136"/>
      <c r="AK50" s="86">
        <v>16.899999999999999</v>
      </c>
      <c r="AL50" s="86"/>
      <c r="AM50" s="132">
        <f t="shared" si="26"/>
        <v>29.254999999999995</v>
      </c>
      <c r="AN50" s="132"/>
      <c r="AO50" s="132"/>
      <c r="AP50" s="70"/>
      <c r="AQ50" s="89">
        <f t="shared" si="22"/>
        <v>546</v>
      </c>
      <c r="AR50" s="89">
        <v>13</v>
      </c>
      <c r="AS50" s="98">
        <f t="shared" si="23"/>
        <v>157.08000000000001</v>
      </c>
      <c r="AT50" s="99">
        <v>3.74</v>
      </c>
      <c r="AU50" s="74">
        <v>1992</v>
      </c>
      <c r="AV50" s="79">
        <v>53337</v>
      </c>
      <c r="AW50" s="88">
        <v>171407</v>
      </c>
      <c r="AX50" s="62">
        <v>1992</v>
      </c>
      <c r="AY50" s="117">
        <v>11762.9</v>
      </c>
      <c r="AZ50" s="117">
        <v>4120.1000000000004</v>
      </c>
      <c r="BA50" s="77">
        <v>314</v>
      </c>
      <c r="BB50" s="76">
        <v>494</v>
      </c>
      <c r="BC50" s="62">
        <v>1992</v>
      </c>
      <c r="BD50" s="92">
        <v>83.964060000000003</v>
      </c>
      <c r="BE50" s="95">
        <v>366.47138799999999</v>
      </c>
      <c r="BF50" s="76">
        <f>(FuelConsump!BD50*'[1]Fuel Heat Content'!$D$7/1000000)+(FuelConsump!BE50*'[1]Fuel Heat Content'!$C$21/1000000)</f>
        <v>12.896215497856002</v>
      </c>
      <c r="BG50" s="111">
        <f>'[1]TEDB_Ed31_Table 9.10'!J33</f>
        <v>15.4</v>
      </c>
      <c r="BH50" s="108">
        <f t="shared" si="20"/>
        <v>12.978616352201259</v>
      </c>
      <c r="BI50" s="95">
        <v>54.951000000000001</v>
      </c>
      <c r="BJ50" s="88">
        <v>1124</v>
      </c>
      <c r="BK50" s="88">
        <v>3193</v>
      </c>
      <c r="BL50" s="88">
        <v>297</v>
      </c>
      <c r="BM50" s="78">
        <v>3022</v>
      </c>
      <c r="BN50" s="62">
        <v>1992</v>
      </c>
      <c r="BO50" s="77">
        <f>'[1]MER Table 4.3_Nov2019'!I56*1000</f>
        <v>587710</v>
      </c>
      <c r="BP50" s="80">
        <f t="shared" si="15"/>
        <v>2663.5395422615002</v>
      </c>
      <c r="BQ50" s="81"/>
      <c r="BS50">
        <f t="shared" si="16"/>
        <v>1992</v>
      </c>
      <c r="BV50">
        <v>0.83299999999999996</v>
      </c>
      <c r="BW50" s="103">
        <v>5.0000000000000001E-3</v>
      </c>
      <c r="CB50">
        <v>8236.9268524237959</v>
      </c>
      <c r="CC50">
        <v>1334.3821500926549</v>
      </c>
      <c r="CD50">
        <v>6861.3600680690215</v>
      </c>
      <c r="CE50">
        <v>41.184634262118983</v>
      </c>
      <c r="CF50">
        <v>17216.232995964034</v>
      </c>
      <c r="CG50">
        <v>2789.0297453461735</v>
      </c>
      <c r="CH50">
        <v>14341.122085638039</v>
      </c>
      <c r="CI50">
        <v>86.081164979820173</v>
      </c>
      <c r="CK50" s="9"/>
      <c r="CL50" s="79">
        <v>65436</v>
      </c>
      <c r="CN50" s="11"/>
      <c r="CO50" s="86">
        <v>38.200000000000003</v>
      </c>
      <c r="CP50" s="86">
        <v>32.9</v>
      </c>
      <c r="CQ50" s="133">
        <v>2</v>
      </c>
      <c r="CR50" s="133">
        <f>(0.95*CP50-CQ50)</f>
        <v>29.254999999999995</v>
      </c>
      <c r="CS50" s="12"/>
      <c r="CU50" s="103"/>
      <c r="CX50" s="12"/>
      <c r="CZ50" s="80">
        <v>2240170</v>
      </c>
      <c r="DA50" s="80">
        <v>7199078</v>
      </c>
      <c r="DB50" s="80">
        <f t="shared" si="17"/>
        <v>53337.380952380954</v>
      </c>
      <c r="DC50" s="80">
        <f t="shared" si="17"/>
        <v>171406.61904761905</v>
      </c>
      <c r="DD50" s="80">
        <f t="shared" si="8"/>
        <v>310.71157899999997</v>
      </c>
      <c r="DE50" s="80">
        <f t="shared" si="18"/>
        <v>1077.7019765999999</v>
      </c>
      <c r="DF50" s="80">
        <f t="shared" si="19"/>
        <v>1388.4135555999999</v>
      </c>
      <c r="DG50" s="93">
        <v>0.77500000000000002</v>
      </c>
      <c r="DH50" s="93">
        <v>9.2999999999999999E-2</v>
      </c>
      <c r="DI50" s="80">
        <f t="shared" si="29"/>
        <v>341.02775754879997</v>
      </c>
      <c r="DJ50" s="104">
        <v>341</v>
      </c>
      <c r="DK50" s="80"/>
      <c r="DL50" s="80">
        <f t="shared" si="9"/>
        <v>0.38095238095411332</v>
      </c>
      <c r="DM50" s="80">
        <f t="shared" si="9"/>
        <v>-0.38095238094683737</v>
      </c>
    </row>
    <row r="51" spans="1:119" x14ac:dyDescent="0.25">
      <c r="A51" s="62">
        <v>1993</v>
      </c>
      <c r="B51" s="79">
        <f t="shared" si="10"/>
        <v>67047</v>
      </c>
      <c r="C51" s="80">
        <f t="shared" si="11"/>
        <v>60074.112000000001</v>
      </c>
      <c r="D51" s="80">
        <f>B51*0.091</f>
        <v>6101.277</v>
      </c>
      <c r="E51" s="88">
        <f>B51*0.013</f>
        <v>871.61099999999999</v>
      </c>
      <c r="F51" s="80"/>
      <c r="G51" s="80"/>
      <c r="H51" s="80"/>
      <c r="I51" s="80"/>
      <c r="J51" s="71">
        <v>198.12</v>
      </c>
      <c r="K51" s="64">
        <f t="shared" si="1"/>
        <v>198.12</v>
      </c>
      <c r="L51" s="96">
        <v>42851.206704676886</v>
      </c>
      <c r="M51" s="80">
        <f t="shared" si="3"/>
        <v>37409.103453182921</v>
      </c>
      <c r="N51" s="80">
        <f>L51*0.091</f>
        <v>3899.4598101255965</v>
      </c>
      <c r="O51" s="80">
        <f>L51*0.033</f>
        <v>1414.0898212543373</v>
      </c>
      <c r="P51" s="88">
        <f>L51*0.003</f>
        <v>128.55362011403065</v>
      </c>
      <c r="Q51" s="80"/>
      <c r="R51" s="80"/>
      <c r="S51" s="80"/>
      <c r="T51" s="80"/>
      <c r="U51" s="80"/>
      <c r="V51" s="97">
        <f>[1]Adjust_Truck_Freight!AB29</f>
        <v>13847.650282475062</v>
      </c>
      <c r="W51" s="80">
        <f t="shared" si="12"/>
        <v>2243.3193457609609</v>
      </c>
      <c r="X51" s="80">
        <f>V51*FuelConsump!$BV51</f>
        <v>11535.092685301726</v>
      </c>
      <c r="Y51" s="88">
        <f>V51*FuelConsump!$BW51</f>
        <v>69.23825141237532</v>
      </c>
      <c r="Z51" s="97">
        <f>[1]Adjust_Truck_Freight!AC29</f>
        <v>19215.378648573245</v>
      </c>
      <c r="AA51" s="80">
        <f t="shared" si="13"/>
        <v>3112.8913410688665</v>
      </c>
      <c r="AB51" s="80">
        <f>Z51*FuelConsump!$BV51</f>
        <v>16006.410414261512</v>
      </c>
      <c r="AC51" s="80">
        <f>Z51*FuelConsump!$BW51</f>
        <v>96.076893242866234</v>
      </c>
      <c r="AD51" s="92">
        <v>575.74</v>
      </c>
      <c r="AE51" s="93">
        <v>1.579</v>
      </c>
      <c r="AF51" s="131">
        <f t="shared" si="6"/>
        <v>2</v>
      </c>
      <c r="AG51" s="93">
        <v>0.47399999999999998</v>
      </c>
      <c r="AH51" s="93"/>
      <c r="AI51" s="93">
        <v>4.9749999999999996</v>
      </c>
      <c r="AJ51" s="136"/>
      <c r="AK51" s="86">
        <v>22.9</v>
      </c>
      <c r="AL51" s="86"/>
      <c r="AM51" s="132">
        <f t="shared" si="26"/>
        <v>34.004999999999995</v>
      </c>
      <c r="AN51" s="132"/>
      <c r="AO51" s="132"/>
      <c r="AP51" s="70"/>
      <c r="AQ51" s="89">
        <f t="shared" si="22"/>
        <v>533.4</v>
      </c>
      <c r="AR51" s="89">
        <v>12.7</v>
      </c>
      <c r="AS51" s="98">
        <f t="shared" si="23"/>
        <v>171.36</v>
      </c>
      <c r="AT51" s="99">
        <v>4.08</v>
      </c>
      <c r="AU51" s="74">
        <v>1993</v>
      </c>
      <c r="AV51" s="79">
        <v>48661</v>
      </c>
      <c r="AW51" s="88">
        <v>149283</v>
      </c>
      <c r="AX51" s="62">
        <v>1993</v>
      </c>
      <c r="AY51" s="117">
        <v>11958.7</v>
      </c>
      <c r="AZ51" s="117">
        <v>4113.3</v>
      </c>
      <c r="BA51" s="77">
        <v>268.39999999999998</v>
      </c>
      <c r="BB51" s="76">
        <v>454.1</v>
      </c>
      <c r="BC51" s="62">
        <v>1993</v>
      </c>
      <c r="BD51" s="92">
        <v>86.392448000000002</v>
      </c>
      <c r="BE51" s="95">
        <v>379.22077300000001</v>
      </c>
      <c r="BF51" s="76">
        <f>(FuelConsump!BD51*'[1]Fuel Heat Content'!$D$7/1000000)+(FuelConsump!BE51*'[1]Fuel Heat Content'!$C$21/1000000)</f>
        <v>13.276533815075998</v>
      </c>
      <c r="BG51" s="111">
        <v>15.9</v>
      </c>
      <c r="BH51" s="137">
        <v>13.4</v>
      </c>
      <c r="BI51" s="95">
        <v>59.765999999999998</v>
      </c>
      <c r="BJ51" s="88">
        <v>1196</v>
      </c>
      <c r="BK51" s="88">
        <v>3287</v>
      </c>
      <c r="BL51" s="88">
        <v>281</v>
      </c>
      <c r="BM51" s="78">
        <v>3112</v>
      </c>
      <c r="BN51" s="62">
        <v>1993</v>
      </c>
      <c r="BO51" s="77">
        <f>'[1]MER Table 4.3_Nov2019'!I57*1000</f>
        <v>624308</v>
      </c>
      <c r="BP51" s="80">
        <f t="shared" si="15"/>
        <v>2829.4040335372761</v>
      </c>
      <c r="BQ51" s="81"/>
      <c r="BS51">
        <f t="shared" si="16"/>
        <v>1993</v>
      </c>
      <c r="BV51" s="103">
        <v>0.83299999999999996</v>
      </c>
      <c r="BW51" s="103">
        <v>5.0000000000000001E-3</v>
      </c>
      <c r="CB51">
        <v>8488.2042953990458</v>
      </c>
      <c r="CC51">
        <v>1375.0890958546454</v>
      </c>
      <c r="CD51">
        <v>7070.6741780674047</v>
      </c>
      <c r="CE51">
        <v>42.441021476995232</v>
      </c>
      <c r="CF51">
        <v>17747.967243001942</v>
      </c>
      <c r="CG51">
        <v>2875.1706933663145</v>
      </c>
      <c r="CH51">
        <v>14784.056713420618</v>
      </c>
      <c r="CI51">
        <v>88.739836215009717</v>
      </c>
      <c r="CK51" s="9"/>
      <c r="CL51" s="79">
        <v>67047</v>
      </c>
      <c r="CN51" s="11"/>
      <c r="CO51" s="86">
        <v>47.3</v>
      </c>
      <c r="CP51" s="86">
        <v>37.9</v>
      </c>
      <c r="CQ51" s="133">
        <v>2</v>
      </c>
      <c r="CR51" s="133">
        <f>(0.95*CP51-CQ51)</f>
        <v>34.004999999999995</v>
      </c>
      <c r="CS51" s="12"/>
      <c r="CU51" s="103"/>
      <c r="CX51" s="12"/>
      <c r="CZ51" s="80">
        <v>2043745</v>
      </c>
      <c r="DA51" s="80">
        <v>6269882</v>
      </c>
      <c r="DB51" s="80">
        <f t="shared" si="17"/>
        <v>48660.595238095237</v>
      </c>
      <c r="DC51" s="80">
        <f t="shared" si="17"/>
        <v>149282.90476190476</v>
      </c>
      <c r="DD51" s="80">
        <f t="shared" si="8"/>
        <v>283.46743149999998</v>
      </c>
      <c r="DE51" s="80">
        <f t="shared" si="18"/>
        <v>938.60133539999993</v>
      </c>
      <c r="DF51" s="80">
        <f t="shared" si="19"/>
        <v>1222.0687668999999</v>
      </c>
      <c r="DG51" s="93">
        <v>0.77500000000000002</v>
      </c>
      <c r="DH51" s="93">
        <v>9.2999999999999999E-2</v>
      </c>
      <c r="DI51" s="80">
        <f t="shared" si="29"/>
        <v>306.97718360469997</v>
      </c>
      <c r="DJ51" s="104">
        <v>307</v>
      </c>
      <c r="DK51" s="80"/>
      <c r="DL51" s="80">
        <f t="shared" si="9"/>
        <v>-0.40476190476329066</v>
      </c>
      <c r="DM51" s="80">
        <f t="shared" si="9"/>
        <v>-9.5238095236709341E-2</v>
      </c>
    </row>
    <row r="52" spans="1:119" x14ac:dyDescent="0.25">
      <c r="A52" s="62">
        <v>1994</v>
      </c>
      <c r="B52" s="79">
        <f t="shared" si="10"/>
        <v>67874</v>
      </c>
      <c r="C52" s="80">
        <f t="shared" si="11"/>
        <v>60475.733999999997</v>
      </c>
      <c r="D52" s="80">
        <f>B52*0.096</f>
        <v>6515.9040000000005</v>
      </c>
      <c r="E52" s="88">
        <f>B52*0.013</f>
        <v>882.36199999999997</v>
      </c>
      <c r="F52" s="80"/>
      <c r="G52" s="80"/>
      <c r="H52" s="80"/>
      <c r="I52" s="80"/>
      <c r="J52" s="71">
        <v>204.8</v>
      </c>
      <c r="K52" s="64">
        <f t="shared" si="1"/>
        <v>204.8</v>
      </c>
      <c r="L52" s="96">
        <v>44112.396983964529</v>
      </c>
      <c r="M52" s="80">
        <f t="shared" si="3"/>
        <v>38289.56058208122</v>
      </c>
      <c r="N52" s="80">
        <f>L52*0.096</f>
        <v>4234.7901104605944</v>
      </c>
      <c r="O52" s="80">
        <f>L52*0.033</f>
        <v>1455.7091004708295</v>
      </c>
      <c r="P52" s="88">
        <f>L52*0.003</f>
        <v>132.33719095189358</v>
      </c>
      <c r="Q52" s="80"/>
      <c r="R52" s="80"/>
      <c r="S52" s="80"/>
      <c r="T52" s="80"/>
      <c r="U52" s="80"/>
      <c r="V52" s="97">
        <f>[1]Adjust_Truck_Freight!AB30</f>
        <v>14734.425482815886</v>
      </c>
      <c r="W52" s="80">
        <f t="shared" si="12"/>
        <v>2269.1015243536463</v>
      </c>
      <c r="X52" s="80">
        <f>V52*FuelConsump!$BV52</f>
        <v>12391.651831048161</v>
      </c>
      <c r="Y52" s="88">
        <f>V52*FuelConsump!$BW52</f>
        <v>73.672127414079441</v>
      </c>
      <c r="Z52" s="97">
        <f>[1]Adjust_Truck_Freight!AC30</f>
        <v>20194.958203465601</v>
      </c>
      <c r="AA52" s="80">
        <f t="shared" si="13"/>
        <v>3110.0235633337034</v>
      </c>
      <c r="AB52" s="80">
        <f>Z52*FuelConsump!$BV52</f>
        <v>16983.95984911457</v>
      </c>
      <c r="AC52" s="80">
        <f>Z52*FuelConsump!$BW52</f>
        <v>100.97479101732802</v>
      </c>
      <c r="AD52" s="92">
        <v>565.06399999999996</v>
      </c>
      <c r="AE52" s="93">
        <v>3.109</v>
      </c>
      <c r="AF52" s="131">
        <f t="shared" si="6"/>
        <v>2</v>
      </c>
      <c r="AG52" s="93">
        <v>1.1379999999999999</v>
      </c>
      <c r="AH52" s="93"/>
      <c r="AI52" s="93">
        <v>12.74</v>
      </c>
      <c r="AJ52" s="95"/>
      <c r="AK52" s="86">
        <v>29.9</v>
      </c>
      <c r="AL52" s="86">
        <v>1.7</v>
      </c>
      <c r="AM52" s="86">
        <v>39.9</v>
      </c>
      <c r="AN52" s="86">
        <v>0.3</v>
      </c>
      <c r="AO52" s="86"/>
      <c r="AP52" s="70"/>
      <c r="AQ52" s="89">
        <f t="shared" si="22"/>
        <v>546</v>
      </c>
      <c r="AR52" s="89">
        <v>13</v>
      </c>
      <c r="AS52" s="98">
        <f t="shared" si="23"/>
        <v>195.3</v>
      </c>
      <c r="AT52" s="99">
        <v>4.6500000000000004</v>
      </c>
      <c r="AU52" s="74">
        <v>1994</v>
      </c>
      <c r="AV52" s="79">
        <v>48260</v>
      </c>
      <c r="AW52" s="88">
        <v>141544</v>
      </c>
      <c r="AX52" s="62">
        <v>1994</v>
      </c>
      <c r="AY52" s="117">
        <v>12475.5</v>
      </c>
      <c r="AZ52" s="117">
        <v>4310.8</v>
      </c>
      <c r="BA52" s="77">
        <v>266</v>
      </c>
      <c r="BB52" s="76">
        <v>464</v>
      </c>
      <c r="BC52" s="62">
        <v>1994</v>
      </c>
      <c r="BD52" s="92">
        <v>73.515872000000002</v>
      </c>
      <c r="BE52" s="95">
        <v>308.94811099999998</v>
      </c>
      <c r="BF52" s="76">
        <f>(FuelConsump!BD52*'[1]Fuel Heat Content'!$D$7/1000000)+(FuelConsump!BE52*'[1]Fuel Heat Content'!$C$21/1000000)</f>
        <v>11.250782401132</v>
      </c>
      <c r="BG52" s="111">
        <f>'[1]TEDB_Ed31_Table 9.10'!J35</f>
        <v>13.4</v>
      </c>
      <c r="BH52" s="101">
        <v>13.4</v>
      </c>
      <c r="BI52" s="95">
        <v>61.9</v>
      </c>
      <c r="BJ52" s="88">
        <v>1244</v>
      </c>
      <c r="BK52" s="88">
        <v>3431</v>
      </c>
      <c r="BL52" s="88">
        <v>282</v>
      </c>
      <c r="BM52" s="78">
        <v>3356</v>
      </c>
      <c r="BN52" s="62">
        <v>1994</v>
      </c>
      <c r="BO52" s="77">
        <f>'[1]MER Table 4.3_Nov2019'!I58*1000</f>
        <v>685362</v>
      </c>
      <c r="BP52" s="80">
        <f t="shared" si="15"/>
        <v>3106.1046906866077</v>
      </c>
      <c r="BQ52" s="81"/>
      <c r="BS52">
        <f t="shared" si="16"/>
        <v>1994</v>
      </c>
      <c r="BV52" s="103">
        <v>0.84099999999999997</v>
      </c>
      <c r="BW52" s="103">
        <v>5.0000000000000001E-3</v>
      </c>
      <c r="CB52">
        <v>9031.7715368473873</v>
      </c>
      <c r="CC52">
        <v>1463.1469889692769</v>
      </c>
      <c r="CD52">
        <v>7523.4656901938733</v>
      </c>
      <c r="CE52">
        <v>45.158857684236935</v>
      </c>
      <c r="CF52">
        <v>18652.739726027397</v>
      </c>
      <c r="CG52">
        <v>3021.7438356164384</v>
      </c>
      <c r="CH52">
        <v>15537.732191780822</v>
      </c>
      <c r="CI52">
        <v>93.263698630136986</v>
      </c>
      <c r="CK52" s="9"/>
      <c r="CL52" s="79">
        <v>67874</v>
      </c>
      <c r="CN52" s="11"/>
      <c r="CO52" s="86">
        <v>64.8</v>
      </c>
      <c r="CP52" s="86">
        <v>43.9</v>
      </c>
      <c r="CQ52" s="133">
        <v>2</v>
      </c>
      <c r="CR52" s="133">
        <f>(0.95*CP52-CQ52)</f>
        <v>39.704999999999998</v>
      </c>
      <c r="CS52" s="12"/>
      <c r="CX52" s="12"/>
      <c r="CZ52" s="80">
        <v>2026899</v>
      </c>
      <c r="DA52" s="80">
        <v>5944383</v>
      </c>
      <c r="DB52" s="80">
        <f t="shared" si="17"/>
        <v>48259.5</v>
      </c>
      <c r="DC52" s="80">
        <f t="shared" si="17"/>
        <v>141532.92857142858</v>
      </c>
      <c r="DD52" s="80">
        <f t="shared" si="8"/>
        <v>281.13089129999992</v>
      </c>
      <c r="DE52" s="80">
        <f t="shared" si="18"/>
        <v>889.87413509999988</v>
      </c>
      <c r="DF52" s="80">
        <f t="shared" si="19"/>
        <v>1171.0050263999997</v>
      </c>
      <c r="DG52" s="93">
        <v>0.77500000000000002</v>
      </c>
      <c r="DH52" s="93">
        <v>9.2999999999999999E-2</v>
      </c>
      <c r="DI52" s="80">
        <f t="shared" si="29"/>
        <v>300.63473532179995</v>
      </c>
      <c r="DJ52" s="104">
        <v>300.7</v>
      </c>
      <c r="DK52" s="80"/>
      <c r="DL52" s="80">
        <f t="shared" si="9"/>
        <v>-0.5</v>
      </c>
      <c r="DM52" s="80">
        <f t="shared" si="9"/>
        <v>-11.071428571420256</v>
      </c>
    </row>
    <row r="53" spans="1:119" ht="16.149999999999999" customHeight="1" x14ac:dyDescent="0.25">
      <c r="A53" s="62">
        <v>1995</v>
      </c>
      <c r="B53" s="79">
        <f t="shared" si="10"/>
        <v>68072</v>
      </c>
      <c r="C53" s="80">
        <f t="shared" si="11"/>
        <v>59631.072</v>
      </c>
      <c r="D53" s="80">
        <f>B53*0.112</f>
        <v>7624.0640000000003</v>
      </c>
      <c r="E53" s="88">
        <f>B53*0.012</f>
        <v>816.86400000000003</v>
      </c>
      <c r="F53" s="80"/>
      <c r="G53" s="80"/>
      <c r="H53" s="80"/>
      <c r="I53" s="80"/>
      <c r="J53" s="71">
        <v>198.26</v>
      </c>
      <c r="K53" s="64">
        <f t="shared" si="1"/>
        <v>198.26</v>
      </c>
      <c r="L53" s="96">
        <v>45605</v>
      </c>
      <c r="M53" s="80">
        <f t="shared" si="3"/>
        <v>38809.854999999996</v>
      </c>
      <c r="N53" s="80">
        <f>L53*0.112</f>
        <v>5107.76</v>
      </c>
      <c r="O53" s="80">
        <f>L53*0.034</f>
        <v>1550.5700000000002</v>
      </c>
      <c r="P53" s="88">
        <f>L53*0.003</f>
        <v>136.815</v>
      </c>
      <c r="Q53" s="80"/>
      <c r="R53" s="80"/>
      <c r="S53" s="80"/>
      <c r="T53" s="80"/>
      <c r="U53" s="80"/>
      <c r="V53" s="97">
        <f>[1]Adjust_Truck_Freight!AB31</f>
        <v>15034.975662928546</v>
      </c>
      <c r="W53" s="80">
        <f t="shared" si="12"/>
        <v>2210.1414224504974</v>
      </c>
      <c r="X53" s="80">
        <f>V53*FuelConsump!$BV53</f>
        <v>12749.659362163406</v>
      </c>
      <c r="Y53" s="88">
        <f>V53*FuelConsump!$BW53</f>
        <v>75.174878314642726</v>
      </c>
      <c r="Z53" s="97">
        <f>[1]Adjust_Truck_Freight!AC31</f>
        <v>21412.172917023876</v>
      </c>
      <c r="AA53" s="80">
        <f t="shared" si="13"/>
        <v>3147.58941880251</v>
      </c>
      <c r="AB53" s="80">
        <f>Z53*FuelConsump!$BV53</f>
        <v>18157.522633636247</v>
      </c>
      <c r="AC53" s="80">
        <f>Z53*FuelConsump!$BW53</f>
        <v>107.06086458511938</v>
      </c>
      <c r="AD53" s="92">
        <v>563.76700000000005</v>
      </c>
      <c r="AE53" s="93">
        <v>10.010999999999999</v>
      </c>
      <c r="AF53" s="93">
        <v>2.2999999999999998</v>
      </c>
      <c r="AG53" s="93">
        <v>1.7370000000000001</v>
      </c>
      <c r="AH53" s="93"/>
      <c r="AI53" s="93">
        <v>11.967000000000001</v>
      </c>
      <c r="AJ53" s="95">
        <v>0.3</v>
      </c>
      <c r="AK53" s="86">
        <v>29</v>
      </c>
      <c r="AL53" s="86">
        <v>0.7</v>
      </c>
      <c r="AM53" s="86">
        <v>38.200000000000003</v>
      </c>
      <c r="AN53" s="86">
        <v>0.5</v>
      </c>
      <c r="AO53" s="86"/>
      <c r="AP53" s="70"/>
      <c r="AQ53" s="89">
        <f t="shared" si="22"/>
        <v>545.16</v>
      </c>
      <c r="AR53" s="89">
        <v>12.98</v>
      </c>
      <c r="AS53" s="98">
        <f t="shared" si="23"/>
        <v>195.3</v>
      </c>
      <c r="AT53" s="99">
        <v>4.6500000000000004</v>
      </c>
      <c r="AU53" s="74">
        <v>1995</v>
      </c>
      <c r="AV53" s="79">
        <v>47098</v>
      </c>
      <c r="AW53" s="88">
        <v>153125</v>
      </c>
      <c r="AX53" s="62">
        <v>1995</v>
      </c>
      <c r="AY53" s="117">
        <v>12811.7</v>
      </c>
      <c r="AZ53" s="117">
        <v>4511.3999999999996</v>
      </c>
      <c r="BA53" s="77">
        <v>287</v>
      </c>
      <c r="BB53" s="76">
        <v>560</v>
      </c>
      <c r="BC53" s="62">
        <v>1995</v>
      </c>
      <c r="BD53" s="92">
        <v>72.370999999999995</v>
      </c>
      <c r="BE53" s="95">
        <v>335.81799999999998</v>
      </c>
      <c r="BF53" s="76">
        <f>(FuelConsump!BD53*'[1]Fuel Heat Content'!$D$7/1000000)+(FuelConsump!BE53*'[1]Fuel Heat Content'!$C$21/1000000)</f>
        <v>11.183668716</v>
      </c>
      <c r="BG53" s="111">
        <f>'[1]TEDB_Ed31_Table 9.10'!J36</f>
        <v>13.5</v>
      </c>
      <c r="BH53" s="95">
        <f>BF53</f>
        <v>11.183668716</v>
      </c>
      <c r="BI53" s="95">
        <v>63.064</v>
      </c>
      <c r="BJ53" s="88">
        <v>1253</v>
      </c>
      <c r="BK53" s="88">
        <v>3401</v>
      </c>
      <c r="BL53" s="88">
        <v>288</v>
      </c>
      <c r="BM53" s="78">
        <v>3503</v>
      </c>
      <c r="BN53" s="62">
        <v>1995</v>
      </c>
      <c r="BO53" s="77">
        <f>'[1]MER Table 4.3_Nov2019'!I59*1000</f>
        <v>700335</v>
      </c>
      <c r="BP53" s="80">
        <f t="shared" si="15"/>
        <v>3173.9632902787221</v>
      </c>
      <c r="BQ53" s="81"/>
      <c r="BS53">
        <f t="shared" si="16"/>
        <v>1995</v>
      </c>
      <c r="BV53" s="103">
        <v>0.84799999999999998</v>
      </c>
      <c r="BW53" s="103">
        <v>5.0000000000000001E-3</v>
      </c>
      <c r="CB53">
        <v>9216</v>
      </c>
      <c r="CC53">
        <v>1486.836</v>
      </c>
      <c r="CD53">
        <v>7645.2739999999994</v>
      </c>
      <c r="CE53">
        <v>45.89</v>
      </c>
      <c r="CF53">
        <v>19777</v>
      </c>
      <c r="CG53">
        <v>3203.8740000000003</v>
      </c>
      <c r="CH53">
        <v>16474.240999999998</v>
      </c>
      <c r="CI53">
        <v>98.885000000000005</v>
      </c>
      <c r="CK53" s="9"/>
      <c r="CL53" s="79">
        <v>68072</v>
      </c>
      <c r="CN53" s="11"/>
      <c r="CO53" s="86">
        <v>71.5</v>
      </c>
      <c r="CP53" s="86">
        <v>42.8</v>
      </c>
      <c r="CQ53" s="133">
        <v>2</v>
      </c>
      <c r="CR53" s="133">
        <f>(0.95*CP53-CQ53)</f>
        <v>38.659999999999997</v>
      </c>
      <c r="CS53" s="12"/>
      <c r="CX53" s="12"/>
      <c r="CZ53" s="80">
        <v>1978105</v>
      </c>
      <c r="DA53" s="80">
        <v>6431238</v>
      </c>
      <c r="DB53" s="80">
        <f t="shared" si="17"/>
        <v>47097.738095238092</v>
      </c>
      <c r="DC53" s="80">
        <f t="shared" si="17"/>
        <v>153124.71428571429</v>
      </c>
      <c r="DD53" s="80">
        <f t="shared" si="8"/>
        <v>274.36316349999998</v>
      </c>
      <c r="DE53" s="80">
        <f t="shared" si="18"/>
        <v>962.75632859999985</v>
      </c>
      <c r="DF53" s="80">
        <f t="shared" si="19"/>
        <v>1237.1194920999999</v>
      </c>
      <c r="DG53" s="93">
        <v>0.77500000000000002</v>
      </c>
      <c r="DH53" s="93">
        <v>9.2999999999999999E-2</v>
      </c>
      <c r="DI53" s="80">
        <f t="shared" si="29"/>
        <v>302.16779027229995</v>
      </c>
      <c r="DJ53" s="104">
        <v>302.2</v>
      </c>
      <c r="DK53" s="80"/>
      <c r="DL53" s="80">
        <f t="shared" si="9"/>
        <v>-0.26190476190822665</v>
      </c>
      <c r="DM53" s="80">
        <f t="shared" si="9"/>
        <v>-0.28571428571012802</v>
      </c>
    </row>
    <row r="54" spans="1:119" ht="15" customHeight="1" x14ac:dyDescent="0.25">
      <c r="A54" s="62">
        <v>1996</v>
      </c>
      <c r="B54" s="79">
        <f t="shared" si="10"/>
        <v>69221</v>
      </c>
      <c r="C54" s="80">
        <f t="shared" si="11"/>
        <v>61537.468999999997</v>
      </c>
      <c r="D54" s="80">
        <f>B54*0.101</f>
        <v>6991.3210000000008</v>
      </c>
      <c r="E54" s="88">
        <f>B54*0.01</f>
        <v>692.21</v>
      </c>
      <c r="F54" s="80"/>
      <c r="G54" s="80"/>
      <c r="H54" s="80"/>
      <c r="I54" s="80"/>
      <c r="J54" s="71">
        <v>195.94</v>
      </c>
      <c r="K54" s="64">
        <f t="shared" si="1"/>
        <v>195.94</v>
      </c>
      <c r="L54" s="63">
        <f>47354029/1000</f>
        <v>47354.029000000002</v>
      </c>
      <c r="M54" s="80">
        <f t="shared" si="3"/>
        <v>40819.172998000002</v>
      </c>
      <c r="N54" s="80">
        <f>L54*0.101</f>
        <v>4782.7569290000001</v>
      </c>
      <c r="O54" s="80">
        <f>L54*0.034</f>
        <v>1610.0369860000003</v>
      </c>
      <c r="P54" s="88">
        <f>L54*0.003</f>
        <v>142.06208700000002</v>
      </c>
      <c r="Q54" s="80"/>
      <c r="R54" s="80"/>
      <c r="S54" s="80"/>
      <c r="T54" s="80"/>
      <c r="U54" s="80"/>
      <c r="V54" s="97">
        <f>[1]Adjust_Truck_Freight!AB32</f>
        <v>15349.651373724479</v>
      </c>
      <c r="W54" s="80">
        <f t="shared" si="12"/>
        <v>2133.6015409477027</v>
      </c>
      <c r="X54" s="80">
        <f>V54*FuelConsump!$BV54</f>
        <v>13139.301575908154</v>
      </c>
      <c r="Y54" s="88">
        <f>V54*FuelConsump!$BW54</f>
        <v>76.748256868622391</v>
      </c>
      <c r="Z54" s="138">
        <f>[1]Adjust_Truck_Freight!AC32</f>
        <v>21862.040753666006</v>
      </c>
      <c r="AA54" s="80">
        <f t="shared" si="13"/>
        <v>3038.8236647595741</v>
      </c>
      <c r="AB54" s="80">
        <f>Z54*FuelConsump!$BV54</f>
        <v>18713.906885138102</v>
      </c>
      <c r="AC54" s="80">
        <f>Z54*FuelConsump!$BW54</f>
        <v>109.31020376833003</v>
      </c>
      <c r="AD54" s="92">
        <v>577.67999999999995</v>
      </c>
      <c r="AE54" s="93">
        <v>11.526999999999999</v>
      </c>
      <c r="AF54" s="93">
        <v>1.8</v>
      </c>
      <c r="AG54" s="93">
        <v>2.278</v>
      </c>
      <c r="AH54" s="93"/>
      <c r="AI54" s="93">
        <v>11.6</v>
      </c>
      <c r="AJ54" s="95">
        <v>0.6</v>
      </c>
      <c r="AK54" s="86">
        <v>30.9</v>
      </c>
      <c r="AL54" s="86">
        <v>3.6</v>
      </c>
      <c r="AM54" s="86">
        <v>37.200000000000003</v>
      </c>
      <c r="AN54" s="86">
        <v>0.6</v>
      </c>
      <c r="AO54" s="86"/>
      <c r="AP54" s="70"/>
      <c r="AQ54" s="89">
        <f t="shared" si="22"/>
        <v>545.16</v>
      </c>
      <c r="AR54" s="89">
        <v>12.98</v>
      </c>
      <c r="AS54" s="98">
        <f t="shared" si="23"/>
        <v>199.92</v>
      </c>
      <c r="AT54" s="99">
        <v>4.76</v>
      </c>
      <c r="AU54" s="74">
        <v>1996</v>
      </c>
      <c r="AV54" s="79">
        <v>51848</v>
      </c>
      <c r="AW54" s="88">
        <v>138214</v>
      </c>
      <c r="AX54" s="62">
        <v>1996</v>
      </c>
      <c r="AY54" s="117">
        <v>13187.3</v>
      </c>
      <c r="AZ54" s="117">
        <v>4658.1000000000004</v>
      </c>
      <c r="BA54" s="77">
        <v>289</v>
      </c>
      <c r="BB54" s="76">
        <v>608</v>
      </c>
      <c r="BC54" s="62">
        <v>1996</v>
      </c>
      <c r="BD54" s="92">
        <v>71.225999999999999</v>
      </c>
      <c r="BE54" s="95">
        <v>362.86900000000003</v>
      </c>
      <c r="BF54" s="76">
        <f>(FuelConsump!BD54*'[1]Fuel Heat Content'!$D$7/1000000)+(FuelConsump!BE54*'[1]Fuel Heat Content'!$C$21/1000000)</f>
        <v>11.117155228</v>
      </c>
      <c r="BG54" s="111">
        <f>'[1]TEDB_Ed31_Table 9.10'!J37</f>
        <v>13.6</v>
      </c>
      <c r="BH54" s="95">
        <f t="shared" ref="BH54:BH60" si="30">BF54</f>
        <v>11.117155228</v>
      </c>
      <c r="BI54" s="139">
        <v>61.887999999999998</v>
      </c>
      <c r="BJ54" s="78">
        <v>1255</v>
      </c>
      <c r="BK54" s="78">
        <v>3332</v>
      </c>
      <c r="BL54" s="78">
        <v>321</v>
      </c>
      <c r="BM54" s="78">
        <v>3601</v>
      </c>
      <c r="BN54" s="62">
        <v>1996</v>
      </c>
      <c r="BO54" s="77">
        <f>'[1]MER Table 4.3_Nov2019'!I60*1000</f>
        <v>711446</v>
      </c>
      <c r="BP54" s="80">
        <f t="shared" si="15"/>
        <v>3224.3190573306142</v>
      </c>
      <c r="BQ54" s="81"/>
      <c r="BS54">
        <f t="shared" si="16"/>
        <v>1996</v>
      </c>
      <c r="BV54" s="103">
        <v>0.85599999999999998</v>
      </c>
      <c r="BW54" s="103">
        <v>5.0000000000000001E-3</v>
      </c>
      <c r="CB54">
        <v>9408.8870000000006</v>
      </c>
      <c r="CC54">
        <v>1524.2396940000001</v>
      </c>
      <c r="CD54">
        <v>7837.6028710000001</v>
      </c>
      <c r="CE54">
        <v>47.044435000000007</v>
      </c>
      <c r="CF54">
        <v>20192.512999999999</v>
      </c>
      <c r="CG54">
        <v>3271.1871059999999</v>
      </c>
      <c r="CH54">
        <v>16820.363329</v>
      </c>
      <c r="CI54">
        <v>100.962565</v>
      </c>
      <c r="CK54" s="9"/>
      <c r="CL54" s="79">
        <v>69221</v>
      </c>
      <c r="CN54" s="11"/>
      <c r="CQ54" s="140">
        <v>2.2999999999999998</v>
      </c>
      <c r="CS54" s="12"/>
      <c r="CX54" s="12"/>
      <c r="CZ54" s="80">
        <v>2177608</v>
      </c>
      <c r="DA54" s="80">
        <v>5804977</v>
      </c>
      <c r="DB54" s="80">
        <f t="shared" si="17"/>
        <v>51847.809523809527</v>
      </c>
      <c r="DC54" s="80">
        <f t="shared" si="17"/>
        <v>138213.73809523811</v>
      </c>
      <c r="DD54" s="80">
        <f t="shared" si="8"/>
        <v>302.03422959999995</v>
      </c>
      <c r="DE54" s="80">
        <f t="shared" si="18"/>
        <v>869.00505689999989</v>
      </c>
      <c r="DF54" s="80">
        <f t="shared" si="19"/>
        <v>1171.0392864999999</v>
      </c>
      <c r="DG54" s="93">
        <v>0.77500000000000002</v>
      </c>
      <c r="DH54" s="93">
        <v>9.2999999999999999E-2</v>
      </c>
      <c r="DI54" s="80">
        <f t="shared" si="29"/>
        <v>314.89399823169998</v>
      </c>
      <c r="DJ54" s="104">
        <v>314.89999999999998</v>
      </c>
      <c r="DK54" s="80"/>
      <c r="DL54" s="80">
        <f t="shared" si="9"/>
        <v>-0.19047619047341868</v>
      </c>
      <c r="DM54" s="80">
        <f t="shared" si="9"/>
        <v>-0.26190476189367473</v>
      </c>
    </row>
    <row r="55" spans="1:119" x14ac:dyDescent="0.25">
      <c r="A55" s="62">
        <v>1997</v>
      </c>
      <c r="B55" s="79">
        <f t="shared" si="10"/>
        <v>69892</v>
      </c>
      <c r="C55" s="80">
        <f t="shared" si="11"/>
        <v>60456.58</v>
      </c>
      <c r="D55" s="80">
        <f>B55*0.122</f>
        <v>8526.8240000000005</v>
      </c>
      <c r="E55" s="88">
        <f>B55*0.013</f>
        <v>908.596</v>
      </c>
      <c r="F55" s="80"/>
      <c r="G55" s="80"/>
      <c r="H55" s="80"/>
      <c r="I55" s="80"/>
      <c r="J55" s="71">
        <v>201.62</v>
      </c>
      <c r="K55" s="64">
        <f t="shared" si="1"/>
        <v>201.62</v>
      </c>
      <c r="L55" s="79">
        <v>49388</v>
      </c>
      <c r="M55" s="80">
        <f t="shared" si="3"/>
        <v>41584.695999999996</v>
      </c>
      <c r="N55" s="80">
        <f>L55*0.122</f>
        <v>6025.3360000000002</v>
      </c>
      <c r="O55" s="80">
        <f>L55*0.034</f>
        <v>1679.192</v>
      </c>
      <c r="P55" s="88">
        <f>L55*0.002</f>
        <v>98.775999999999996</v>
      </c>
      <c r="Q55" s="80"/>
      <c r="R55" s="80"/>
      <c r="S55" s="80"/>
      <c r="T55" s="80"/>
      <c r="U55" s="80"/>
      <c r="V55" s="97">
        <f>[1]Adjust_Truck_Freight!AB33</f>
        <v>15622.37565231856</v>
      </c>
      <c r="W55" s="80">
        <f t="shared" si="12"/>
        <v>2062.1535861060506</v>
      </c>
      <c r="X55" s="80">
        <f>V55*FuelConsump!$BV55</f>
        <v>13482.110187950917</v>
      </c>
      <c r="Y55" s="88">
        <f>V55*FuelConsump!$BW55</f>
        <v>78.111878261592807</v>
      </c>
      <c r="Z55" s="138">
        <f>[1]Adjust_Truck_Freight!AC33</f>
        <v>21980.247814346625</v>
      </c>
      <c r="AA55" s="80">
        <f t="shared" si="13"/>
        <v>2901.3927114937537</v>
      </c>
      <c r="AB55" s="80">
        <f>Z55*FuelConsump!$BV55</f>
        <v>18968.953863781138</v>
      </c>
      <c r="AC55" s="80">
        <f>Z55*FuelConsump!$BW55</f>
        <v>109.90123907173313</v>
      </c>
      <c r="AD55" s="92">
        <v>597.63599999999997</v>
      </c>
      <c r="AE55" s="93">
        <v>20.05</v>
      </c>
      <c r="AF55" s="93">
        <v>2.7</v>
      </c>
      <c r="AG55" s="93">
        <v>3.2759999999999998</v>
      </c>
      <c r="AH55" s="93"/>
      <c r="AI55" s="93">
        <v>8.7050000000000001</v>
      </c>
      <c r="AJ55" s="95">
        <v>1</v>
      </c>
      <c r="AK55" s="86">
        <v>32</v>
      </c>
      <c r="AL55" s="86">
        <v>3.9</v>
      </c>
      <c r="AM55" s="86">
        <v>35.700000000000003</v>
      </c>
      <c r="AN55" s="86">
        <v>0.8</v>
      </c>
      <c r="AO55" s="86"/>
      <c r="AP55" s="70"/>
      <c r="AQ55" s="89">
        <f t="shared" si="22"/>
        <v>544.74</v>
      </c>
      <c r="AR55" s="89">
        <v>12.97</v>
      </c>
      <c r="AS55" s="98">
        <f t="shared" si="23"/>
        <v>212.51999999999998</v>
      </c>
      <c r="AT55" s="99">
        <v>5.0599999999999996</v>
      </c>
      <c r="AU55" s="74">
        <v>1997</v>
      </c>
      <c r="AV55" s="79">
        <v>50180</v>
      </c>
      <c r="AW55" s="88">
        <v>114044</v>
      </c>
      <c r="AX55" s="62">
        <v>1997</v>
      </c>
      <c r="AY55" s="117">
        <v>13659.6</v>
      </c>
      <c r="AZ55" s="117">
        <v>4964.2</v>
      </c>
      <c r="BA55" s="77">
        <v>289</v>
      </c>
      <c r="BB55" s="76">
        <v>642</v>
      </c>
      <c r="BC55" s="62">
        <v>1997</v>
      </c>
      <c r="BD55" s="92">
        <v>75.676000000000002</v>
      </c>
      <c r="BE55" s="95">
        <v>389.5590555</v>
      </c>
      <c r="BF55" s="76">
        <f>(FuelConsump!BD55*'[1]Fuel Heat Content'!$D$7/1000000)+(FuelConsump!BE55*'[1]Fuel Heat Content'!$C$21/1000000)</f>
        <v>11.825436697366001</v>
      </c>
      <c r="BG55" s="111">
        <f>'[1]TEDB_Ed31_Table 9.10'!J38</f>
        <v>14.5</v>
      </c>
      <c r="BH55" s="95">
        <f t="shared" si="30"/>
        <v>11.825436697366001</v>
      </c>
      <c r="BI55" s="139">
        <v>63.195</v>
      </c>
      <c r="BJ55" s="78">
        <v>1270</v>
      </c>
      <c r="BK55" s="78">
        <v>3253</v>
      </c>
      <c r="BL55" s="78">
        <v>361</v>
      </c>
      <c r="BM55" s="78">
        <v>3603</v>
      </c>
      <c r="BN55" s="62">
        <v>1997</v>
      </c>
      <c r="BO55" s="77">
        <f>'[1]MER Table 4.3_Nov2019'!I61*1000</f>
        <v>751470</v>
      </c>
      <c r="BP55" s="80">
        <f t="shared" si="15"/>
        <v>3405.7104010876956</v>
      </c>
      <c r="BQ55" s="81"/>
      <c r="BS55">
        <f t="shared" si="16"/>
        <v>1997</v>
      </c>
      <c r="BV55" s="103">
        <v>0.86299999999999999</v>
      </c>
      <c r="BW55" s="103">
        <v>5.0000000000000001E-3</v>
      </c>
      <c r="BZ55" s="141"/>
      <c r="CA55" s="141"/>
      <c r="CB55" s="141">
        <v>9576.0589999999993</v>
      </c>
      <c r="CC55">
        <v>1187.4313159999999</v>
      </c>
      <c r="CD55">
        <v>8340.7473890000001</v>
      </c>
      <c r="CE55">
        <v>47.880294999999997</v>
      </c>
      <c r="CF55">
        <v>20301.692999999999</v>
      </c>
      <c r="CG55" s="141">
        <v>2517.409932</v>
      </c>
      <c r="CH55" s="141">
        <v>17682.774602999998</v>
      </c>
      <c r="CI55" s="141">
        <v>101.508465</v>
      </c>
      <c r="CK55" s="9"/>
      <c r="CL55" s="79">
        <v>69892</v>
      </c>
      <c r="CN55" s="11"/>
      <c r="CQ55" s="140">
        <v>1.8</v>
      </c>
      <c r="CS55" s="12"/>
      <c r="CX55" s="12"/>
      <c r="CZ55" s="80">
        <v>2107561</v>
      </c>
      <c r="DA55" s="80">
        <v>4789861</v>
      </c>
      <c r="DB55" s="80">
        <f t="shared" si="17"/>
        <v>50180.023809523809</v>
      </c>
      <c r="DC55" s="80">
        <f t="shared" si="17"/>
        <v>114044.30952380953</v>
      </c>
      <c r="DD55" s="80">
        <f t="shared" si="8"/>
        <v>292.3187107</v>
      </c>
      <c r="DE55" s="80">
        <f t="shared" si="18"/>
        <v>717.04219169999988</v>
      </c>
      <c r="DF55" s="80">
        <f t="shared" si="19"/>
        <v>1009.3609023999999</v>
      </c>
      <c r="DG55" s="93">
        <v>0.77500000000000002</v>
      </c>
      <c r="DH55" s="93">
        <v>9.2999999999999999E-2</v>
      </c>
      <c r="DI55" s="80">
        <f t="shared" si="29"/>
        <v>293.23192462060001</v>
      </c>
      <c r="DJ55" s="104">
        <v>293.2</v>
      </c>
      <c r="DK55" s="80"/>
      <c r="DL55" s="80">
        <f t="shared" si="9"/>
        <v>2.3809523809177335E-2</v>
      </c>
      <c r="DM55" s="80">
        <f t="shared" si="9"/>
        <v>0.30952380952658132</v>
      </c>
    </row>
    <row r="56" spans="1:119" x14ac:dyDescent="0.25">
      <c r="A56" s="62">
        <v>1998</v>
      </c>
      <c r="B56" s="79">
        <f t="shared" si="10"/>
        <v>71695</v>
      </c>
      <c r="C56" s="80">
        <f t="shared" si="11"/>
        <v>63019.905000000006</v>
      </c>
      <c r="D56" s="80">
        <f>B56*0.112</f>
        <v>8029.84</v>
      </c>
      <c r="E56" s="88">
        <f>B56*0.009</f>
        <v>645.255</v>
      </c>
      <c r="F56" s="80"/>
      <c r="G56" s="80"/>
      <c r="H56" s="80"/>
      <c r="I56" s="80"/>
      <c r="J56" s="71">
        <v>205.66</v>
      </c>
      <c r="K56" s="64">
        <f t="shared" si="1"/>
        <v>205.66</v>
      </c>
      <c r="L56" s="79">
        <f>50462250/1000</f>
        <v>50462.25</v>
      </c>
      <c r="M56" s="80">
        <f t="shared" si="3"/>
        <v>42892.912500000006</v>
      </c>
      <c r="N56" s="80">
        <f>L56*0.112</f>
        <v>5651.7719999999999</v>
      </c>
      <c r="O56" s="80">
        <f>L56*0.035</f>
        <v>1766.1787500000003</v>
      </c>
      <c r="P56" s="88">
        <f>L56*0.003</f>
        <v>151.38675000000001</v>
      </c>
      <c r="Q56" s="80"/>
      <c r="R56" s="80"/>
      <c r="S56" s="80"/>
      <c r="T56" s="80"/>
      <c r="U56" s="80"/>
      <c r="V56" s="97">
        <f>[1]Adjust_Truck_Freight!AB34</f>
        <v>15891.412968564751</v>
      </c>
      <c r="W56" s="80">
        <f t="shared" si="12"/>
        <v>1970.5352081020299</v>
      </c>
      <c r="X56" s="80">
        <f>V56*FuelConsump!$BV56</f>
        <v>13841.420695619898</v>
      </c>
      <c r="Y56" s="88">
        <f>V56*FuelConsump!$BW56</f>
        <v>79.457064842823755</v>
      </c>
      <c r="Z56" s="138">
        <f>[1]Adjust_Truck_Freight!AC34</f>
        <v>24092.282990002463</v>
      </c>
      <c r="AA56" s="80">
        <f t="shared" si="13"/>
        <v>2987.4430907603055</v>
      </c>
      <c r="AB56" s="80">
        <f>Z56*FuelConsump!$BV56</f>
        <v>20984.378484292145</v>
      </c>
      <c r="AC56" s="88">
        <f>Z56*FuelConsump!$BW56</f>
        <v>120.46141495001231</v>
      </c>
      <c r="AD56" s="93">
        <v>606.63099999999997</v>
      </c>
      <c r="AE56" s="93">
        <v>32.619999999999997</v>
      </c>
      <c r="AF56" s="93">
        <v>2</v>
      </c>
      <c r="AG56" s="93">
        <v>3.0750000000000002</v>
      </c>
      <c r="AH56" s="93"/>
      <c r="AI56" s="93">
        <v>4.976</v>
      </c>
      <c r="AJ56" s="95">
        <v>0.9</v>
      </c>
      <c r="AK56" s="86">
        <v>38.299999999999997</v>
      </c>
      <c r="AL56" s="86">
        <v>4.5999999999999996</v>
      </c>
      <c r="AM56" s="86">
        <v>29.5</v>
      </c>
      <c r="AN56" s="86">
        <v>2.2999999999999998</v>
      </c>
      <c r="AO56" s="86"/>
      <c r="AP56" s="70"/>
      <c r="AQ56" s="89">
        <f t="shared" si="22"/>
        <v>550.19999999999993</v>
      </c>
      <c r="AR56" s="89">
        <v>13.1</v>
      </c>
      <c r="AS56" s="98">
        <f t="shared" si="23"/>
        <v>220.08</v>
      </c>
      <c r="AT56" s="99">
        <v>5.24</v>
      </c>
      <c r="AU56" s="74">
        <v>1998</v>
      </c>
      <c r="AV56" s="79">
        <v>50609</v>
      </c>
      <c r="AW56" s="88">
        <v>110480</v>
      </c>
      <c r="AX56" s="62">
        <v>1998</v>
      </c>
      <c r="AY56" s="117">
        <v>13877</v>
      </c>
      <c r="AZ56" s="117">
        <v>5185.6000000000004</v>
      </c>
      <c r="BA56" s="77">
        <v>311</v>
      </c>
      <c r="BB56" s="76">
        <v>815</v>
      </c>
      <c r="BC56" s="62">
        <v>1998</v>
      </c>
      <c r="BD56" s="92">
        <v>75.999498000000003</v>
      </c>
      <c r="BE56" s="95">
        <v>416.42937030000002</v>
      </c>
      <c r="BF56" s="76">
        <f>(FuelConsump!BD56*'[1]Fuel Heat Content'!$D$7/1000000)+(FuelConsump!BE56*'[1]Fuel Heat Content'!$C$21/1000000)</f>
        <v>11.961987384063599</v>
      </c>
      <c r="BG56" s="111">
        <f>'[1]TEDB_Ed31_Table 9.10'!J39</f>
        <v>14.8</v>
      </c>
      <c r="BH56" s="95">
        <f t="shared" si="30"/>
        <v>11.961987384063599</v>
      </c>
      <c r="BI56" s="139">
        <v>69.2</v>
      </c>
      <c r="BJ56" s="78">
        <v>1298</v>
      </c>
      <c r="BK56" s="78">
        <v>3280</v>
      </c>
      <c r="BL56" s="78">
        <v>381</v>
      </c>
      <c r="BM56" s="78">
        <v>3619</v>
      </c>
      <c r="BN56" s="62">
        <v>1998</v>
      </c>
      <c r="BO56" s="77">
        <f>'[1]MER Table 4.3_Nov2019'!I62*1000</f>
        <v>635477</v>
      </c>
      <c r="BP56" s="80">
        <f t="shared" si="15"/>
        <v>2880.0226603217766</v>
      </c>
      <c r="BQ56" s="81"/>
      <c r="BS56">
        <f t="shared" si="16"/>
        <v>1998</v>
      </c>
      <c r="BV56" s="103">
        <v>0.871</v>
      </c>
      <c r="BW56" s="103">
        <v>5.0000000000000001E-3</v>
      </c>
      <c r="BZ56" s="141"/>
      <c r="CA56" s="141"/>
      <c r="CB56" s="141">
        <v>9740.9709999999995</v>
      </c>
      <c r="CC56" s="141">
        <v>1207.880404</v>
      </c>
      <c r="CD56" s="141">
        <v>8484.3857410000001</v>
      </c>
      <c r="CE56" s="141">
        <v>48.704855000000002</v>
      </c>
      <c r="CF56" s="142">
        <f>BY89</f>
        <v>22252.439420310111</v>
      </c>
      <c r="CG56" s="141">
        <v>2759.3024881184538</v>
      </c>
      <c r="CH56" s="141">
        <v>19381.874735090107</v>
      </c>
      <c r="CI56" s="141">
        <v>111.26219710155056</v>
      </c>
      <c r="CK56" s="9"/>
      <c r="CL56" s="79">
        <v>71695</v>
      </c>
      <c r="CN56" s="11"/>
      <c r="CQ56" s="140">
        <v>2.7</v>
      </c>
      <c r="CS56" s="12"/>
      <c r="CX56" s="12"/>
      <c r="CZ56" s="80">
        <v>2125568</v>
      </c>
      <c r="DA56" s="80">
        <v>4640153</v>
      </c>
      <c r="DB56" s="80">
        <f t="shared" si="17"/>
        <v>50608.761904761908</v>
      </c>
      <c r="DC56" s="80">
        <f t="shared" si="17"/>
        <v>110479.83333333333</v>
      </c>
      <c r="DD56" s="80">
        <f t="shared" si="8"/>
        <v>294.81628159999997</v>
      </c>
      <c r="DE56" s="80">
        <f t="shared" si="18"/>
        <v>694.63090409999984</v>
      </c>
      <c r="DF56" s="80">
        <f t="shared" si="19"/>
        <v>989.44718569999986</v>
      </c>
      <c r="DG56" s="93">
        <v>0.77500000000000002</v>
      </c>
      <c r="DH56" s="93">
        <v>9.2999999999999999E-2</v>
      </c>
      <c r="DI56" s="80">
        <f t="shared" si="29"/>
        <v>293.08329232129995</v>
      </c>
      <c r="DJ56" s="104">
        <v>293.10000000000002</v>
      </c>
      <c r="DK56" s="80"/>
      <c r="DL56" s="80">
        <f t="shared" si="9"/>
        <v>-0.23809523809177335</v>
      </c>
      <c r="DM56" s="80">
        <f t="shared" si="9"/>
        <v>-0.16666666667151731</v>
      </c>
    </row>
    <row r="57" spans="1:119" ht="13" thickBot="1" x14ac:dyDescent="0.3">
      <c r="A57" s="62">
        <v>1999</v>
      </c>
      <c r="B57" s="79">
        <f t="shared" si="10"/>
        <v>73283</v>
      </c>
      <c r="C57" s="80">
        <f t="shared" si="11"/>
        <v>64782.172000000006</v>
      </c>
      <c r="D57" s="80">
        <f>B57*0.11</f>
        <v>8061.13</v>
      </c>
      <c r="E57" s="80">
        <f>B57*0.006</f>
        <v>439.69800000000004</v>
      </c>
      <c r="F57" s="80"/>
      <c r="G57" s="80"/>
      <c r="H57" s="80"/>
      <c r="I57" s="80"/>
      <c r="J57" s="72">
        <v>211.68</v>
      </c>
      <c r="K57" s="65">
        <f t="shared" si="1"/>
        <v>211.68</v>
      </c>
      <c r="L57" s="80">
        <f>52859068/1000</f>
        <v>52859.067999999999</v>
      </c>
      <c r="M57" s="80">
        <f t="shared" si="3"/>
        <v>44930.207800000004</v>
      </c>
      <c r="N57" s="80">
        <f>L57*0.11</f>
        <v>5814.49748</v>
      </c>
      <c r="O57" s="80">
        <f>L57*0.036</f>
        <v>1902.9264479999999</v>
      </c>
      <c r="P57" s="88">
        <f>L57*0.004</f>
        <v>211.436272</v>
      </c>
      <c r="Q57" s="80"/>
      <c r="R57" s="80"/>
      <c r="S57" s="80"/>
      <c r="T57" s="80"/>
      <c r="U57" s="80"/>
      <c r="V57" s="97">
        <f>[1]Adjust_Truck_Freight!AB35</f>
        <v>15289.589778237674</v>
      </c>
      <c r="W57" s="80">
        <f t="shared" si="12"/>
        <v>1850.0403631667587</v>
      </c>
      <c r="X57" s="80">
        <f>V57*FuelConsump!$BV57</f>
        <v>13363.101466179727</v>
      </c>
      <c r="Y57" s="88">
        <f>V57*FuelConsump!$BW57</f>
        <v>76.447948891188375</v>
      </c>
      <c r="Z57" s="138">
        <f>[1]Adjust_Truck_Freight!AC35</f>
        <v>26566.07871569744</v>
      </c>
      <c r="AA57" s="80">
        <f t="shared" si="13"/>
        <v>3214.4955245993906</v>
      </c>
      <c r="AB57" s="80">
        <f>Z57*FuelConsump!$BV57</f>
        <v>23218.752797519563</v>
      </c>
      <c r="AC57" s="88">
        <f>Z57*FuelConsump!$BW57</f>
        <v>132.83039357848719</v>
      </c>
      <c r="AD57" s="107">
        <v>618.20399999999995</v>
      </c>
      <c r="AE57" s="107">
        <v>39.860999999999997</v>
      </c>
      <c r="AF57" s="107">
        <v>1.4</v>
      </c>
      <c r="AG57" s="107">
        <v>5.2510000000000003</v>
      </c>
      <c r="AH57" s="107"/>
      <c r="AI57" s="107">
        <v>2.7109999999999999</v>
      </c>
      <c r="AJ57" s="123">
        <v>0.7</v>
      </c>
      <c r="AK57" s="86">
        <v>43.2</v>
      </c>
      <c r="AL57" s="86">
        <v>4.5</v>
      </c>
      <c r="AM57" s="86">
        <v>26.8</v>
      </c>
      <c r="AN57" s="86">
        <v>2.4</v>
      </c>
      <c r="AO57" s="86"/>
      <c r="AP57" s="70"/>
      <c r="AQ57" s="89">
        <f t="shared" si="22"/>
        <v>555.66</v>
      </c>
      <c r="AR57" s="89">
        <v>13.23</v>
      </c>
      <c r="AS57" s="98">
        <f t="shared" si="23"/>
        <v>241.08</v>
      </c>
      <c r="AT57" s="99">
        <v>5.74</v>
      </c>
      <c r="AU57" s="74">
        <v>1999</v>
      </c>
      <c r="AV57" s="79">
        <v>49157</v>
      </c>
      <c r="AW57" s="88">
        <v>133301</v>
      </c>
      <c r="AX57" s="62">
        <v>1999</v>
      </c>
      <c r="AY57" s="117">
        <v>14402.1</v>
      </c>
      <c r="AZ57" s="117">
        <v>5250.5</v>
      </c>
      <c r="BA57" s="77">
        <v>345.4</v>
      </c>
      <c r="BB57" s="76">
        <v>967.3</v>
      </c>
      <c r="BC57" s="62">
        <v>1999</v>
      </c>
      <c r="BD57" s="92">
        <v>79.172600000000003</v>
      </c>
      <c r="BE57" s="95">
        <v>443.2996852</v>
      </c>
      <c r="BF57" s="76">
        <f>(FuelConsump!BD57*'[1]Fuel Heat Content'!$D$7/1000000)+(FuelConsump!BE57*'[1]Fuel Heat Content'!$C$21/1000000)</f>
        <v>12.4937781459024</v>
      </c>
      <c r="BG57" s="111">
        <f>'[1]TEDB_Ed31_Table 9.10'!J40</f>
        <v>15.6</v>
      </c>
      <c r="BH57" s="95">
        <f t="shared" si="30"/>
        <v>12.4937781459024</v>
      </c>
      <c r="BI57" s="143">
        <v>73.004999999999995</v>
      </c>
      <c r="BJ57" s="110">
        <v>1322</v>
      </c>
      <c r="BK57" s="110">
        <v>3385</v>
      </c>
      <c r="BL57" s="110">
        <v>416</v>
      </c>
      <c r="BM57" s="78">
        <v>3749</v>
      </c>
      <c r="BN57" s="62">
        <v>1999</v>
      </c>
      <c r="BO57" s="77">
        <f>'[1]MER Table 4.3_Nov2019'!I63*1000</f>
        <v>645319</v>
      </c>
      <c r="BP57" s="80">
        <f t="shared" si="15"/>
        <v>2924.6272377067753</v>
      </c>
      <c r="BQ57" s="81"/>
      <c r="BS57">
        <f t="shared" si="16"/>
        <v>1999</v>
      </c>
      <c r="BV57" s="103">
        <v>0.874</v>
      </c>
      <c r="BW57" s="103">
        <v>5.0000000000000001E-3</v>
      </c>
      <c r="BZ57" s="141"/>
      <c r="CA57" s="141"/>
      <c r="CB57" s="141">
        <v>9372.0709999999999</v>
      </c>
      <c r="CC57" s="141">
        <v>1162.136804</v>
      </c>
      <c r="CD57" s="141">
        <v>8163.0738409999994</v>
      </c>
      <c r="CE57" s="141">
        <v>46.860354999999998</v>
      </c>
      <c r="CF57" s="141">
        <v>24537.32</v>
      </c>
      <c r="CG57" s="141">
        <v>3042.6276800000001</v>
      </c>
      <c r="CH57" s="141">
        <v>21372.005720000001</v>
      </c>
      <c r="CI57" s="141">
        <v>122.6866</v>
      </c>
      <c r="CK57" s="9"/>
      <c r="CL57" s="79">
        <v>73283</v>
      </c>
      <c r="CN57" s="11"/>
      <c r="CS57" s="12"/>
      <c r="CX57" s="12"/>
      <c r="CZ57" s="80">
        <v>2064590</v>
      </c>
      <c r="DA57" s="80">
        <v>5598630</v>
      </c>
      <c r="DB57" s="80">
        <f t="shared" si="17"/>
        <v>49156.904761904763</v>
      </c>
      <c r="DC57" s="80">
        <f t="shared" si="17"/>
        <v>133300.71428571429</v>
      </c>
      <c r="DD57" s="80">
        <f t="shared" si="8"/>
        <v>286.358633</v>
      </c>
      <c r="DE57" s="80">
        <f t="shared" si="18"/>
        <v>838.11491099999989</v>
      </c>
      <c r="DF57" s="80">
        <f t="shared" si="19"/>
        <v>1124.4735439999999</v>
      </c>
      <c r="DG57" s="93">
        <v>0.77500000000000002</v>
      </c>
      <c r="DH57" s="93">
        <v>9.2999999999999999E-2</v>
      </c>
      <c r="DI57" s="80">
        <f t="shared" si="29"/>
        <v>299.872627298</v>
      </c>
      <c r="DJ57" s="104">
        <v>299.89999999999998</v>
      </c>
      <c r="DK57" s="80"/>
      <c r="DL57" s="144">
        <f t="shared" si="9"/>
        <v>-9.5238095236709341E-2</v>
      </c>
      <c r="DM57" s="144">
        <f t="shared" si="9"/>
        <v>-0.28571428571012802</v>
      </c>
    </row>
    <row r="58" spans="1:119" x14ac:dyDescent="0.25">
      <c r="A58" s="145">
        <v>2000</v>
      </c>
      <c r="B58" s="79">
        <f t="shared" si="10"/>
        <v>73065</v>
      </c>
      <c r="C58" s="80">
        <f t="shared" si="11"/>
        <v>63493.485000000001</v>
      </c>
      <c r="D58" s="80">
        <f>B58*0.126</f>
        <v>9206.19</v>
      </c>
      <c r="E58" s="80">
        <f t="shared" ref="E58:E66" si="31">B58*0.005</f>
        <v>365.32499999999999</v>
      </c>
      <c r="F58" s="80"/>
      <c r="G58" s="80"/>
      <c r="H58" s="80"/>
      <c r="I58" s="80"/>
      <c r="J58" s="72">
        <v>209.38</v>
      </c>
      <c r="K58" s="65">
        <f t="shared" si="1"/>
        <v>209.38</v>
      </c>
      <c r="L58" s="80">
        <v>52939</v>
      </c>
      <c r="M58" s="80">
        <f t="shared" si="3"/>
        <v>43939.37</v>
      </c>
      <c r="N58" s="80">
        <f>L58*0.126</f>
        <v>6670.3140000000003</v>
      </c>
      <c r="O58" s="80">
        <f>L58*0.038</f>
        <v>2011.682</v>
      </c>
      <c r="P58" s="88">
        <f>L58*0.006</f>
        <v>317.63400000000001</v>
      </c>
      <c r="Q58" s="80"/>
      <c r="R58" s="80"/>
      <c r="S58" s="80"/>
      <c r="T58" s="80"/>
      <c r="U58" s="80"/>
      <c r="V58" s="97">
        <f>[1]Adjust_Truck_Freight!AB36</f>
        <v>15601.071209264939</v>
      </c>
      <c r="W58" s="80">
        <f t="shared" si="12"/>
        <v>1809.7242602747328</v>
      </c>
      <c r="X58" s="80">
        <f>V58*FuelConsump!$BV58</f>
        <v>13713.341592943882</v>
      </c>
      <c r="Y58" s="88">
        <f>V58*FuelConsump!$BW58</f>
        <v>78.005356046324692</v>
      </c>
      <c r="Z58" s="138">
        <f>[1]Adjust_Truck_Freight!AC36</f>
        <v>27788.078580590322</v>
      </c>
      <c r="AA58" s="80">
        <f t="shared" si="13"/>
        <v>3223.4171153484772</v>
      </c>
      <c r="AB58" s="80">
        <f>Z58*FuelConsump!$BV58</f>
        <v>24425.721072338893</v>
      </c>
      <c r="AC58" s="88">
        <f>Z58*FuelConsump!$BW58</f>
        <v>138.9403929029516</v>
      </c>
      <c r="AD58" s="107">
        <v>635.16</v>
      </c>
      <c r="AE58" s="107">
        <v>50.448999999999998</v>
      </c>
      <c r="AF58" s="107">
        <v>1.3</v>
      </c>
      <c r="AG58" s="107">
        <v>10.464</v>
      </c>
      <c r="AH58" s="107"/>
      <c r="AI58" s="107">
        <v>0.82099999999999995</v>
      </c>
      <c r="AJ58" s="123">
        <v>0.72299999999999998</v>
      </c>
      <c r="AK58" s="86">
        <v>48.1</v>
      </c>
      <c r="AL58" s="86">
        <v>4.3</v>
      </c>
      <c r="AM58" s="86">
        <v>23.9</v>
      </c>
      <c r="AN58" s="86">
        <v>2.1</v>
      </c>
      <c r="AO58" s="86"/>
      <c r="AP58" s="70"/>
      <c r="AQ58" s="89">
        <f t="shared" si="22"/>
        <v>577.08000000000004</v>
      </c>
      <c r="AR58" s="71">
        <v>13.74</v>
      </c>
      <c r="AS58" s="98">
        <f t="shared" si="23"/>
        <v>233.1</v>
      </c>
      <c r="AT58" s="99">
        <v>5.55</v>
      </c>
      <c r="AU58" s="62">
        <v>2000</v>
      </c>
      <c r="AV58" s="64">
        <f t="shared" ref="AV58:AW73" si="32">DB58</f>
        <v>48605.547619047618</v>
      </c>
      <c r="AW58" s="65">
        <f t="shared" si="32"/>
        <v>147435.57142857142</v>
      </c>
      <c r="AX58" s="62">
        <v>2000</v>
      </c>
      <c r="AY58" s="117">
        <v>14844.6</v>
      </c>
      <c r="AZ58" s="76">
        <v>5474.7</v>
      </c>
      <c r="BA58" s="117">
        <v>336.3</v>
      </c>
      <c r="BB58" s="76">
        <v>998.1</v>
      </c>
      <c r="BC58" s="145">
        <v>2000</v>
      </c>
      <c r="BD58" s="92">
        <v>94.968000000000004</v>
      </c>
      <c r="BE58" s="95">
        <v>470.17</v>
      </c>
      <c r="BF58" s="76">
        <f>(FuelConsump!BD58*'[1]Fuel Heat Content'!$D$7/1000000)+(FuelConsump!BE58*'[1]Fuel Heat Content'!$C$21/1000000)</f>
        <v>14.776281639999999</v>
      </c>
      <c r="BG58" s="111">
        <f>'[1]TEDB_Ed31_Table 9.10'!J41</f>
        <v>18</v>
      </c>
      <c r="BH58" s="95">
        <f t="shared" si="30"/>
        <v>14.776281639999999</v>
      </c>
      <c r="BI58" s="143">
        <v>70.817999999999998</v>
      </c>
      <c r="BJ58" s="110">
        <v>1370</v>
      </c>
      <c r="BK58" s="65">
        <v>3549</v>
      </c>
      <c r="BL58" s="65">
        <v>463</v>
      </c>
      <c r="BM58" s="88">
        <v>3720.1</v>
      </c>
      <c r="BN58" s="74">
        <v>2000</v>
      </c>
      <c r="BO58" s="77">
        <f>'[1]MER Table 4.3_Nov2019'!I64*1000</f>
        <v>642210</v>
      </c>
      <c r="BP58" s="80">
        <f t="shared" si="15"/>
        <v>2910.5370496261048</v>
      </c>
      <c r="BQ58" s="146"/>
      <c r="BS58">
        <f t="shared" si="16"/>
        <v>2000</v>
      </c>
      <c r="BV58" s="103">
        <v>0.879</v>
      </c>
      <c r="BW58" s="103">
        <v>5.0000000000000001E-3</v>
      </c>
      <c r="BZ58" s="141"/>
      <c r="CA58" s="141"/>
      <c r="CB58" s="141">
        <v>9563</v>
      </c>
      <c r="CC58" s="141">
        <v>1185.8119999999999</v>
      </c>
      <c r="CD58" s="141">
        <v>8329.3729999999996</v>
      </c>
      <c r="CE58" s="141">
        <v>47.814999999999998</v>
      </c>
      <c r="CF58" s="141">
        <v>25666</v>
      </c>
      <c r="CG58" s="141">
        <v>3182.5839999999998</v>
      </c>
      <c r="CH58" s="141">
        <v>22355.085999999999</v>
      </c>
      <c r="CI58" s="141">
        <v>128.33000000000001</v>
      </c>
      <c r="CK58" s="9"/>
      <c r="CL58" s="80">
        <v>73065</v>
      </c>
      <c r="CN58" s="11"/>
      <c r="CS58" s="12"/>
      <c r="CU58">
        <v>7590</v>
      </c>
      <c r="CX58" s="12"/>
      <c r="CZ58" s="80">
        <v>2041433</v>
      </c>
      <c r="DA58" s="80">
        <v>6192294</v>
      </c>
      <c r="DB58" s="80">
        <f t="shared" si="17"/>
        <v>48605.547619047618</v>
      </c>
      <c r="DC58" s="80">
        <f t="shared" si="17"/>
        <v>147435.57142857142</v>
      </c>
      <c r="DD58" s="80">
        <f t="shared" si="8"/>
        <v>283.14675709999995</v>
      </c>
      <c r="DE58" s="80">
        <f t="shared" si="18"/>
        <v>926.98641179999993</v>
      </c>
      <c r="DF58" s="80">
        <f t="shared" si="19"/>
        <v>1210.1331688999999</v>
      </c>
      <c r="DG58" s="93">
        <v>0.77500000000000002</v>
      </c>
      <c r="DH58" s="93">
        <v>9.2999999999999999E-2</v>
      </c>
      <c r="DI58" s="80">
        <f t="shared" si="29"/>
        <v>305.64847304989996</v>
      </c>
      <c r="DJ58" s="104">
        <v>305.60000000000002</v>
      </c>
      <c r="DK58" s="80"/>
      <c r="DL58" s="80"/>
      <c r="DM58" s="80"/>
    </row>
    <row r="59" spans="1:119" x14ac:dyDescent="0.25">
      <c r="A59" s="145">
        <v>2001</v>
      </c>
      <c r="B59" s="79">
        <f t="shared" si="10"/>
        <v>73559</v>
      </c>
      <c r="C59" s="80">
        <f t="shared" si="11"/>
        <v>63628.535000000003</v>
      </c>
      <c r="D59" s="80">
        <f>B59*0.13</f>
        <v>9562.67</v>
      </c>
      <c r="E59" s="80">
        <f t="shared" si="31"/>
        <v>367.79500000000002</v>
      </c>
      <c r="F59" s="80"/>
      <c r="G59" s="80"/>
      <c r="H59" s="80"/>
      <c r="I59" s="80"/>
      <c r="J59" s="90">
        <v>192.78</v>
      </c>
      <c r="K59" s="65">
        <f t="shared" si="1"/>
        <v>192.78</v>
      </c>
      <c r="L59" s="80">
        <v>53522</v>
      </c>
      <c r="M59" s="80">
        <f t="shared" si="3"/>
        <v>44102.127999999997</v>
      </c>
      <c r="N59" s="80">
        <f>L59*0.13</f>
        <v>6957.8600000000006</v>
      </c>
      <c r="O59" s="80">
        <f>L59*0.039</f>
        <v>2087.3580000000002</v>
      </c>
      <c r="P59" s="88">
        <f>L59*0.007</f>
        <v>374.654</v>
      </c>
      <c r="Q59" s="80"/>
      <c r="R59" s="80"/>
      <c r="S59" s="80"/>
      <c r="T59" s="80"/>
      <c r="U59" s="80"/>
      <c r="V59" s="97">
        <f>[1]Adjust_Truck_Freight!AB37</f>
        <v>15770.73673323896</v>
      </c>
      <c r="W59" s="80">
        <f t="shared" si="12"/>
        <v>1797.8639875892409</v>
      </c>
      <c r="X59" s="80">
        <f>V59*FuelConsump!$BV59</f>
        <v>13894.019061983525</v>
      </c>
      <c r="Y59" s="88">
        <f>V59*FuelConsump!$BW59</f>
        <v>78.853683666194797</v>
      </c>
      <c r="Z59" s="138">
        <f>[1]Adjust_Truck_Freight!AC37</f>
        <v>27621.345778384646</v>
      </c>
      <c r="AA59" s="80">
        <f t="shared" si="13"/>
        <v>3148.8334187358514</v>
      </c>
      <c r="AB59" s="80">
        <f>Z59*FuelConsump!$BV59</f>
        <v>24334.405630756872</v>
      </c>
      <c r="AC59" s="88">
        <f>Z59*FuelConsump!$BW59</f>
        <v>138.10672889192324</v>
      </c>
      <c r="AD59" s="107">
        <v>587.18399999999997</v>
      </c>
      <c r="AE59" s="107">
        <v>60.917000000000002</v>
      </c>
      <c r="AF59" s="107">
        <v>1.5</v>
      </c>
      <c r="AG59" s="107">
        <v>11.67</v>
      </c>
      <c r="AH59" s="107"/>
      <c r="AI59" s="107">
        <v>0.76300000000000001</v>
      </c>
      <c r="AJ59" s="123">
        <v>1.171</v>
      </c>
      <c r="AK59" s="86">
        <v>54.9</v>
      </c>
      <c r="AL59" s="86">
        <v>5.3</v>
      </c>
      <c r="AM59" s="86">
        <v>20.3</v>
      </c>
      <c r="AN59" s="86">
        <v>2.1</v>
      </c>
      <c r="AO59" s="86"/>
      <c r="AP59" s="70"/>
      <c r="AQ59" s="147">
        <f>'[1]Passenger-based Activity'!$J60/'[1]Passenger-based Activity'!$J59*AQ58</f>
        <v>595.02275170708253</v>
      </c>
      <c r="AR59" s="148"/>
      <c r="AS59" s="149">
        <f>'[1]Passenger-based Activity'!$G60/'[1]Passenger-based Activity'!$G59*AS58</f>
        <v>253.19594886220304</v>
      </c>
      <c r="AT59" s="99"/>
      <c r="AU59" s="62">
        <v>2001</v>
      </c>
      <c r="AV59" s="64">
        <f t="shared" si="32"/>
        <v>49976.452380952382</v>
      </c>
      <c r="AW59" s="65">
        <f t="shared" si="32"/>
        <v>103459.14285714286</v>
      </c>
      <c r="AX59" s="62">
        <v>2001</v>
      </c>
      <c r="AY59" s="117">
        <v>14017.5</v>
      </c>
      <c r="AZ59" s="76">
        <v>5237.5</v>
      </c>
      <c r="BA59" s="117">
        <v>319.3</v>
      </c>
      <c r="BB59" s="76">
        <v>938.7</v>
      </c>
      <c r="BC59" s="145">
        <v>2001</v>
      </c>
      <c r="BD59" s="92">
        <v>96.846000000000004</v>
      </c>
      <c r="BE59" s="95">
        <v>455.70299999999997</v>
      </c>
      <c r="BF59" s="76">
        <f>(FuelConsump!BD59*'[1]Fuel Heat Content'!$D$7/1000000)+(FuelConsump!BE59*'[1]Fuel Heat Content'!$C$21/1000000)</f>
        <v>14.987398836000002</v>
      </c>
      <c r="BG59" s="111">
        <f>'[1]TEDB_Ed31_Table 9.10'!J42</f>
        <v>18.100000000000001</v>
      </c>
      <c r="BH59" s="95">
        <f t="shared" si="30"/>
        <v>14.987398836000002</v>
      </c>
      <c r="BI59" s="143">
        <v>72.203999999999994</v>
      </c>
      <c r="BJ59" s="110">
        <v>1354</v>
      </c>
      <c r="BK59" s="65">
        <v>3646</v>
      </c>
      <c r="BL59" s="65">
        <v>487</v>
      </c>
      <c r="BM59" s="65">
        <v>3730</v>
      </c>
      <c r="BN59" s="74">
        <v>2001</v>
      </c>
      <c r="BO59" s="77">
        <f>'[1]MER Table 4.3_Nov2019'!I65*1000</f>
        <v>624964</v>
      </c>
      <c r="BP59" s="80">
        <f t="shared" si="15"/>
        <v>2832.3770677543621</v>
      </c>
      <c r="BQ59" s="150"/>
      <c r="BS59">
        <f t="shared" si="16"/>
        <v>2001</v>
      </c>
      <c r="BV59" s="103">
        <v>0.88100000000000001</v>
      </c>
      <c r="BW59" s="103">
        <v>5.0000000000000001E-3</v>
      </c>
      <c r="BZ59" s="141"/>
      <c r="CA59" s="141"/>
      <c r="CB59" s="141">
        <v>9667</v>
      </c>
      <c r="CC59" s="141">
        <v>1198.7080000000001</v>
      </c>
      <c r="CD59" s="141">
        <v>8419.9570000000003</v>
      </c>
      <c r="CE59" s="141">
        <v>48.335000000000001</v>
      </c>
      <c r="CF59" s="141">
        <v>25512</v>
      </c>
      <c r="CG59" s="141">
        <v>3163.4879999999998</v>
      </c>
      <c r="CH59" s="141">
        <v>22220.952000000001</v>
      </c>
      <c r="CI59" s="141">
        <v>127.56</v>
      </c>
      <c r="CK59" s="9"/>
      <c r="CL59" s="80">
        <v>73559</v>
      </c>
      <c r="CN59" s="11"/>
      <c r="CS59" s="12"/>
      <c r="CU59">
        <v>7077</v>
      </c>
      <c r="CX59" s="12"/>
      <c r="CZ59" s="80">
        <v>2099011</v>
      </c>
      <c r="DA59" s="80">
        <v>4345284</v>
      </c>
      <c r="DB59" s="80">
        <f t="shared" si="17"/>
        <v>49976.452380952382</v>
      </c>
      <c r="DC59" s="80">
        <f t="shared" si="17"/>
        <v>103459.14285714286</v>
      </c>
      <c r="DD59" s="80">
        <f t="shared" si="8"/>
        <v>291.13282569999996</v>
      </c>
      <c r="DE59" s="80">
        <f t="shared" si="18"/>
        <v>650.48901479999995</v>
      </c>
      <c r="DF59" s="80">
        <f t="shared" si="19"/>
        <v>941.62184049999996</v>
      </c>
      <c r="DG59" s="93">
        <v>0.77500000000000002</v>
      </c>
      <c r="DH59" s="93">
        <v>9.2999999999999999E-2</v>
      </c>
      <c r="DI59" s="80">
        <f t="shared" si="29"/>
        <v>286.12341829389993</v>
      </c>
      <c r="DJ59" s="104">
        <v>286.10000000000002</v>
      </c>
      <c r="DK59" s="80"/>
      <c r="DL59" s="80"/>
      <c r="DM59" s="80"/>
    </row>
    <row r="60" spans="1:119" x14ac:dyDescent="0.25">
      <c r="A60" s="145">
        <v>2002</v>
      </c>
      <c r="B60" s="79">
        <f t="shared" si="10"/>
        <v>75471</v>
      </c>
      <c r="C60" s="80">
        <f t="shared" si="11"/>
        <v>63320.168999999994</v>
      </c>
      <c r="D60" s="64">
        <f>B60*0.156</f>
        <v>11773.476000000001</v>
      </c>
      <c r="E60" s="64">
        <f t="shared" si="31"/>
        <v>377.35500000000002</v>
      </c>
      <c r="F60" s="64"/>
      <c r="G60" s="64"/>
      <c r="H60" s="64"/>
      <c r="I60" s="64"/>
      <c r="J60" s="72">
        <v>191.04</v>
      </c>
      <c r="K60" s="65">
        <f t="shared" si="1"/>
        <v>191.04</v>
      </c>
      <c r="L60" s="64">
        <v>55220</v>
      </c>
      <c r="M60" s="80">
        <f t="shared" si="3"/>
        <v>43955.119999999995</v>
      </c>
      <c r="N60" s="64">
        <f>L60*0.156</f>
        <v>8614.32</v>
      </c>
      <c r="O60" s="80">
        <f t="shared" ref="O60:O66" si="33">L60*0.04</f>
        <v>2208.8000000000002</v>
      </c>
      <c r="P60" s="88">
        <f t="shared" ref="P60:P66" si="34">L60*0.008</f>
        <v>441.76</v>
      </c>
      <c r="Q60" s="80"/>
      <c r="R60" s="80"/>
      <c r="S60" s="80"/>
      <c r="T60" s="80"/>
      <c r="U60" s="80"/>
      <c r="V60" s="97">
        <f>[1]Adjust_Truck_Freight!AB38</f>
        <v>16837.671855152508</v>
      </c>
      <c r="W60" s="80">
        <f t="shared" si="12"/>
        <v>1868.9815759219287</v>
      </c>
      <c r="X60" s="80">
        <f>V60*FuelConsump!$BV60</f>
        <v>14884.501919954817</v>
      </c>
      <c r="Y60" s="88">
        <f>V60*FuelConsump!$BW60</f>
        <v>84.188359275762537</v>
      </c>
      <c r="Z60" s="138">
        <f>[1]Adjust_Truck_Freight!AC38</f>
        <v>28669.38053510604</v>
      </c>
      <c r="AA60" s="80">
        <f t="shared" si="13"/>
        <v>3182.3012393967692</v>
      </c>
      <c r="AB60" s="80">
        <f>Z60*FuelConsump!$BV60</f>
        <v>25343.732393033741</v>
      </c>
      <c r="AC60" s="88">
        <f>Z60*FuelConsump!$BW60</f>
        <v>143.3469026755302</v>
      </c>
      <c r="AD60" s="107">
        <v>558.99</v>
      </c>
      <c r="AE60" s="107">
        <v>77.787000000000006</v>
      </c>
      <c r="AF60" s="107">
        <v>1.3</v>
      </c>
      <c r="AG60" s="107">
        <v>16.762</v>
      </c>
      <c r="AH60" s="107"/>
      <c r="AI60" s="107">
        <v>1.831</v>
      </c>
      <c r="AJ60" s="123">
        <v>1.83</v>
      </c>
      <c r="AK60" s="86">
        <v>61.6</v>
      </c>
      <c r="AL60" s="86">
        <v>3.2</v>
      </c>
      <c r="AM60" s="86">
        <v>17.399999999999999</v>
      </c>
      <c r="AN60" s="86">
        <v>1.7</v>
      </c>
      <c r="AO60" s="86"/>
      <c r="AP60" s="151">
        <v>0.3</v>
      </c>
      <c r="AQ60" s="147">
        <f>'[1]Passenger-based Activity'!$J61/'[1]Passenger-based Activity'!$J60*AQ59</f>
        <v>599.56367046480125</v>
      </c>
      <c r="AR60" s="148"/>
      <c r="AS60" s="149">
        <f>'[1]Passenger-based Activity'!$G61/'[1]Passenger-based Activity'!$G60*AS59</f>
        <v>274.10769334436685</v>
      </c>
      <c r="AT60" s="99"/>
      <c r="AU60" s="62">
        <v>2002</v>
      </c>
      <c r="AV60" s="64">
        <f t="shared" si="32"/>
        <v>48963.452380952382</v>
      </c>
      <c r="AW60" s="65">
        <f t="shared" si="32"/>
        <v>113903.71428571429</v>
      </c>
      <c r="AX60" s="62">
        <v>2002</v>
      </c>
      <c r="AY60" s="111">
        <v>12848.3</v>
      </c>
      <c r="AZ60" s="152">
        <v>4990.8</v>
      </c>
      <c r="BA60" s="111">
        <v>261.39999999999998</v>
      </c>
      <c r="BB60" s="152">
        <v>815.5</v>
      </c>
      <c r="BC60" s="145">
        <v>2002</v>
      </c>
      <c r="BD60" s="92">
        <v>84.432000000000002</v>
      </c>
      <c r="BE60" s="95">
        <v>518.30600000000004</v>
      </c>
      <c r="BF60" s="76">
        <f>(FuelConsump!BD60*'[1]Fuel Heat Content'!$D$7/1000000)+(FuelConsump!BE60*'[1]Fuel Heat Content'!$C$21/1000000)</f>
        <v>13.479178472000001</v>
      </c>
      <c r="BG60" s="111">
        <f>'[1]TEDB_Ed31_Table 9.10'!J43</f>
        <v>17.100000000000001</v>
      </c>
      <c r="BH60" s="95">
        <f t="shared" si="30"/>
        <v>13.479178472000001</v>
      </c>
      <c r="BI60" s="143">
        <v>72.846999999999994</v>
      </c>
      <c r="BJ60" s="110">
        <v>1334</v>
      </c>
      <c r="BK60" s="65">
        <v>3683</v>
      </c>
      <c r="BL60" s="65">
        <v>510</v>
      </c>
      <c r="BM60" s="65">
        <v>3751.4</v>
      </c>
      <c r="BN60" s="74">
        <v>2002</v>
      </c>
      <c r="BO60" s="77">
        <f>'[1]MER Table 4.3_Nov2019'!I66*1000</f>
        <v>666920</v>
      </c>
      <c r="BP60" s="80">
        <f t="shared" si="15"/>
        <v>3022.5243598459097</v>
      </c>
      <c r="BQ60" s="150"/>
      <c r="BS60">
        <f t="shared" si="16"/>
        <v>2002</v>
      </c>
      <c r="BV60" s="103">
        <v>0.88400000000000001</v>
      </c>
      <c r="BW60" s="103">
        <v>5.0000000000000001E-3</v>
      </c>
      <c r="BZ60" s="141"/>
      <c r="CA60" s="141"/>
      <c r="CB60" s="141">
        <v>10321</v>
      </c>
      <c r="CC60" s="141">
        <v>1279.8040000000001</v>
      </c>
      <c r="CD60" s="141">
        <v>8989.5910000000003</v>
      </c>
      <c r="CE60" s="141">
        <v>51.605000000000004</v>
      </c>
      <c r="CF60" s="141">
        <v>26480</v>
      </c>
      <c r="CG60" s="141">
        <v>3283.52</v>
      </c>
      <c r="CH60" s="141">
        <v>23064.079999999998</v>
      </c>
      <c r="CI60" s="141">
        <v>132.4</v>
      </c>
      <c r="CK60" s="9"/>
      <c r="CL60" s="64">
        <v>75471</v>
      </c>
      <c r="CN60" s="11"/>
      <c r="CS60" s="12"/>
      <c r="CU60">
        <v>6845</v>
      </c>
      <c r="CX60" s="12"/>
      <c r="CY60">
        <v>2002</v>
      </c>
      <c r="CZ60" s="80">
        <v>2056465</v>
      </c>
      <c r="DA60" s="80">
        <v>4783956</v>
      </c>
      <c r="DB60" s="80">
        <f t="shared" si="17"/>
        <v>48963.452380952382</v>
      </c>
      <c r="DC60" s="80">
        <f t="shared" si="17"/>
        <v>113903.71428571429</v>
      </c>
      <c r="DD60" s="80">
        <f t="shared" si="8"/>
        <v>285.2316955</v>
      </c>
      <c r="DE60" s="80">
        <f t="shared" si="18"/>
        <v>716.15821319999986</v>
      </c>
      <c r="DF60" s="80">
        <f t="shared" si="19"/>
        <v>1001.3899086999999</v>
      </c>
      <c r="DG60" s="93">
        <v>0.77500000000000002</v>
      </c>
      <c r="DH60" s="93">
        <v>9.2999999999999999E-2</v>
      </c>
      <c r="DI60" s="80">
        <f t="shared" si="29"/>
        <v>287.65727784009999</v>
      </c>
      <c r="DJ60" s="104">
        <v>288.5</v>
      </c>
      <c r="DK60" s="80"/>
      <c r="DL60" s="80"/>
      <c r="DM60" s="80"/>
    </row>
    <row r="61" spans="1:119" ht="14" x14ac:dyDescent="0.3">
      <c r="A61" s="145">
        <v>2003</v>
      </c>
      <c r="B61" s="79">
        <f t="shared" si="10"/>
        <v>75455</v>
      </c>
      <c r="C61" s="80">
        <f t="shared" si="11"/>
        <v>56817.614999999998</v>
      </c>
      <c r="D61" s="64">
        <f>B61*0.242</f>
        <v>18260.11</v>
      </c>
      <c r="E61" s="64">
        <f t="shared" si="31"/>
        <v>377.27500000000003</v>
      </c>
      <c r="F61" s="64"/>
      <c r="G61" s="64"/>
      <c r="H61" s="64"/>
      <c r="I61" s="64"/>
      <c r="J61" s="72">
        <v>190.78</v>
      </c>
      <c r="K61" s="65">
        <f t="shared" si="1"/>
        <v>190.78</v>
      </c>
      <c r="L61" s="64">
        <v>60758</v>
      </c>
      <c r="M61" s="80">
        <f t="shared" si="3"/>
        <v>43138.18</v>
      </c>
      <c r="N61" s="64">
        <f>L61*0.242</f>
        <v>14703.436</v>
      </c>
      <c r="O61" s="80">
        <f t="shared" si="33"/>
        <v>2430.3200000000002</v>
      </c>
      <c r="P61" s="88">
        <f t="shared" si="34"/>
        <v>486.06400000000002</v>
      </c>
      <c r="Q61" s="80"/>
      <c r="R61" s="80"/>
      <c r="S61" s="80"/>
      <c r="T61" s="80"/>
      <c r="U61" s="80"/>
      <c r="V61" s="97">
        <f>[1]Adjust_Truck_Freight!AB39</f>
        <v>14488.456907819924</v>
      </c>
      <c r="W61" s="80">
        <f t="shared" si="12"/>
        <v>1608.2187167680117</v>
      </c>
      <c r="X61" s="80">
        <f>V61*FuelConsump!$BV61</f>
        <v>12807.795906512813</v>
      </c>
      <c r="Y61" s="88">
        <f>V61*FuelConsump!$BW61</f>
        <v>72.442284539099617</v>
      </c>
      <c r="Z61" s="138">
        <f>[1]Adjust_Truck_Freight!AC39</f>
        <v>29142.87697009055</v>
      </c>
      <c r="AA61" s="80">
        <f t="shared" si="13"/>
        <v>3234.8593436800511</v>
      </c>
      <c r="AB61" s="80">
        <f>Z61*FuelConsump!$BV61</f>
        <v>25762.303241560046</v>
      </c>
      <c r="AC61" s="88">
        <f>Z61*FuelConsump!$BW61</f>
        <v>145.71438485045275</v>
      </c>
      <c r="AD61" s="107">
        <v>535.96299999999997</v>
      </c>
      <c r="AE61" s="107">
        <v>94.881</v>
      </c>
      <c r="AF61" s="107">
        <v>1.1000000000000001</v>
      </c>
      <c r="AG61" s="107">
        <v>14.231</v>
      </c>
      <c r="AH61" s="107"/>
      <c r="AI61" s="107">
        <v>1.867</v>
      </c>
      <c r="AJ61" s="123">
        <v>1.843</v>
      </c>
      <c r="AK61" s="86">
        <v>69.5</v>
      </c>
      <c r="AL61" s="86">
        <v>5.2</v>
      </c>
      <c r="AM61" s="86">
        <v>16.5</v>
      </c>
      <c r="AN61" s="86">
        <v>1.6</v>
      </c>
      <c r="AO61" s="86"/>
      <c r="AP61" s="151">
        <v>0.3</v>
      </c>
      <c r="AQ61" s="147">
        <f>'[1]Passenger-based Activity'!$J62/'[1]Passenger-based Activity'!$J61*AQ60</f>
        <v>614.78898509340775</v>
      </c>
      <c r="AR61" s="153"/>
      <c r="AS61" s="149">
        <f>'[1]Passenger-based Activity'!$G62/'[1]Passenger-based Activity'!$G61*AS60</f>
        <v>295.83523344649137</v>
      </c>
      <c r="AT61" s="99"/>
      <c r="AU61" s="62">
        <v>2003</v>
      </c>
      <c r="AV61" s="64">
        <f t="shared" si="32"/>
        <v>44360.714285714283</v>
      </c>
      <c r="AW61" s="65">
        <f t="shared" si="32"/>
        <v>90510.119047619053</v>
      </c>
      <c r="AX61" s="62">
        <v>2003</v>
      </c>
      <c r="AY61" s="111">
        <v>12958.6</v>
      </c>
      <c r="AZ61" s="152">
        <v>4836.3999999999996</v>
      </c>
      <c r="BA61" s="111">
        <v>255.5</v>
      </c>
      <c r="BB61" s="152">
        <v>820</v>
      </c>
      <c r="BC61" s="145">
        <v>2003</v>
      </c>
      <c r="BD61" s="92">
        <v>74.620999999999995</v>
      </c>
      <c r="BE61" s="95">
        <v>536.95000000000005</v>
      </c>
      <c r="BF61" s="76">
        <f>(FuelConsump!BD61*'[1]Fuel Heat Content'!$D$7/1000000)+(FuelConsump!BE61*'[1]Fuel Heat Content'!$C$21/1000000)</f>
        <v>12.182006100000001</v>
      </c>
      <c r="BG61" s="111">
        <f>'[1]TEDB_Ed31_Table 9.10'!J44</f>
        <v>15.9</v>
      </c>
      <c r="BH61" s="95">
        <f t="shared" ref="BH61:BH62" si="35">BG61</f>
        <v>15.9</v>
      </c>
      <c r="BI61" s="143">
        <v>72.263999999999996</v>
      </c>
      <c r="BJ61" s="110">
        <v>1383</v>
      </c>
      <c r="BK61" s="154">
        <v>3632</v>
      </c>
      <c r="BL61" s="154">
        <v>507</v>
      </c>
      <c r="BM61" s="65">
        <v>3849.2</v>
      </c>
      <c r="BN61" s="74">
        <v>2003</v>
      </c>
      <c r="BO61" s="77">
        <f>'[1]MER Table 4.3_Nov2019'!I67*1000</f>
        <v>591492</v>
      </c>
      <c r="BP61" s="80">
        <f t="shared" si="15"/>
        <v>2680.6798096532971</v>
      </c>
      <c r="BQ61" s="150"/>
      <c r="BR61" s="155"/>
      <c r="BS61">
        <f t="shared" si="16"/>
        <v>2003</v>
      </c>
      <c r="BV61" s="103">
        <v>0.88400000000000001</v>
      </c>
      <c r="BW61" s="103">
        <v>5.0000000000000001E-3</v>
      </c>
      <c r="BZ61" s="141"/>
      <c r="CA61" s="141"/>
      <c r="CB61" s="141">
        <v>8881</v>
      </c>
      <c r="CC61" s="141">
        <v>1101.1199999999999</v>
      </c>
      <c r="CD61" s="141">
        <v>7734.48</v>
      </c>
      <c r="CE61" s="141">
        <v>44.4</v>
      </c>
      <c r="CF61" s="142">
        <f>BY96</f>
        <v>26917.337164750963</v>
      </c>
      <c r="CG61" s="141">
        <v>3337.7498084291192</v>
      </c>
      <c r="CH61" s="141">
        <v>23445.000670498088</v>
      </c>
      <c r="CI61" s="141">
        <v>134.58668582375481</v>
      </c>
      <c r="CK61" s="9"/>
      <c r="CL61" s="64">
        <v>75455</v>
      </c>
      <c r="CN61" s="11"/>
      <c r="CS61" s="12"/>
      <c r="CU61">
        <v>6638</v>
      </c>
      <c r="CX61" s="12"/>
      <c r="CY61">
        <v>2003</v>
      </c>
      <c r="CZ61" s="80">
        <v>1863150</v>
      </c>
      <c r="DA61" s="80">
        <v>3801425</v>
      </c>
      <c r="DB61" s="80">
        <f t="shared" si="17"/>
        <v>44360.714285714283</v>
      </c>
      <c r="DC61" s="80">
        <f t="shared" si="17"/>
        <v>90510.119047619053</v>
      </c>
      <c r="DD61" s="80">
        <f t="shared" si="8"/>
        <v>258.41890499999994</v>
      </c>
      <c r="DE61" s="80">
        <f t="shared" si="18"/>
        <v>569.07332250000002</v>
      </c>
      <c r="DF61" s="80">
        <f t="shared" si="19"/>
        <v>827.4922274999999</v>
      </c>
      <c r="DG61" s="93">
        <v>0.77500000000000002</v>
      </c>
      <c r="DH61" s="93">
        <v>9.2999999999999999E-2</v>
      </c>
      <c r="DI61" s="80">
        <f t="shared" si="29"/>
        <v>253.19847036749997</v>
      </c>
      <c r="DJ61" s="156">
        <f>DI61</f>
        <v>253.19847036749997</v>
      </c>
      <c r="DK61" s="64" t="s">
        <v>101</v>
      </c>
      <c r="DL61" s="80"/>
      <c r="DM61" s="80"/>
    </row>
    <row r="62" spans="1:119" ht="14" x14ac:dyDescent="0.3">
      <c r="A62" s="145">
        <v>2004</v>
      </c>
      <c r="B62" s="79">
        <f t="shared" si="10"/>
        <v>75402</v>
      </c>
      <c r="C62" s="80">
        <f t="shared" si="11"/>
        <v>50670.143999999993</v>
      </c>
      <c r="D62" s="64">
        <f>B62*0.323</f>
        <v>24354.846000000001</v>
      </c>
      <c r="E62" s="64">
        <f t="shared" si="31"/>
        <v>377.01</v>
      </c>
      <c r="F62" s="64"/>
      <c r="G62" s="64"/>
      <c r="H62" s="64"/>
      <c r="I62" s="64"/>
      <c r="J62" s="72">
        <v>202.45</v>
      </c>
      <c r="K62" s="65">
        <f t="shared" si="1"/>
        <v>202.45</v>
      </c>
      <c r="L62" s="64">
        <v>63417</v>
      </c>
      <c r="M62" s="80">
        <f t="shared" si="3"/>
        <v>39889.292999999998</v>
      </c>
      <c r="N62" s="64">
        <f>L62*0.323</f>
        <v>20483.690999999999</v>
      </c>
      <c r="O62" s="80">
        <f t="shared" si="33"/>
        <v>2536.6799999999998</v>
      </c>
      <c r="P62" s="88">
        <f t="shared" si="34"/>
        <v>507.33600000000001</v>
      </c>
      <c r="Q62" s="80"/>
      <c r="R62" s="80"/>
      <c r="S62" s="80"/>
      <c r="T62" s="80"/>
      <c r="U62" s="80"/>
      <c r="V62" s="97">
        <f>[1]Adjust_Truck_Freight!AB40</f>
        <v>14615.70605080044</v>
      </c>
      <c r="W62" s="80">
        <f t="shared" si="12"/>
        <v>1622.3433716388486</v>
      </c>
      <c r="X62" s="80">
        <f>V62*FuelConsump!$BV62</f>
        <v>12920.284148907589</v>
      </c>
      <c r="Y62" s="88">
        <f>V62*FuelConsump!$BW62</f>
        <v>73.078530254002203</v>
      </c>
      <c r="Z62" s="138">
        <f>[1]Adjust_Truck_Freight!AC40</f>
        <v>29659.815024963817</v>
      </c>
      <c r="AA62" s="80">
        <f t="shared" si="13"/>
        <v>3292.2394677709844</v>
      </c>
      <c r="AB62" s="80">
        <f>Z62*FuelConsump!$BV62</f>
        <v>26219.276482068013</v>
      </c>
      <c r="AC62" s="88">
        <f>Z62*FuelConsump!$BW62</f>
        <v>148.2990751248191</v>
      </c>
      <c r="AD62" s="107">
        <v>550.46600000000001</v>
      </c>
      <c r="AE62" s="107">
        <v>106.702</v>
      </c>
      <c r="AF62" s="107">
        <v>1.8</v>
      </c>
      <c r="AG62" s="107">
        <v>16.452000000000002</v>
      </c>
      <c r="AH62" s="107">
        <f>4.675-2</f>
        <v>2.6749999999999998</v>
      </c>
      <c r="AI62" s="157">
        <v>2</v>
      </c>
      <c r="AJ62" s="123">
        <v>1.7270000000000001</v>
      </c>
      <c r="AK62" s="86">
        <v>73</v>
      </c>
      <c r="AL62" s="86">
        <v>5.0999999999999996</v>
      </c>
      <c r="AM62" s="86">
        <v>16.7</v>
      </c>
      <c r="AN62" s="86">
        <v>0.8</v>
      </c>
      <c r="AO62" s="86"/>
      <c r="AP62" s="151">
        <v>0.9</v>
      </c>
      <c r="AQ62" s="147">
        <f>'[1]Passenger-based Activity'!$J63/'[1]Passenger-based Activity'!$J62*AQ61</f>
        <v>608.63421475083908</v>
      </c>
      <c r="AR62" s="153"/>
      <c r="AS62" s="149">
        <f>'[1]Passenger-based Activity'!$G63/'[1]Passenger-based Activity'!$G62*AS61</f>
        <v>318.37856916857658</v>
      </c>
      <c r="AT62" s="99"/>
      <c r="AU62" s="62">
        <v>2004</v>
      </c>
      <c r="AV62" s="64">
        <f t="shared" si="32"/>
        <v>55082.095238095237</v>
      </c>
      <c r="AW62" s="65">
        <f t="shared" si="32"/>
        <v>116356.61904761905</v>
      </c>
      <c r="AX62" s="62">
        <v>2004</v>
      </c>
      <c r="AY62" s="111">
        <v>13622.6</v>
      </c>
      <c r="AZ62" s="152">
        <v>4932.5</v>
      </c>
      <c r="BA62" s="111">
        <v>256.10000000000002</v>
      </c>
      <c r="BB62" s="152">
        <v>1075.2</v>
      </c>
      <c r="BC62" s="145">
        <v>2004</v>
      </c>
      <c r="BD62" s="92">
        <v>68.605000000000004</v>
      </c>
      <c r="BE62" s="95">
        <v>550.69500000000005</v>
      </c>
      <c r="BF62" s="76">
        <f>(FuelConsump!BD62*'[1]Fuel Heat Content'!$D$7/1000000)+(FuelConsump!BE62*'[1]Fuel Heat Content'!$C$21/1000000)</f>
        <v>11.394484840000001</v>
      </c>
      <c r="BG62" s="111">
        <f>'[1]TEDB_Ed31_Table 9.10'!J45</f>
        <v>15.2</v>
      </c>
      <c r="BH62" s="95">
        <f t="shared" si="35"/>
        <v>15.2</v>
      </c>
      <c r="BI62" s="143">
        <v>71.998999999999995</v>
      </c>
      <c r="BJ62" s="110">
        <v>1449</v>
      </c>
      <c r="BK62" s="154">
        <v>3683</v>
      </c>
      <c r="BL62" s="154">
        <v>553</v>
      </c>
      <c r="BM62" s="65">
        <v>4082.2</v>
      </c>
      <c r="BN62" s="74">
        <v>2004</v>
      </c>
      <c r="BO62" s="77">
        <f>'[1]MER Table 4.3_Nov2019'!I68*1000</f>
        <v>566187</v>
      </c>
      <c r="BP62" s="80">
        <f t="shared" si="15"/>
        <v>2565.9959211420801</v>
      </c>
      <c r="BQ62" s="150"/>
      <c r="BR62" s="155"/>
      <c r="BS62">
        <f t="shared" si="16"/>
        <v>2004</v>
      </c>
      <c r="BV62" s="103">
        <v>0.88400000000000001</v>
      </c>
      <c r="BW62" s="103">
        <v>5.0000000000000001E-3</v>
      </c>
      <c r="BZ62" s="141"/>
      <c r="CA62" s="141"/>
      <c r="CB62" s="141">
        <v>8959</v>
      </c>
      <c r="CC62" s="141">
        <v>1110.9159999999999</v>
      </c>
      <c r="CD62" s="141">
        <v>7803.2889999999998</v>
      </c>
      <c r="CE62" s="141">
        <v>44.795000000000002</v>
      </c>
      <c r="CF62" s="142">
        <f>BY97</f>
        <v>27394.798464491367</v>
      </c>
      <c r="CG62" s="141">
        <v>3396.9550095969294</v>
      </c>
      <c r="CH62" s="141">
        <v>23860.86946257198</v>
      </c>
      <c r="CI62" s="141">
        <v>136.97399232245684</v>
      </c>
      <c r="CK62" s="9"/>
      <c r="CL62" s="64">
        <v>75402</v>
      </c>
      <c r="CN62" s="11"/>
      <c r="CS62" s="12"/>
      <c r="CX62" s="12"/>
      <c r="CY62">
        <v>2004</v>
      </c>
      <c r="CZ62" s="80">
        <v>2313448</v>
      </c>
      <c r="DA62" s="80">
        <v>4886978</v>
      </c>
      <c r="DB62" s="80">
        <f t="shared" si="17"/>
        <v>55082.095238095237</v>
      </c>
      <c r="DC62" s="80">
        <f t="shared" si="17"/>
        <v>116356.61904761905</v>
      </c>
      <c r="DD62" s="80">
        <f t="shared" si="8"/>
        <v>320.87523759999993</v>
      </c>
      <c r="DE62" s="80">
        <f t="shared" si="18"/>
        <v>731.5806065999999</v>
      </c>
      <c r="DF62" s="80">
        <f t="shared" si="19"/>
        <v>1052.4558441999998</v>
      </c>
      <c r="DG62" s="93">
        <v>0.77500000000000002</v>
      </c>
      <c r="DH62" s="93">
        <v>9.2999999999999999E-2</v>
      </c>
      <c r="DI62" s="80">
        <f t="shared" si="29"/>
        <v>316.71530555379991</v>
      </c>
      <c r="DJ62" s="156">
        <f t="shared" ref="DJ62:DJ74" si="36">DI62</f>
        <v>316.71530555379991</v>
      </c>
      <c r="DK62" s="80"/>
      <c r="DL62" s="80"/>
      <c r="DM62" s="80"/>
      <c r="DO62" s="67" t="s">
        <v>102</v>
      </c>
    </row>
    <row r="63" spans="1:119" x14ac:dyDescent="0.25">
      <c r="A63" s="145">
        <v>2005</v>
      </c>
      <c r="B63" s="79">
        <f t="shared" si="10"/>
        <v>77418</v>
      </c>
      <c r="C63" s="80">
        <f t="shared" si="11"/>
        <v>51792.642000000007</v>
      </c>
      <c r="D63" s="64">
        <f>B63*0.326</f>
        <v>25238.268</v>
      </c>
      <c r="E63" s="64">
        <f t="shared" si="31"/>
        <v>387.09000000000003</v>
      </c>
      <c r="F63" s="64"/>
      <c r="G63" s="64"/>
      <c r="H63" s="64"/>
      <c r="I63" s="64"/>
      <c r="J63" s="72">
        <v>189.5</v>
      </c>
      <c r="K63" s="65">
        <f t="shared" si="1"/>
        <v>189.5</v>
      </c>
      <c r="L63" s="64">
        <v>58869</v>
      </c>
      <c r="M63" s="80">
        <f t="shared" si="3"/>
        <v>36851.993999999999</v>
      </c>
      <c r="N63" s="64">
        <f>L63*0.326</f>
        <v>19191.294000000002</v>
      </c>
      <c r="O63" s="80">
        <f t="shared" si="33"/>
        <v>2354.7600000000002</v>
      </c>
      <c r="P63" s="88">
        <f t="shared" si="34"/>
        <v>470.952</v>
      </c>
      <c r="Q63" s="80"/>
      <c r="R63" s="80"/>
      <c r="S63" s="80"/>
      <c r="T63" s="80"/>
      <c r="U63" s="80"/>
      <c r="V63" s="97">
        <f>[1]Adjust_Truck_Freight!AB41</f>
        <v>15499.924454588121</v>
      </c>
      <c r="W63" s="80">
        <f t="shared" si="12"/>
        <v>1720.4916144592808</v>
      </c>
      <c r="X63" s="80">
        <f>V63*FuelConsump!$BV63</f>
        <v>13701.9332178559</v>
      </c>
      <c r="Y63" s="88">
        <f>V63*FuelConsump!$BW63</f>
        <v>77.499622272940613</v>
      </c>
      <c r="Z63" s="138">
        <f>[1]Adjust_Truck_Freight!AC41</f>
        <v>29977.977519814634</v>
      </c>
      <c r="AA63" s="80">
        <f t="shared" si="13"/>
        <v>3327.5555046994245</v>
      </c>
      <c r="AB63" s="80">
        <f>Z63*FuelConsump!$BV63</f>
        <v>26500.532127516137</v>
      </c>
      <c r="AC63" s="88">
        <f>Z63*FuelConsump!$BW63</f>
        <v>149.88988759907318</v>
      </c>
      <c r="AD63" s="107">
        <v>533.84699999999998</v>
      </c>
      <c r="AE63" s="107">
        <v>117.244</v>
      </c>
      <c r="AF63" s="107">
        <v>1</v>
      </c>
      <c r="AG63" s="107">
        <v>18.32</v>
      </c>
      <c r="AH63" s="107">
        <f>8.121-2</f>
        <v>6.1210000000000004</v>
      </c>
      <c r="AI63" s="157">
        <v>2</v>
      </c>
      <c r="AJ63" s="123">
        <v>1.9630000000000001</v>
      </c>
      <c r="AK63" s="86">
        <v>82.5</v>
      </c>
      <c r="AL63" s="86">
        <v>5.8</v>
      </c>
      <c r="AM63" s="86">
        <v>16.5</v>
      </c>
      <c r="AN63" s="86">
        <v>0.7</v>
      </c>
      <c r="AO63" s="86"/>
      <c r="AP63" s="151">
        <v>1</v>
      </c>
      <c r="AQ63" s="147">
        <f>'[1]Passenger-based Activity'!$J64/'[1]Passenger-based Activity'!$J63*AQ62</f>
        <v>601.01731650178112</v>
      </c>
      <c r="AR63" s="153"/>
      <c r="AS63" s="149">
        <f>'[1]Passenger-based Activity'!$G64/'[1]Passenger-based Activity'!$G63*AS62</f>
        <v>334.40494643634582</v>
      </c>
      <c r="AT63" s="99"/>
      <c r="AU63" s="62">
        <v>2005</v>
      </c>
      <c r="AV63" s="64">
        <f t="shared" si="32"/>
        <v>50366.214285714283</v>
      </c>
      <c r="AW63" s="65">
        <f t="shared" si="32"/>
        <v>131751.23809523811</v>
      </c>
      <c r="AX63" s="62">
        <v>2005</v>
      </c>
      <c r="AY63" s="111">
        <v>13778.9</v>
      </c>
      <c r="AZ63" s="152">
        <v>5520.9</v>
      </c>
      <c r="BA63" s="111">
        <v>323.60000000000002</v>
      </c>
      <c r="BB63" s="152">
        <v>1507.4</v>
      </c>
      <c r="BC63" s="145">
        <v>2005</v>
      </c>
      <c r="BD63" s="92">
        <v>65.477000000000004</v>
      </c>
      <c r="BE63" s="95">
        <v>531.37699999999995</v>
      </c>
      <c r="BF63" s="76">
        <f>(FuelConsump!BD63*'[1]Fuel Heat Content'!$D$7/1000000)+(FuelConsump!BE63*'[1]Fuel Heat Content'!$C$21/1000000)</f>
        <v>10.894718224</v>
      </c>
      <c r="BG63" s="111">
        <f>'[1]TEDB_Ed31_Table 9.10'!J46</f>
        <v>14.6</v>
      </c>
      <c r="BH63" s="95">
        <f>BF63</f>
        <v>10.894718224</v>
      </c>
      <c r="BI63" s="143">
        <v>76.713999999999999</v>
      </c>
      <c r="BJ63" s="110">
        <v>1484</v>
      </c>
      <c r="BK63" s="154">
        <v>3769</v>
      </c>
      <c r="BL63" s="154">
        <v>571</v>
      </c>
      <c r="BM63" s="65">
        <v>4119.8999999999996</v>
      </c>
      <c r="BN63" s="74">
        <v>2005</v>
      </c>
      <c r="BO63" s="77">
        <f>'[1]MER Table 4.3_Nov2019'!I69*1000</f>
        <v>584026</v>
      </c>
      <c r="BP63" s="80">
        <f t="shared" si="15"/>
        <v>2646.8434171765239</v>
      </c>
      <c r="BQ63" s="150"/>
      <c r="BR63" s="111"/>
      <c r="BS63">
        <f t="shared" si="16"/>
        <v>2005</v>
      </c>
      <c r="BV63" s="103">
        <v>0.88400000000000001</v>
      </c>
      <c r="BW63" s="103">
        <v>5.0000000000000001E-3</v>
      </c>
      <c r="BZ63" s="141"/>
      <c r="CA63" s="141"/>
      <c r="CB63" s="141">
        <v>9501</v>
      </c>
      <c r="CC63" s="141">
        <v>1054.6109999999999</v>
      </c>
      <c r="CD63" s="141">
        <v>8398.884</v>
      </c>
      <c r="CE63" s="141">
        <v>47.505000000000003</v>
      </c>
      <c r="CF63" s="141">
        <v>27688.664000000001</v>
      </c>
      <c r="CG63" s="141">
        <v>3073.4417039999994</v>
      </c>
      <c r="CH63" s="141">
        <v>24476.778976000001</v>
      </c>
      <c r="CI63" s="141">
        <v>138.44332</v>
      </c>
      <c r="CK63" s="9"/>
      <c r="CL63" s="64">
        <v>77418</v>
      </c>
      <c r="CN63" s="11"/>
      <c r="CS63" s="12"/>
      <c r="CX63" s="12"/>
      <c r="CY63">
        <v>2005</v>
      </c>
      <c r="CZ63" s="80">
        <v>2115381</v>
      </c>
      <c r="DA63" s="80">
        <v>5533552</v>
      </c>
      <c r="DB63" s="80">
        <f t="shared" si="17"/>
        <v>50366.214285714283</v>
      </c>
      <c r="DC63" s="80">
        <f t="shared" si="17"/>
        <v>131751.23809523811</v>
      </c>
      <c r="DD63" s="80">
        <f t="shared" si="8"/>
        <v>293.40334469999999</v>
      </c>
      <c r="DE63" s="80">
        <f t="shared" si="18"/>
        <v>828.3727343999999</v>
      </c>
      <c r="DF63" s="80">
        <f t="shared" si="19"/>
        <v>1121.7760790999998</v>
      </c>
      <c r="DG63" s="93">
        <v>0.77500000000000002</v>
      </c>
      <c r="DH63" s="93">
        <v>9.2999999999999999E-2</v>
      </c>
      <c r="DI63" s="80">
        <f t="shared" si="29"/>
        <v>304.42625644169999</v>
      </c>
      <c r="DJ63" s="156">
        <f t="shared" si="36"/>
        <v>304.42625644169999</v>
      </c>
      <c r="DK63" s="80"/>
      <c r="DL63" s="80"/>
      <c r="DM63" s="80"/>
    </row>
    <row r="64" spans="1:119" x14ac:dyDescent="0.25">
      <c r="A64" s="145">
        <v>2006</v>
      </c>
      <c r="B64" s="79">
        <f t="shared" si="10"/>
        <v>75009</v>
      </c>
      <c r="C64" s="64">
        <f t="shared" si="11"/>
        <v>58657.038</v>
      </c>
      <c r="D64" s="64">
        <f>B64*0.213</f>
        <v>15976.916999999999</v>
      </c>
      <c r="E64" s="64">
        <f t="shared" si="31"/>
        <v>375.04500000000002</v>
      </c>
      <c r="F64" s="64"/>
      <c r="G64" s="64"/>
      <c r="H64" s="64"/>
      <c r="I64" s="64"/>
      <c r="J64" s="72">
        <v>221.03</v>
      </c>
      <c r="K64" s="65">
        <f t="shared" si="1"/>
        <v>221.03</v>
      </c>
      <c r="L64" s="64">
        <v>60685</v>
      </c>
      <c r="M64" s="64">
        <f t="shared" si="3"/>
        <v>44846.214999999997</v>
      </c>
      <c r="N64" s="64">
        <f>L64*0.213</f>
        <v>12925.904999999999</v>
      </c>
      <c r="O64" s="64">
        <f t="shared" si="33"/>
        <v>2427.4</v>
      </c>
      <c r="P64" s="65">
        <f t="shared" si="34"/>
        <v>485.48</v>
      </c>
      <c r="Q64" s="64"/>
      <c r="R64" s="64"/>
      <c r="S64" s="64"/>
      <c r="T64" s="64"/>
      <c r="U64" s="64"/>
      <c r="V64" s="97">
        <f>[1]Adjust_Truck_Freight!AB42</f>
        <v>16072.545598000439</v>
      </c>
      <c r="W64" s="80">
        <f t="shared" si="12"/>
        <v>1784.0525613780489</v>
      </c>
      <c r="X64" s="80">
        <f>V64*FuelConsump!$BV64</f>
        <v>14208.130308632388</v>
      </c>
      <c r="Y64" s="88">
        <f>V64*FuelConsump!$BW64</f>
        <v>80.362727990002199</v>
      </c>
      <c r="Z64" s="138">
        <f>[1]Adjust_Truck_Freight!AC42</f>
        <v>30430.408061280279</v>
      </c>
      <c r="AA64" s="80">
        <f t="shared" si="13"/>
        <v>3377.7752948021125</v>
      </c>
      <c r="AB64" s="80">
        <f>Z64*FuelConsump!$BV64</f>
        <v>26900.480726171765</v>
      </c>
      <c r="AC64" s="88">
        <f>Z64*FuelConsump!$BW64</f>
        <v>152.1520403064014</v>
      </c>
      <c r="AD64" s="107">
        <v>536.70000000000005</v>
      </c>
      <c r="AE64" s="107">
        <v>138.80000000000001</v>
      </c>
      <c r="AF64" s="107">
        <v>2.2999999999999998</v>
      </c>
      <c r="AG64" s="107">
        <v>19.600000000000001</v>
      </c>
      <c r="AH64" s="107">
        <f>21.4-2</f>
        <v>19.399999999999999</v>
      </c>
      <c r="AI64" s="157">
        <v>2</v>
      </c>
      <c r="AJ64" s="123">
        <v>1.6</v>
      </c>
      <c r="AK64" s="86">
        <v>86.8</v>
      </c>
      <c r="AL64" s="86">
        <v>7.6</v>
      </c>
      <c r="AM64" s="86">
        <v>17.100000000000001</v>
      </c>
      <c r="AN64" s="86">
        <v>0.6</v>
      </c>
      <c r="AO64" s="86"/>
      <c r="AP64" s="151">
        <v>1.7</v>
      </c>
      <c r="AQ64" s="147">
        <f>'[1]Passenger-based Activity'!$J65/'[1]Passenger-based Activity'!$J64*AQ63</f>
        <v>608.75378954251005</v>
      </c>
      <c r="AR64" s="153"/>
      <c r="AS64" s="149">
        <f>'[1]Passenger-based Activity'!$G65/'[1]Passenger-based Activity'!$G64*AS63</f>
        <v>354.85053492212967</v>
      </c>
      <c r="AT64" s="99"/>
      <c r="AU64" s="62">
        <v>2006</v>
      </c>
      <c r="AV64" s="64">
        <f t="shared" si="32"/>
        <v>52540.238095238092</v>
      </c>
      <c r="AW64" s="65">
        <f t="shared" si="32"/>
        <v>142867.47619047618</v>
      </c>
      <c r="AX64" s="62">
        <v>2006</v>
      </c>
      <c r="AY64" s="111">
        <v>13694.4</v>
      </c>
      <c r="AZ64" s="152">
        <v>6017.6</v>
      </c>
      <c r="BA64" s="111">
        <v>294.7</v>
      </c>
      <c r="BB64" s="152">
        <v>1636.3</v>
      </c>
      <c r="BC64" s="145">
        <v>2006</v>
      </c>
      <c r="BD64" s="92">
        <v>62.463000000000001</v>
      </c>
      <c r="BE64" s="95">
        <v>548.85599999999999</v>
      </c>
      <c r="BF64" s="76">
        <f>(FuelConsump!BD64*'[1]Fuel Heat Content'!$D$7/1000000)+(FuelConsump!BE64*'[1]Fuel Heat Content'!$C$21/1000000)</f>
        <v>10.536314771999999</v>
      </c>
      <c r="BG64" s="111">
        <f>'[1]TEDB_Ed31_Table 9.10'!J47</f>
        <v>14.3</v>
      </c>
      <c r="BH64" s="95">
        <f t="shared" ref="BH64:BH76" si="37">BF64</f>
        <v>10.536314771999999</v>
      </c>
      <c r="BI64" s="143">
        <v>78.599999999999994</v>
      </c>
      <c r="BJ64" s="110">
        <v>1478</v>
      </c>
      <c r="BK64" s="154">
        <v>3709</v>
      </c>
      <c r="BL64" s="154">
        <v>634</v>
      </c>
      <c r="BM64" s="65">
        <v>4214.3999999999996</v>
      </c>
      <c r="BN64" s="74">
        <v>2006</v>
      </c>
      <c r="BO64" s="77">
        <f>'[1]MER Table 4.3_Nov2019'!I70*1000</f>
        <v>584213</v>
      </c>
      <c r="BP64" s="80">
        <f t="shared" si="15"/>
        <v>2647.6909132109677</v>
      </c>
      <c r="BQ64" s="150"/>
      <c r="BR64" s="111"/>
      <c r="BS64">
        <f t="shared" si="16"/>
        <v>2006</v>
      </c>
      <c r="BV64" s="103">
        <v>0.88400000000000001</v>
      </c>
      <c r="BW64" s="103">
        <v>5.0000000000000001E-3</v>
      </c>
      <c r="BZ64" s="141"/>
      <c r="CA64" s="141"/>
      <c r="CB64" s="141">
        <v>9852</v>
      </c>
      <c r="CC64" s="141">
        <v>1093.5720000000003</v>
      </c>
      <c r="CD64" s="141">
        <v>8709.1679999999997</v>
      </c>
      <c r="CE64" s="141">
        <v>49.26</v>
      </c>
      <c r="CF64" s="141">
        <v>28106.544000000002</v>
      </c>
      <c r="CG64" s="141">
        <v>3119.8263839999991</v>
      </c>
      <c r="CH64" s="141">
        <v>24846.184896000002</v>
      </c>
      <c r="CI64" s="141">
        <v>140.53272000000001</v>
      </c>
      <c r="CK64" s="9"/>
      <c r="CL64" s="64">
        <v>75009</v>
      </c>
      <c r="CN64" s="11"/>
      <c r="CS64" s="12"/>
      <c r="CX64" s="12"/>
      <c r="CY64">
        <v>2006</v>
      </c>
      <c r="CZ64" s="80">
        <v>2206690</v>
      </c>
      <c r="DA64" s="80">
        <v>6000434</v>
      </c>
      <c r="DB64" s="80">
        <f t="shared" si="17"/>
        <v>52540.238095238092</v>
      </c>
      <c r="DC64" s="80">
        <f t="shared" si="17"/>
        <v>142867.47619047618</v>
      </c>
      <c r="DD64" s="80">
        <f t="shared" si="8"/>
        <v>306.067903</v>
      </c>
      <c r="DE64" s="80">
        <f t="shared" si="18"/>
        <v>898.2649697999999</v>
      </c>
      <c r="DF64" s="80">
        <f t="shared" si="19"/>
        <v>1204.3328727999999</v>
      </c>
      <c r="DG64" s="93">
        <v>0.77500000000000002</v>
      </c>
      <c r="DH64" s="93">
        <v>9.2999999999999999E-2</v>
      </c>
      <c r="DI64" s="80">
        <f t="shared" si="29"/>
        <v>320.7412670164</v>
      </c>
      <c r="DJ64" s="156">
        <f t="shared" si="36"/>
        <v>320.7412670164</v>
      </c>
      <c r="DK64" s="80"/>
      <c r="DL64" s="80"/>
      <c r="DM64" s="80"/>
    </row>
    <row r="65" spans="1:122" ht="14" x14ac:dyDescent="0.3">
      <c r="A65" s="145">
        <v>2007</v>
      </c>
      <c r="B65" s="79">
        <f t="shared" si="10"/>
        <v>74377</v>
      </c>
      <c r="C65" s="64">
        <f t="shared" si="11"/>
        <v>54220.832999999999</v>
      </c>
      <c r="D65" s="64">
        <f>B65*0.266</f>
        <v>19784.281999999999</v>
      </c>
      <c r="E65" s="64">
        <f t="shared" si="31"/>
        <v>371.88499999999999</v>
      </c>
      <c r="F65" s="64">
        <v>92034</v>
      </c>
      <c r="G65" s="64">
        <f t="shared" ref="G65:G75" si="38">F65-H65-I65</f>
        <v>67092.786000000007</v>
      </c>
      <c r="H65" s="64">
        <f>F65*0.266</f>
        <v>24481.044000000002</v>
      </c>
      <c r="I65" s="64">
        <f t="shared" ref="I65:I75" si="39">F65*0.005</f>
        <v>460.17</v>
      </c>
      <c r="J65" s="72">
        <v>474.92</v>
      </c>
      <c r="K65" s="65">
        <f t="shared" si="1"/>
        <v>474.92</v>
      </c>
      <c r="L65" s="64">
        <v>61836</v>
      </c>
      <c r="M65" s="64">
        <f t="shared" si="3"/>
        <v>42419.495999999992</v>
      </c>
      <c r="N65" s="64">
        <f>L65*0.266</f>
        <v>16448.376</v>
      </c>
      <c r="O65" s="64">
        <f t="shared" si="33"/>
        <v>2473.44</v>
      </c>
      <c r="P65" s="65">
        <f t="shared" si="34"/>
        <v>494.68799999999999</v>
      </c>
      <c r="Q65" s="64">
        <v>34359</v>
      </c>
      <c r="R65" s="64">
        <f t="shared" ref="R65:R75" si="40">Q65-S65-T65-U65</f>
        <v>23570.274000000001</v>
      </c>
      <c r="S65" s="64">
        <f>Q65*0.266</f>
        <v>9139.4940000000006</v>
      </c>
      <c r="T65" s="64">
        <f t="shared" ref="T65:T75" si="41">Q65*0.04</f>
        <v>1374.3600000000001</v>
      </c>
      <c r="U65" s="65">
        <f t="shared" ref="U65:U75" si="42">Q65*0.008</f>
        <v>274.87200000000001</v>
      </c>
      <c r="V65" s="97">
        <f>[1]Adjust_Truck_Freight!AB43</f>
        <v>16314</v>
      </c>
      <c r="W65" s="80">
        <f t="shared" si="12"/>
        <v>1810.8539999999991</v>
      </c>
      <c r="X65" s="80">
        <f>V65*FuelConsump!$BV65</f>
        <v>14421.576000000001</v>
      </c>
      <c r="Y65" s="88">
        <f>V65*FuelConsump!$BW65</f>
        <v>81.570000000000007</v>
      </c>
      <c r="Z65" s="138">
        <f>[1]Adjust_Truck_Freight!AC43</f>
        <v>30904</v>
      </c>
      <c r="AA65" s="80">
        <f t="shared" si="13"/>
        <v>3430.3440000000014</v>
      </c>
      <c r="AB65" s="80">
        <f>Z65*FuelConsump!$BV65</f>
        <v>27319.135999999999</v>
      </c>
      <c r="AC65" s="88">
        <f>Z65*FuelConsump!$BW65</f>
        <v>154.52000000000001</v>
      </c>
      <c r="AD65" s="107">
        <v>494.1</v>
      </c>
      <c r="AE65" s="107">
        <v>129.1</v>
      </c>
      <c r="AF65" s="107">
        <v>2.5</v>
      </c>
      <c r="AG65" s="107">
        <v>18.3</v>
      </c>
      <c r="AH65" s="107">
        <v>25.8</v>
      </c>
      <c r="AI65" s="107">
        <v>1.3</v>
      </c>
      <c r="AJ65" s="107">
        <v>0</v>
      </c>
      <c r="AK65" s="158">
        <v>95.8</v>
      </c>
      <c r="AL65" s="86">
        <v>6.4</v>
      </c>
      <c r="AM65" s="86">
        <v>72.8</v>
      </c>
      <c r="AN65" s="86">
        <v>0.7</v>
      </c>
      <c r="AO65" s="86">
        <v>9.1999999999999993</v>
      </c>
      <c r="AP65" s="151">
        <v>4.0999999999999996</v>
      </c>
      <c r="AQ65" s="147">
        <f>'[1]Passenger-based Activity'!$J66/'[1]Passenger-based Activity'!$J65*AQ64</f>
        <v>593.64146022598243</v>
      </c>
      <c r="AR65" s="153"/>
      <c r="AS65" s="149">
        <f>'[1]Passenger-based Activity'!$G66/'[1]Passenger-based Activity'!$G65*AS64</f>
        <v>380.3625130559841</v>
      </c>
      <c r="AT65" s="99"/>
      <c r="AU65" s="62">
        <v>2007</v>
      </c>
      <c r="AV65" s="64">
        <f t="shared" si="32"/>
        <v>51403.095238095237</v>
      </c>
      <c r="AW65" s="65">
        <f t="shared" si="32"/>
        <v>161284.52380952382</v>
      </c>
      <c r="AX65" s="62">
        <v>2007</v>
      </c>
      <c r="AY65" s="111">
        <v>13681.7</v>
      </c>
      <c r="AZ65" s="152">
        <v>6204.5</v>
      </c>
      <c r="BA65" s="111">
        <v>314.8</v>
      </c>
      <c r="BB65" s="152">
        <v>1516.3</v>
      </c>
      <c r="BC65" s="145">
        <v>2007</v>
      </c>
      <c r="BD65" s="92">
        <v>61.823999999999998</v>
      </c>
      <c r="BE65" s="95">
        <v>577.86400000000003</v>
      </c>
      <c r="BF65" s="76">
        <f>(FuelConsump!BD65*'[1]Fuel Heat Content'!$D$7/1000000)+(FuelConsump!BE65*'[1]Fuel Heat Content'!$C$21/1000000)</f>
        <v>10.546660767999999</v>
      </c>
      <c r="BG65" s="111">
        <f>'[1]TEDB_Ed31_Table 9.10'!J48</f>
        <v>14.5</v>
      </c>
      <c r="BH65" s="95">
        <f t="shared" si="37"/>
        <v>10.546660767999999</v>
      </c>
      <c r="BI65" s="143">
        <v>80.7</v>
      </c>
      <c r="BJ65" s="159">
        <v>1762.9</v>
      </c>
      <c r="BK65" s="154">
        <v>3817.2</v>
      </c>
      <c r="BL65" s="154">
        <v>687.3</v>
      </c>
      <c r="BM65" s="154">
        <v>4087.4</v>
      </c>
      <c r="BN65" s="74">
        <v>2007</v>
      </c>
      <c r="BO65" s="77">
        <f>'[1]MER Table 4.3_Nov2019'!I71*1000</f>
        <v>621364</v>
      </c>
      <c r="BP65" s="80">
        <f t="shared" si="15"/>
        <v>2816.0616360752324</v>
      </c>
      <c r="BQ65" s="155"/>
      <c r="BR65" s="160"/>
      <c r="BS65">
        <f t="shared" si="16"/>
        <v>2007</v>
      </c>
      <c r="BV65" s="103">
        <v>0.88400000000000001</v>
      </c>
      <c r="BW65" s="103">
        <v>5.0000000000000001E-3</v>
      </c>
      <c r="CA65">
        <v>2007</v>
      </c>
      <c r="CB65">
        <v>16314</v>
      </c>
      <c r="CC65" s="161">
        <v>1810.8539999999991</v>
      </c>
      <c r="CD65" s="161">
        <v>14421.576000000001</v>
      </c>
      <c r="CE65" s="161">
        <v>81.570000000000007</v>
      </c>
      <c r="CF65" s="141">
        <v>30904</v>
      </c>
      <c r="CG65">
        <v>42419.495999999992</v>
      </c>
      <c r="CH65">
        <v>16448.376</v>
      </c>
      <c r="CI65">
        <v>2473.44</v>
      </c>
      <c r="CJ65">
        <v>494.68799999999999</v>
      </c>
      <c r="CK65" s="9"/>
      <c r="CL65" s="64">
        <v>74377</v>
      </c>
      <c r="CN65" s="11"/>
      <c r="CS65" s="12"/>
      <c r="CX65" s="12"/>
      <c r="CY65">
        <v>2007</v>
      </c>
      <c r="CZ65" s="80">
        <v>2158930</v>
      </c>
      <c r="DA65" s="80">
        <v>6773950</v>
      </c>
      <c r="DB65" s="80">
        <f t="shared" si="17"/>
        <v>51403.095238095237</v>
      </c>
      <c r="DC65" s="80">
        <f t="shared" si="17"/>
        <v>161284.52380952382</v>
      </c>
      <c r="DD65" s="80">
        <f t="shared" si="8"/>
        <v>299.44359099999997</v>
      </c>
      <c r="DE65" s="80">
        <f t="shared" si="18"/>
        <v>1014.0603149999998</v>
      </c>
      <c r="DF65" s="80">
        <f t="shared" si="19"/>
        <v>1313.5039059999999</v>
      </c>
      <c r="DG65" s="93">
        <v>0.77500000000000002</v>
      </c>
      <c r="DH65" s="93">
        <v>9.2999999999999999E-2</v>
      </c>
      <c r="DI65" s="80">
        <f t="shared" si="29"/>
        <v>326.37639231999998</v>
      </c>
      <c r="DJ65" s="156">
        <f t="shared" si="36"/>
        <v>326.37639231999998</v>
      </c>
      <c r="DK65" s="80"/>
      <c r="DL65" s="80"/>
      <c r="DO65">
        <f t="shared" ref="DO65:DO75" si="43">B65+L65</f>
        <v>136213</v>
      </c>
      <c r="DP65" s="80"/>
      <c r="DQ65" s="67" t="s">
        <v>103</v>
      </c>
    </row>
    <row r="66" spans="1:122" ht="14" x14ac:dyDescent="0.3">
      <c r="A66" s="74">
        <v>2008</v>
      </c>
      <c r="B66" s="80">
        <v>71497</v>
      </c>
      <c r="C66" s="64">
        <f t="shared" si="11"/>
        <v>44185.146000000001</v>
      </c>
      <c r="D66" s="64">
        <f>B66*0.377</f>
        <v>26954.368999999999</v>
      </c>
      <c r="E66" s="64">
        <f t="shared" si="31"/>
        <v>357.48500000000001</v>
      </c>
      <c r="F66" s="64">
        <v>85589</v>
      </c>
      <c r="G66" s="64">
        <f t="shared" si="38"/>
        <v>52894.002</v>
      </c>
      <c r="H66" s="64">
        <f>F66*0.377</f>
        <v>32267.053</v>
      </c>
      <c r="I66" s="64">
        <f t="shared" si="39"/>
        <v>427.94499999999999</v>
      </c>
      <c r="J66" s="72">
        <v>489.42</v>
      </c>
      <c r="K66" s="65">
        <f t="shared" si="1"/>
        <v>489.42</v>
      </c>
      <c r="L66" s="64">
        <v>61199</v>
      </c>
      <c r="M66" s="64">
        <f t="shared" si="3"/>
        <v>35189.425000000003</v>
      </c>
      <c r="N66" s="64">
        <f>L66*0.377</f>
        <v>23072.023000000001</v>
      </c>
      <c r="O66" s="64">
        <f t="shared" si="33"/>
        <v>2447.96</v>
      </c>
      <c r="P66" s="65">
        <f t="shared" si="34"/>
        <v>489.59199999999998</v>
      </c>
      <c r="Q66" s="64">
        <v>34925</v>
      </c>
      <c r="R66" s="64">
        <f t="shared" si="40"/>
        <v>20081.875</v>
      </c>
      <c r="S66" s="64">
        <f>Q66*0.377</f>
        <v>13166.725</v>
      </c>
      <c r="T66" s="64">
        <f t="shared" si="41"/>
        <v>1397</v>
      </c>
      <c r="U66" s="65">
        <f t="shared" si="42"/>
        <v>279.40000000000003</v>
      </c>
      <c r="V66" s="97">
        <f>[1]Adjust_Truck_Freight!AB44</f>
        <v>17144</v>
      </c>
      <c r="W66" s="80">
        <f t="shared" si="12"/>
        <v>1902.9839999999997</v>
      </c>
      <c r="X66" s="80">
        <f>V66*FuelConsump!$BV66</f>
        <v>15155.296</v>
      </c>
      <c r="Y66" s="88">
        <f>V66*FuelConsump!$BW66</f>
        <v>85.72</v>
      </c>
      <c r="Z66" s="138">
        <f>[1]Adjust_Truck_Freight!AC44</f>
        <v>30561</v>
      </c>
      <c r="AA66" s="80">
        <f t="shared" si="13"/>
        <v>3392.2710000000011</v>
      </c>
      <c r="AB66" s="80">
        <f>Z66*FuelConsump!$BV66</f>
        <v>27015.923999999999</v>
      </c>
      <c r="AC66" s="88">
        <f>Z66*FuelConsump!$BW66</f>
        <v>152.80500000000001</v>
      </c>
      <c r="AD66" s="107">
        <v>493.3</v>
      </c>
      <c r="AE66" s="107">
        <v>135.5</v>
      </c>
      <c r="AF66" s="107">
        <v>3.8</v>
      </c>
      <c r="AG66" s="107">
        <v>17.899999999999999</v>
      </c>
      <c r="AH66" s="107">
        <v>41.8</v>
      </c>
      <c r="AI66" s="107">
        <v>0.9</v>
      </c>
      <c r="AJ66" s="107">
        <v>0</v>
      </c>
      <c r="AK66" s="158">
        <v>103.2</v>
      </c>
      <c r="AL66" s="86">
        <v>6.9</v>
      </c>
      <c r="AM66" s="86">
        <v>75.2</v>
      </c>
      <c r="AN66" s="86">
        <v>0.2</v>
      </c>
      <c r="AO66" s="86">
        <v>11.5</v>
      </c>
      <c r="AP66" s="151">
        <v>1.4</v>
      </c>
      <c r="AQ66" s="147">
        <f>'[1]Passenger-based Activity'!$J67/'[1]Passenger-based Activity'!$J66*AQ65</f>
        <v>571.01717418268129</v>
      </c>
      <c r="AR66" s="153"/>
      <c r="AS66" s="149">
        <f>'[1]Passenger-based Activity'!$G67/'[1]Passenger-based Activity'!$G66*AS65</f>
        <v>376.03018078012354</v>
      </c>
      <c r="AT66" s="99"/>
      <c r="AU66" s="62">
        <v>2008</v>
      </c>
      <c r="AV66" s="64">
        <f t="shared" si="32"/>
        <v>47160.214285714283</v>
      </c>
      <c r="AW66" s="65">
        <f t="shared" si="32"/>
        <v>149382.07142857142</v>
      </c>
      <c r="AX66" s="62">
        <v>2008</v>
      </c>
      <c r="AY66" s="111">
        <v>12666.9</v>
      </c>
      <c r="AZ66" s="152">
        <v>6186.7</v>
      </c>
      <c r="BA66" s="111">
        <v>306.3</v>
      </c>
      <c r="BB66" s="152">
        <v>1688.6</v>
      </c>
      <c r="BC66" s="145">
        <v>2008</v>
      </c>
      <c r="BD66" s="92">
        <v>63.427999999999997</v>
      </c>
      <c r="BE66" s="95">
        <v>582.02200000000005</v>
      </c>
      <c r="BF66" s="76">
        <f>(FuelConsump!BD66*'[1]Fuel Heat Content'!$D$7/1000000)+(FuelConsump!BE66*'[1]Fuel Heat Content'!$C$21/1000000)</f>
        <v>10.783322664</v>
      </c>
      <c r="BG66" s="111">
        <f>'[1]TEDB_Ed31_Table 9.10'!J49</f>
        <v>14.8</v>
      </c>
      <c r="BH66" s="95">
        <f t="shared" si="37"/>
        <v>10.783322664</v>
      </c>
      <c r="BI66" s="143">
        <v>83.5</v>
      </c>
      <c r="BJ66" s="159">
        <v>1717.7</v>
      </c>
      <c r="BK66" s="154">
        <v>3897.7</v>
      </c>
      <c r="BL66" s="154">
        <v>720.9</v>
      </c>
      <c r="BM66" s="154">
        <v>3911.2</v>
      </c>
      <c r="BN66" s="74">
        <v>2008</v>
      </c>
      <c r="BO66" s="77">
        <f>'[1]MER Table 4.3_Nov2019'!I72*1000</f>
        <v>647956</v>
      </c>
      <c r="BP66" s="80">
        <f t="shared" si="15"/>
        <v>2936.5782914117381</v>
      </c>
      <c r="BQ66" s="155"/>
      <c r="BR66" s="160"/>
      <c r="BS66">
        <f t="shared" si="16"/>
        <v>2008</v>
      </c>
      <c r="BV66" s="103">
        <v>0.88400000000000001</v>
      </c>
      <c r="BW66" s="103">
        <v>5.0000000000000001E-3</v>
      </c>
      <c r="CA66">
        <v>2008</v>
      </c>
      <c r="CB66">
        <v>17144</v>
      </c>
      <c r="CC66" s="161">
        <v>1902.9839999999997</v>
      </c>
      <c r="CD66" s="161">
        <v>15155.296</v>
      </c>
      <c r="CE66" s="161">
        <v>85.72</v>
      </c>
      <c r="CF66">
        <v>30561</v>
      </c>
      <c r="CG66">
        <v>35764.425000000003</v>
      </c>
      <c r="CH66">
        <v>23449.023000000001</v>
      </c>
      <c r="CI66">
        <v>2487.96</v>
      </c>
      <c r="CJ66">
        <v>497.59199999999998</v>
      </c>
      <c r="CK66" s="9"/>
      <c r="CL66" s="80">
        <v>71497</v>
      </c>
      <c r="CN66" s="11"/>
      <c r="CS66" s="12"/>
      <c r="CX66" s="12"/>
      <c r="CY66">
        <v>2008</v>
      </c>
      <c r="CZ66" s="80">
        <v>1980729</v>
      </c>
      <c r="DA66" s="80">
        <v>6274047</v>
      </c>
      <c r="DB66" s="80">
        <f t="shared" ref="DB66:DC75" si="44">CZ66/42</f>
        <v>47160.214285714283</v>
      </c>
      <c r="DC66" s="80">
        <f t="shared" si="44"/>
        <v>149382.07142857142</v>
      </c>
      <c r="DD66" s="80">
        <f>CZ66*$DD$20*0.000001</f>
        <v>274.72711229999993</v>
      </c>
      <c r="DE66" s="80">
        <f>DA66*$DE$20*0.000001</f>
        <v>939.2248358999999</v>
      </c>
      <c r="DF66" s="80">
        <f>SUM(DD66:DE66)</f>
        <v>1213.9519481999998</v>
      </c>
      <c r="DG66" s="93">
        <v>0.77500000000000002</v>
      </c>
      <c r="DH66" s="93">
        <v>9.2999999999999999E-2</v>
      </c>
      <c r="DI66" s="80">
        <f t="shared" si="29"/>
        <v>300.26142177119993</v>
      </c>
      <c r="DJ66" s="156">
        <f t="shared" si="36"/>
        <v>300.26142177119993</v>
      </c>
      <c r="DK66" s="80"/>
      <c r="DL66" s="80"/>
      <c r="DO66">
        <f t="shared" si="43"/>
        <v>132696</v>
      </c>
      <c r="DP66" s="80"/>
      <c r="DQ66" s="67" t="s">
        <v>104</v>
      </c>
      <c r="DR66" s="67" t="s">
        <v>27</v>
      </c>
    </row>
    <row r="67" spans="1:122" ht="14" x14ac:dyDescent="0.3">
      <c r="A67" s="74">
        <v>2009</v>
      </c>
      <c r="B67" s="93"/>
      <c r="C67" s="162"/>
      <c r="D67" s="162"/>
      <c r="E67" s="162"/>
      <c r="F67" s="64">
        <v>85658</v>
      </c>
      <c r="G67" s="64">
        <f t="shared" si="38"/>
        <v>47797.163999999997</v>
      </c>
      <c r="H67" s="64">
        <f>F67*0.437</f>
        <v>37432.546000000002</v>
      </c>
      <c r="I67" s="64">
        <f t="shared" si="39"/>
        <v>428.29</v>
      </c>
      <c r="J67" s="72">
        <v>482.29</v>
      </c>
      <c r="K67" s="65">
        <f t="shared" si="1"/>
        <v>482.29</v>
      </c>
      <c r="L67" s="93"/>
      <c r="M67" s="64"/>
      <c r="N67" s="64"/>
      <c r="O67" s="64"/>
      <c r="P67" s="65"/>
      <c r="Q67" s="64">
        <v>35710</v>
      </c>
      <c r="R67" s="64">
        <f t="shared" si="40"/>
        <v>18390.649999999998</v>
      </c>
      <c r="S67" s="64">
        <f>Q67*0.437</f>
        <v>15605.27</v>
      </c>
      <c r="T67" s="64">
        <f t="shared" si="41"/>
        <v>1428.4</v>
      </c>
      <c r="U67" s="65">
        <f t="shared" si="42"/>
        <v>285.68</v>
      </c>
      <c r="V67" s="97">
        <f>[1]Adjust_Truck_Freight!AB45</f>
        <v>16253</v>
      </c>
      <c r="W67" s="80">
        <f t="shared" si="12"/>
        <v>1804.0829999999999</v>
      </c>
      <c r="X67" s="80">
        <f>V67*FuelConsump!$BV67</f>
        <v>14367.652</v>
      </c>
      <c r="Y67" s="88">
        <f>V67*FuelConsump!$BW67</f>
        <v>81.265000000000001</v>
      </c>
      <c r="Z67" s="138">
        <f>[1]Adjust_Truck_Freight!AC45</f>
        <v>28050</v>
      </c>
      <c r="AA67" s="80">
        <f t="shared" si="13"/>
        <v>3113.5499999999993</v>
      </c>
      <c r="AB67" s="80">
        <f>Z67*FuelConsump!$BV67</f>
        <v>24796.2</v>
      </c>
      <c r="AC67" s="88">
        <f>Z67*FuelConsump!$BW67</f>
        <v>140.25</v>
      </c>
      <c r="AD67" s="107">
        <v>455.5</v>
      </c>
      <c r="AE67" s="107">
        <v>141.6</v>
      </c>
      <c r="AF67" s="107">
        <v>6.7</v>
      </c>
      <c r="AG67" s="107">
        <v>25.5</v>
      </c>
      <c r="AH67" s="107">
        <v>40.6</v>
      </c>
      <c r="AI67" s="107">
        <v>4.3</v>
      </c>
      <c r="AJ67" s="107">
        <v>0</v>
      </c>
      <c r="AK67" s="158">
        <v>71.400000000000006</v>
      </c>
      <c r="AL67" s="86">
        <v>3.7</v>
      </c>
      <c r="AM67" s="86">
        <v>100.7</v>
      </c>
      <c r="AN67" s="86">
        <v>0</v>
      </c>
      <c r="AO67" s="86">
        <v>6.6</v>
      </c>
      <c r="AP67" s="151">
        <v>2.4</v>
      </c>
      <c r="AQ67" s="147">
        <f>'[1]Passenger-based Activity'!$J68/'[1]Passenger-based Activity'!$J67*AQ66</f>
        <v>586.90961771702894</v>
      </c>
      <c r="AR67" s="153"/>
      <c r="AS67" s="149">
        <f>'[1]Passenger-based Activity'!$G68/'[1]Passenger-based Activity'!$G67*AS66</f>
        <v>375.15906839221589</v>
      </c>
      <c r="AT67" s="99"/>
      <c r="AU67" s="62">
        <v>2009</v>
      </c>
      <c r="AV67" s="64">
        <f t="shared" si="32"/>
        <v>50921.190476190473</v>
      </c>
      <c r="AW67" s="65">
        <f t="shared" si="32"/>
        <v>126944.21428571429</v>
      </c>
      <c r="AX67" s="62">
        <v>2009</v>
      </c>
      <c r="AY67" s="111">
        <v>11339.2</v>
      </c>
      <c r="AZ67" s="152">
        <v>5721.3</v>
      </c>
      <c r="BA67" s="111">
        <v>226.6</v>
      </c>
      <c r="BB67" s="152">
        <v>1350.6</v>
      </c>
      <c r="BC67" s="145">
        <v>2009</v>
      </c>
      <c r="BD67" s="92">
        <v>61.704000000000001</v>
      </c>
      <c r="BE67" s="95">
        <v>564.96799999999996</v>
      </c>
      <c r="BF67" s="76">
        <f>(FuelConsump!BD67*'[1]Fuel Heat Content'!$D$7/1000000)+(FuelConsump!BE67*'[1]Fuel Heat Content'!$C$21/1000000)</f>
        <v>10.486015616</v>
      </c>
      <c r="BG67" s="111">
        <f>'[1]TEDB_Ed31_Table 9.10'!J50</f>
        <v>14.4</v>
      </c>
      <c r="BH67" s="95">
        <f t="shared" si="37"/>
        <v>10.486015616</v>
      </c>
      <c r="BI67" s="143">
        <v>95</v>
      </c>
      <c r="BJ67" s="159">
        <v>1780</v>
      </c>
      <c r="BK67" s="154">
        <v>3886</v>
      </c>
      <c r="BL67" s="154">
        <v>738</v>
      </c>
      <c r="BM67" s="154">
        <v>3220.0590000000002</v>
      </c>
      <c r="BN67" s="74">
        <v>2009</v>
      </c>
      <c r="BO67" s="77">
        <f>'[1]MER Table 4.3_Nov2019'!I73*1000</f>
        <v>670174</v>
      </c>
      <c r="BP67" s="80">
        <f t="shared" si="15"/>
        <v>3037.2716972581011</v>
      </c>
      <c r="BQ67" s="155"/>
      <c r="BR67" s="160"/>
      <c r="BS67">
        <f t="shared" si="16"/>
        <v>2009</v>
      </c>
      <c r="BV67" s="103">
        <v>0.88400000000000001</v>
      </c>
      <c r="BW67" s="103">
        <v>5.0000000000000001E-3</v>
      </c>
      <c r="CA67">
        <v>2009</v>
      </c>
      <c r="CB67">
        <v>16253</v>
      </c>
      <c r="CC67" s="161">
        <v>1804.0829999999999</v>
      </c>
      <c r="CD67" s="161">
        <v>14367.652</v>
      </c>
      <c r="CE67" s="161">
        <v>81.265000000000001</v>
      </c>
      <c r="CF67">
        <v>28050</v>
      </c>
      <c r="CG67">
        <v>32307.495000000003</v>
      </c>
      <c r="CH67">
        <v>27414.321</v>
      </c>
      <c r="CI67">
        <v>2509.3200000000002</v>
      </c>
      <c r="CJ67">
        <v>501.86400000000003</v>
      </c>
      <c r="CK67" s="9"/>
      <c r="CL67" s="64"/>
      <c r="CN67" s="11"/>
      <c r="CS67" s="12"/>
      <c r="CX67" s="12"/>
      <c r="CY67">
        <v>2009</v>
      </c>
      <c r="CZ67" s="80">
        <v>2138690</v>
      </c>
      <c r="DA67" s="80">
        <v>5331657</v>
      </c>
      <c r="DB67" s="80">
        <f t="shared" si="44"/>
        <v>50921.190476190473</v>
      </c>
      <c r="DC67" s="80">
        <f t="shared" si="44"/>
        <v>126944.21428571429</v>
      </c>
      <c r="DD67" s="80">
        <f>CZ67*$DD$20*0.000001</f>
        <v>296.636303</v>
      </c>
      <c r="DE67" s="80">
        <f>DA67*$DE$20*0.000001</f>
        <v>798.1490528999999</v>
      </c>
      <c r="DF67" s="80">
        <f>SUM(DD67:DE67)</f>
        <v>1094.7853559</v>
      </c>
      <c r="DG67" s="93">
        <v>0.77500000000000002</v>
      </c>
      <c r="DH67" s="93">
        <v>9.2999999999999999E-2</v>
      </c>
      <c r="DI67" s="80">
        <f t="shared" si="29"/>
        <v>304.12099674469999</v>
      </c>
      <c r="DJ67" s="156">
        <f t="shared" si="36"/>
        <v>304.12099674469999</v>
      </c>
      <c r="DK67" s="80"/>
      <c r="DL67" s="80"/>
      <c r="DO67">
        <f t="shared" si="43"/>
        <v>0</v>
      </c>
      <c r="DP67" s="74">
        <v>2009</v>
      </c>
      <c r="DQ67" s="80">
        <v>68418</v>
      </c>
      <c r="DR67" s="64">
        <v>62733</v>
      </c>
    </row>
    <row r="68" spans="1:122" ht="14" x14ac:dyDescent="0.3">
      <c r="A68" s="74">
        <v>2010</v>
      </c>
      <c r="B68" s="93"/>
      <c r="C68" s="162"/>
      <c r="D68" s="162"/>
      <c r="E68" s="163"/>
      <c r="F68" s="64">
        <v>86789</v>
      </c>
      <c r="G68" s="64">
        <f t="shared" si="38"/>
        <v>42960.555</v>
      </c>
      <c r="H68" s="64">
        <f>F68*0.5</f>
        <v>43394.5</v>
      </c>
      <c r="I68" s="64">
        <f t="shared" si="39"/>
        <v>433.94499999999999</v>
      </c>
      <c r="J68" s="71">
        <v>426.7</v>
      </c>
      <c r="K68" s="65">
        <f t="shared" si="1"/>
        <v>426.7</v>
      </c>
      <c r="L68" s="93"/>
      <c r="M68" s="64"/>
      <c r="N68" s="64"/>
      <c r="O68" s="64"/>
      <c r="P68" s="65"/>
      <c r="Q68" s="64">
        <v>36251</v>
      </c>
      <c r="R68" s="64">
        <f t="shared" si="40"/>
        <v>16385.451999999997</v>
      </c>
      <c r="S68" s="64">
        <f>Q68*0.5</f>
        <v>18125.5</v>
      </c>
      <c r="T68" s="64">
        <f t="shared" si="41"/>
        <v>1450.04</v>
      </c>
      <c r="U68" s="65">
        <f t="shared" si="42"/>
        <v>290.00799999999998</v>
      </c>
      <c r="V68" s="97">
        <f>[1]Adjust_Truck_Freight!AB46</f>
        <v>15097</v>
      </c>
      <c r="W68" s="80">
        <f t="shared" si="12"/>
        <v>1675.7670000000005</v>
      </c>
      <c r="X68" s="80">
        <f>V68*FuelConsump!$BV68</f>
        <v>13345.748</v>
      </c>
      <c r="Y68" s="88">
        <f>V68*FuelConsump!$BW68</f>
        <v>75.484999999999999</v>
      </c>
      <c r="Z68" s="138">
        <f>[1]Adjust_Truck_Freight!AC46</f>
        <v>29927</v>
      </c>
      <c r="AA68" s="80">
        <f t="shared" si="13"/>
        <v>3321.896999999999</v>
      </c>
      <c r="AB68" s="80">
        <f>Z68*FuelConsump!$BV68</f>
        <v>26455.468000000001</v>
      </c>
      <c r="AC68" s="88">
        <f>Z68*FuelConsump!$BW68</f>
        <v>149.63499999999999</v>
      </c>
      <c r="AD68" s="107">
        <v>435.4</v>
      </c>
      <c r="AE68" s="107">
        <v>126.2</v>
      </c>
      <c r="AF68" s="107">
        <v>8.1</v>
      </c>
      <c r="AG68" s="107">
        <v>23</v>
      </c>
      <c r="AH68" s="107">
        <v>43.5</v>
      </c>
      <c r="AI68" s="107">
        <v>3.5</v>
      </c>
      <c r="AJ68" s="123">
        <v>0</v>
      </c>
      <c r="AK68" s="86">
        <v>64.599999999999994</v>
      </c>
      <c r="AL68" s="86">
        <v>3.3</v>
      </c>
      <c r="AM68" s="86">
        <v>107.1</v>
      </c>
      <c r="AN68" s="86">
        <f t="shared" ref="AN68:AN69" si="45">AN67</f>
        <v>0</v>
      </c>
      <c r="AO68" s="86">
        <v>8.1999999999999993</v>
      </c>
      <c r="AP68" s="151">
        <v>0.4</v>
      </c>
      <c r="AQ68" s="147">
        <f>'[1]Passenger-based Activity'!$J69/'[1]Passenger-based Activity'!$J68*AQ67</f>
        <v>571.26314626338569</v>
      </c>
      <c r="AR68" s="164"/>
      <c r="AS68" s="149">
        <f>'[1]Passenger-based Activity'!$G69/'[1]Passenger-based Activity'!$G68*AS67</f>
        <v>364.67907144594557</v>
      </c>
      <c r="AT68" s="165"/>
      <c r="AU68" s="62">
        <v>2010</v>
      </c>
      <c r="AV68" s="64">
        <f t="shared" si="32"/>
        <v>57786.928571428572</v>
      </c>
      <c r="AW68" s="65">
        <f t="shared" si="32"/>
        <v>143627.78571428571</v>
      </c>
      <c r="AX68" s="62">
        <v>2010</v>
      </c>
      <c r="AY68" s="111">
        <v>11256.9</v>
      </c>
      <c r="AZ68" s="152">
        <v>6041.5</v>
      </c>
      <c r="BA68" s="111">
        <v>210.3</v>
      </c>
      <c r="BB68" s="152">
        <v>1451.5</v>
      </c>
      <c r="BC68" s="62">
        <v>2010</v>
      </c>
      <c r="BD68" s="93">
        <v>63.473999999999997</v>
      </c>
      <c r="BE68" s="95">
        <v>558.66200000000003</v>
      </c>
      <c r="BF68" s="76">
        <f>(FuelConsump!BD68*'[1]Fuel Heat Content'!$D$7/1000000)+(FuelConsump!BE68*'[1]Fuel Heat Content'!$C$21/1000000)</f>
        <v>10.709998543999999</v>
      </c>
      <c r="BG68" s="111">
        <f>'[1]TEDB_Ed31_Table 9.10'!J51</f>
        <v>14.6</v>
      </c>
      <c r="BH68" s="95">
        <f t="shared" si="37"/>
        <v>10.709998543999999</v>
      </c>
      <c r="BI68" s="143">
        <v>93.2</v>
      </c>
      <c r="BJ68" s="159">
        <v>1797</v>
      </c>
      <c r="BK68" s="154">
        <v>3780</v>
      </c>
      <c r="BL68" s="154">
        <v>749</v>
      </c>
      <c r="BM68" s="154">
        <v>3519.0210000000002</v>
      </c>
      <c r="BN68" s="74">
        <v>2010</v>
      </c>
      <c r="BO68" s="77">
        <f>'[1]MER Table 4.3_Nov2019'!I74*1000</f>
        <v>674124</v>
      </c>
      <c r="BP68" s="80">
        <f t="shared" si="15"/>
        <v>3055.1733514615908</v>
      </c>
      <c r="BQ68" s="155"/>
      <c r="BR68" s="155"/>
      <c r="BS68">
        <f t="shared" si="16"/>
        <v>2010</v>
      </c>
      <c r="BV68" s="103">
        <v>0.88400000000000001</v>
      </c>
      <c r="BW68" s="103">
        <v>5.0000000000000001E-3</v>
      </c>
      <c r="CA68">
        <v>2010</v>
      </c>
      <c r="CB68">
        <v>15097</v>
      </c>
      <c r="CC68" s="161">
        <v>1675.7670000000005</v>
      </c>
      <c r="CD68" s="161">
        <v>13345.748</v>
      </c>
      <c r="CE68" s="161">
        <v>75.484999999999999</v>
      </c>
      <c r="CF68">
        <v>29927</v>
      </c>
      <c r="CG68">
        <v>27545.784</v>
      </c>
      <c r="CH68">
        <v>30471</v>
      </c>
      <c r="CI68">
        <v>2437.6799999999998</v>
      </c>
      <c r="CJ68">
        <v>487.536</v>
      </c>
      <c r="CK68" s="9"/>
      <c r="CN68" s="11"/>
      <c r="CS68" s="12"/>
      <c r="CX68" s="12"/>
      <c r="CY68">
        <v>2010</v>
      </c>
      <c r="CZ68" s="80">
        <v>2427051</v>
      </c>
      <c r="DA68" s="80">
        <v>6032367</v>
      </c>
      <c r="DB68" s="80">
        <f t="shared" si="44"/>
        <v>57786.928571428572</v>
      </c>
      <c r="DC68" s="80">
        <f t="shared" si="44"/>
        <v>143627.78571428571</v>
      </c>
      <c r="DD68" s="80">
        <f>CZ68*$DD$20*0.000001</f>
        <v>336.63197369999995</v>
      </c>
      <c r="DE68" s="80">
        <f>DA68*$DE$20*0.000001</f>
        <v>903.04533989999993</v>
      </c>
      <c r="DF68" s="80">
        <f>SUM(DD68:DE68)</f>
        <v>1239.6773135999999</v>
      </c>
      <c r="DG68" s="93">
        <v>0.77500000000000002</v>
      </c>
      <c r="DH68" s="93">
        <v>9.2999999999999999E-2</v>
      </c>
      <c r="DI68" s="80">
        <f t="shared" si="29"/>
        <v>344.87299622820001</v>
      </c>
      <c r="DJ68" s="156">
        <f t="shared" si="36"/>
        <v>344.87299622820001</v>
      </c>
      <c r="DK68" s="80"/>
      <c r="DL68" s="80"/>
      <c r="DO68">
        <f t="shared" si="43"/>
        <v>0</v>
      </c>
      <c r="DP68" s="74">
        <v>2010</v>
      </c>
      <c r="DQ68" s="80">
        <v>64990</v>
      </c>
      <c r="DR68" s="64">
        <v>60942</v>
      </c>
    </row>
    <row r="69" spans="1:122" ht="14" x14ac:dyDescent="0.3">
      <c r="A69" s="145">
        <v>2011</v>
      </c>
      <c r="B69" s="93"/>
      <c r="C69" s="162"/>
      <c r="D69" s="162"/>
      <c r="E69" s="163"/>
      <c r="F69" s="64">
        <v>88359</v>
      </c>
      <c r="G69" s="64">
        <f t="shared" si="38"/>
        <v>43030.832999999999</v>
      </c>
      <c r="H69" s="64">
        <f>F69*0.508</f>
        <v>44886.372000000003</v>
      </c>
      <c r="I69" s="64">
        <f t="shared" si="39"/>
        <v>441.79500000000002</v>
      </c>
      <c r="J69" s="71">
        <v>426.4</v>
      </c>
      <c r="K69" s="65">
        <f t="shared" si="1"/>
        <v>426.4</v>
      </c>
      <c r="L69" s="93"/>
      <c r="M69" s="64"/>
      <c r="N69" s="64"/>
      <c r="O69" s="64"/>
      <c r="P69" s="64"/>
      <c r="Q69" s="64">
        <v>35335</v>
      </c>
      <c r="R69" s="64">
        <f t="shared" si="40"/>
        <v>15688.74</v>
      </c>
      <c r="S69" s="64">
        <f>Q69*0.508</f>
        <v>17950.18</v>
      </c>
      <c r="T69" s="64">
        <f t="shared" si="41"/>
        <v>1413.4</v>
      </c>
      <c r="U69" s="64">
        <f t="shared" si="42"/>
        <v>282.68</v>
      </c>
      <c r="V69" s="97">
        <f>[1]Adjust_Truck_Freight!AB47</f>
        <v>14215.4</v>
      </c>
      <c r="W69" s="80">
        <f t="shared" si="12"/>
        <v>1577.9093999999998</v>
      </c>
      <c r="X69" s="80">
        <f>V69*FuelConsump!$BV69</f>
        <v>12566.4136</v>
      </c>
      <c r="Y69" s="88">
        <f>V69*FuelConsump!$BW69</f>
        <v>71.076999999999998</v>
      </c>
      <c r="Z69" s="138">
        <f>[1]Adjust_Truck_Freight!AC47</f>
        <v>28181</v>
      </c>
      <c r="AA69" s="80">
        <f t="shared" si="13"/>
        <v>3128.090999999999</v>
      </c>
      <c r="AB69" s="80">
        <f>Z69*FuelConsump!$BV69</f>
        <v>24912.004000000001</v>
      </c>
      <c r="AC69" s="88">
        <f>Z69*FuelConsump!$BW69</f>
        <v>140.905</v>
      </c>
      <c r="AD69" s="107">
        <v>455.1</v>
      </c>
      <c r="AE69" s="107">
        <v>131.1</v>
      </c>
      <c r="AF69" s="107">
        <v>8.9</v>
      </c>
      <c r="AG69" s="107">
        <v>21.6</v>
      </c>
      <c r="AH69" s="107">
        <v>51.1</v>
      </c>
      <c r="AI69" s="107">
        <v>3.9</v>
      </c>
      <c r="AJ69" s="123">
        <v>0</v>
      </c>
      <c r="AK69" s="86">
        <v>63.4</v>
      </c>
      <c r="AL69" s="86">
        <v>4</v>
      </c>
      <c r="AM69" s="86">
        <v>117.8</v>
      </c>
      <c r="AN69" s="86">
        <f t="shared" si="45"/>
        <v>0</v>
      </c>
      <c r="AO69" s="86">
        <v>10.7</v>
      </c>
      <c r="AP69" s="151">
        <v>0.8</v>
      </c>
      <c r="AQ69" s="147">
        <f>'[1]Passenger-based Activity'!$J70/'[1]Passenger-based Activity'!$J69*AQ68</f>
        <v>532.27811232038061</v>
      </c>
      <c r="AR69" s="164"/>
      <c r="AS69" s="149">
        <f>'[1]Passenger-based Activity'!$G70/'[1]Passenger-based Activity'!$G69*AS68</f>
        <v>397.06101683158266</v>
      </c>
      <c r="AT69" s="165"/>
      <c r="AU69" s="62">
        <v>2011</v>
      </c>
      <c r="AV69" s="64">
        <f t="shared" si="32"/>
        <v>63139.5</v>
      </c>
      <c r="AW69" s="65">
        <f t="shared" si="32"/>
        <v>123997.28571428571</v>
      </c>
      <c r="AX69" s="62">
        <v>2011</v>
      </c>
      <c r="AY69" s="111">
        <v>11035.4</v>
      </c>
      <c r="AZ69" s="152">
        <v>6522.6</v>
      </c>
      <c r="BA69" s="111">
        <v>215.5</v>
      </c>
      <c r="BB69" s="152">
        <v>1490.7</v>
      </c>
      <c r="BC69" s="62">
        <v>2011</v>
      </c>
      <c r="BD69" s="93">
        <v>63.45</v>
      </c>
      <c r="BE69" s="95">
        <v>555.42499999999995</v>
      </c>
      <c r="BF69" s="76">
        <f>(FuelConsump!BD69*'[1]Fuel Heat Content'!$D$7/1000000)+(FuelConsump!BE69*'[1]Fuel Heat Content'!$C$21/1000000)</f>
        <v>10.695625100000001</v>
      </c>
      <c r="BG69" s="111">
        <v>14.5</v>
      </c>
      <c r="BH69" s="95">
        <f t="shared" si="37"/>
        <v>10.695625100000001</v>
      </c>
      <c r="BI69" s="143">
        <v>93.9</v>
      </c>
      <c r="BJ69" s="159">
        <v>1813</v>
      </c>
      <c r="BK69" s="154">
        <v>3854</v>
      </c>
      <c r="BL69" s="154">
        <v>789</v>
      </c>
      <c r="BM69" s="154">
        <v>3710.4850000000001</v>
      </c>
      <c r="BN69" s="74">
        <v>2011</v>
      </c>
      <c r="BO69" s="77">
        <f>'[1]MER Table 4.3_Nov2019'!I75*1000</f>
        <v>687784</v>
      </c>
      <c r="BP69" s="80">
        <f t="shared" si="15"/>
        <v>3117.0813505551778</v>
      </c>
      <c r="BQ69" s="155"/>
      <c r="BR69" s="155"/>
      <c r="BS69">
        <f t="shared" si="16"/>
        <v>2011</v>
      </c>
      <c r="BV69" s="103">
        <v>0.88400000000000001</v>
      </c>
      <c r="BW69" s="103">
        <v>5.0000000000000001E-3</v>
      </c>
      <c r="CA69">
        <v>2011</v>
      </c>
      <c r="CB69">
        <v>14215.4</v>
      </c>
      <c r="CC69" s="161">
        <v>1574.3129999999992</v>
      </c>
      <c r="CD69" s="161">
        <v>12537.772000000001</v>
      </c>
      <c r="CE69" s="161">
        <v>70.915000000000006</v>
      </c>
      <c r="CF69">
        <v>28193</v>
      </c>
      <c r="CG69">
        <v>27495.144</v>
      </c>
      <c r="CH69">
        <v>31458.407999999999</v>
      </c>
      <c r="CI69">
        <v>2477.04</v>
      </c>
      <c r="CJ69">
        <v>495.40800000000002</v>
      </c>
      <c r="CK69" s="9"/>
      <c r="CN69" s="11"/>
      <c r="CS69" s="12"/>
      <c r="CX69" s="12"/>
      <c r="CY69">
        <v>2011</v>
      </c>
      <c r="CZ69" s="80">
        <v>2651859</v>
      </c>
      <c r="DA69" s="80">
        <v>5207886</v>
      </c>
      <c r="DB69" s="80">
        <f t="shared" si="44"/>
        <v>63139.5</v>
      </c>
      <c r="DC69" s="80">
        <f t="shared" si="44"/>
        <v>123997.28571428571</v>
      </c>
      <c r="DD69" s="80">
        <f>CZ69*$DD$20*0.000001</f>
        <v>367.81284329999994</v>
      </c>
      <c r="DE69" s="80">
        <f>DA69*$DE$20*0.000001</f>
        <v>779.62053419999984</v>
      </c>
      <c r="DF69" s="80">
        <f>SUM(DD69:DE69)</f>
        <v>1147.4333774999998</v>
      </c>
      <c r="DG69" s="93">
        <v>0.77500000000000002</v>
      </c>
      <c r="DH69" s="93">
        <v>9.2999999999999999E-2</v>
      </c>
      <c r="DI69" s="80">
        <f t="shared" si="29"/>
        <v>357.55966323809997</v>
      </c>
      <c r="DJ69" s="156">
        <f t="shared" si="36"/>
        <v>357.55966323809997</v>
      </c>
      <c r="DK69" s="80"/>
      <c r="DL69" s="80"/>
      <c r="DO69">
        <f t="shared" si="43"/>
        <v>0</v>
      </c>
      <c r="DP69" s="145">
        <v>2011</v>
      </c>
      <c r="DQ69" s="80">
        <v>66194</v>
      </c>
      <c r="DR69" s="64">
        <v>61926</v>
      </c>
    </row>
    <row r="70" spans="1:122" ht="14" x14ac:dyDescent="0.3">
      <c r="A70" s="145">
        <v>2012</v>
      </c>
      <c r="B70" s="93"/>
      <c r="C70" s="162"/>
      <c r="D70" s="162"/>
      <c r="E70" s="163"/>
      <c r="F70" s="64">
        <v>88600</v>
      </c>
      <c r="G70" s="64">
        <f t="shared" si="38"/>
        <v>43148.2</v>
      </c>
      <c r="H70" s="64">
        <f>F70*0.508</f>
        <v>45008.800000000003</v>
      </c>
      <c r="I70" s="64">
        <f t="shared" si="39"/>
        <v>443</v>
      </c>
      <c r="J70" s="71">
        <v>491.13</v>
      </c>
      <c r="K70" s="65">
        <f t="shared" si="1"/>
        <v>491.13</v>
      </c>
      <c r="L70" s="93"/>
      <c r="M70" s="64"/>
      <c r="N70" s="64"/>
      <c r="O70" s="64"/>
      <c r="P70" s="64"/>
      <c r="Q70" s="64">
        <v>35114</v>
      </c>
      <c r="R70" s="64">
        <f t="shared" si="40"/>
        <v>15590.616</v>
      </c>
      <c r="S70" s="64">
        <f>Q70*0.508</f>
        <v>17837.912</v>
      </c>
      <c r="T70" s="64">
        <f t="shared" si="41"/>
        <v>1404.56</v>
      </c>
      <c r="U70" s="64">
        <f t="shared" si="42"/>
        <v>280.91199999999998</v>
      </c>
      <c r="V70" s="97">
        <f>[1]Adjust_Truck_Freight!AB48</f>
        <v>14376.5</v>
      </c>
      <c r="W70" s="80">
        <f t="shared" si="12"/>
        <v>1595.7914999999991</v>
      </c>
      <c r="X70" s="80">
        <f>V70*FuelConsump!$BV70</f>
        <v>12708.826000000001</v>
      </c>
      <c r="Y70" s="88">
        <f>V70*FuelConsump!$BW70</f>
        <v>71.882500000000007</v>
      </c>
      <c r="Z70" s="138">
        <f>[1]Adjust_Truck_Freight!AC48</f>
        <v>27975.3</v>
      </c>
      <c r="AA70" s="80">
        <f t="shared" si="13"/>
        <v>3105.2583</v>
      </c>
      <c r="AB70" s="80">
        <f>Z70*FuelConsump!$BV70</f>
        <v>24730.165199999999</v>
      </c>
      <c r="AC70" s="88">
        <f>Z70*FuelConsump!$BW70</f>
        <v>139.87649999999999</v>
      </c>
      <c r="AD70" s="107">
        <v>439</v>
      </c>
      <c r="AE70" s="107">
        <v>127.3</v>
      </c>
      <c r="AF70" s="107">
        <v>12.5</v>
      </c>
      <c r="AG70" s="107">
        <v>19.600000000000001</v>
      </c>
      <c r="AH70" s="107">
        <v>56.5</v>
      </c>
      <c r="AI70" s="107">
        <v>4</v>
      </c>
      <c r="AJ70" s="123">
        <v>0</v>
      </c>
      <c r="AK70" s="86">
        <v>62.2</v>
      </c>
      <c r="AL70" s="86">
        <v>4.2</v>
      </c>
      <c r="AM70" s="86">
        <v>125.3</v>
      </c>
      <c r="AN70" s="86">
        <v>0</v>
      </c>
      <c r="AO70" s="86">
        <v>9.6999999999999993</v>
      </c>
      <c r="AP70" s="151">
        <v>3.2</v>
      </c>
      <c r="AQ70" s="147">
        <f>'[1]Passenger-based Activity'!$J71/'[1]Passenger-based Activity'!$J70*AQ69</f>
        <v>532.27811232038061</v>
      </c>
      <c r="AR70" s="164"/>
      <c r="AS70" s="149">
        <f>'[1]Passenger-based Activity'!$G71/'[1]Passenger-based Activity'!$G70*AS69</f>
        <v>392.41483699176325</v>
      </c>
      <c r="AT70" s="165"/>
      <c r="AU70" s="62">
        <v>2012</v>
      </c>
      <c r="AV70" s="64">
        <f t="shared" si="32"/>
        <v>43859.690476190473</v>
      </c>
      <c r="AW70" s="65">
        <f t="shared" si="32"/>
        <v>108584.42857142857</v>
      </c>
      <c r="AX70" s="62">
        <v>2012</v>
      </c>
      <c r="AY70" s="111">
        <v>10439.700000000001</v>
      </c>
      <c r="AZ70" s="152">
        <v>6506.3</v>
      </c>
      <c r="BA70" s="111">
        <v>227.7</v>
      </c>
      <c r="BB70" s="152">
        <v>1492.1</v>
      </c>
      <c r="BC70" s="62">
        <v>2012</v>
      </c>
      <c r="BD70" s="93">
        <v>63.058</v>
      </c>
      <c r="BE70" s="95">
        <v>549.20100000000002</v>
      </c>
      <c r="BF70" s="76">
        <f>(FuelConsump!BD70*'[1]Fuel Heat Content'!$D$7/1000000)+(FuelConsump!BE70*'[1]Fuel Heat Content'!$C$21/1000000)</f>
        <v>10.620018412</v>
      </c>
      <c r="BG70" s="111"/>
      <c r="BH70" s="95">
        <f t="shared" si="37"/>
        <v>10.620018412</v>
      </c>
      <c r="BI70" s="143">
        <v>92.8</v>
      </c>
      <c r="BJ70" s="159">
        <v>1808</v>
      </c>
      <c r="BK70" s="154">
        <v>3795</v>
      </c>
      <c r="BL70" s="154">
        <v>806</v>
      </c>
      <c r="BM70" s="154">
        <v>3634.0250000000001</v>
      </c>
      <c r="BN70" s="74">
        <v>2012</v>
      </c>
      <c r="BO70" s="77">
        <f>'[1]MER Table 4.3_Nov2019'!I76*1000</f>
        <v>730790</v>
      </c>
      <c r="BP70" s="80">
        <f t="shared" si="15"/>
        <v>3311.9873102198048</v>
      </c>
      <c r="BQ70" s="155"/>
      <c r="BR70" s="155"/>
      <c r="BS70">
        <v>2012</v>
      </c>
      <c r="BV70" s="103">
        <v>0.88400000000000001</v>
      </c>
      <c r="BW70" s="103">
        <v>5.0000000000000001E-3</v>
      </c>
      <c r="CA70">
        <f>CA69+1</f>
        <v>2012</v>
      </c>
      <c r="CB70">
        <v>14376.5</v>
      </c>
      <c r="CC70" s="161">
        <v>1574.3129999999992</v>
      </c>
      <c r="CD70" s="161">
        <v>12537.772000000001</v>
      </c>
      <c r="CE70" s="161">
        <v>70.915000000000006</v>
      </c>
      <c r="CK70" s="9"/>
      <c r="CN70" s="11"/>
      <c r="CS70" s="12"/>
      <c r="CX70" s="12"/>
      <c r="CY70">
        <v>2012</v>
      </c>
      <c r="CZ70" s="80">
        <v>1842107</v>
      </c>
      <c r="DA70" s="80">
        <v>4560546</v>
      </c>
      <c r="DB70" s="80">
        <f t="shared" si="44"/>
        <v>43859.690476190473</v>
      </c>
      <c r="DC70" s="80">
        <f t="shared" si="44"/>
        <v>108584.42857142857</v>
      </c>
      <c r="DD70" s="80">
        <f t="shared" ref="DD70:DD75" si="46">CZ70*$DD$20*0.000001</f>
        <v>255.50024089999997</v>
      </c>
      <c r="DE70" s="80">
        <f t="shared" ref="DE70:DE75" si="47">DA70*$DE$20*0.000001</f>
        <v>682.71373619999986</v>
      </c>
      <c r="DF70" s="80">
        <f t="shared" ref="DF70:DF75" si="48">SUM(DD70:DE70)</f>
        <v>938.21397709999985</v>
      </c>
      <c r="DG70" s="93">
        <v>0.77500000000000002</v>
      </c>
      <c r="DH70" s="93">
        <v>9.2999999999999999E-2</v>
      </c>
      <c r="DI70" s="80">
        <f t="shared" si="29"/>
        <v>261.50506416409996</v>
      </c>
      <c r="DJ70" s="156">
        <f t="shared" si="36"/>
        <v>261.50506416409996</v>
      </c>
      <c r="DK70" s="80"/>
      <c r="DL70" s="80"/>
      <c r="DO70">
        <f t="shared" si="43"/>
        <v>0</v>
      </c>
      <c r="DP70" s="145"/>
      <c r="DQ70" s="80"/>
      <c r="DR70" s="64"/>
    </row>
    <row r="71" spans="1:122" ht="14" x14ac:dyDescent="0.3">
      <c r="A71" s="145">
        <v>2013</v>
      </c>
      <c r="B71" s="93"/>
      <c r="C71" s="162"/>
      <c r="D71" s="162"/>
      <c r="E71" s="163"/>
      <c r="F71" s="64">
        <v>88611</v>
      </c>
      <c r="G71" s="64">
        <f t="shared" si="38"/>
        <v>43419.39</v>
      </c>
      <c r="H71" s="64">
        <f>F71*0.505</f>
        <v>44748.555</v>
      </c>
      <c r="I71" s="64">
        <f t="shared" si="39"/>
        <v>443.05500000000001</v>
      </c>
      <c r="J71" s="71">
        <v>467.71</v>
      </c>
      <c r="K71" s="65">
        <f t="shared" si="1"/>
        <v>467.71</v>
      </c>
      <c r="L71" s="93"/>
      <c r="M71" s="64"/>
      <c r="N71" s="64"/>
      <c r="O71" s="64"/>
      <c r="P71" s="64"/>
      <c r="Q71" s="64">
        <v>35159</v>
      </c>
      <c r="R71" s="64">
        <f t="shared" si="40"/>
        <v>15716.072999999997</v>
      </c>
      <c r="S71" s="64">
        <f>Q71*0.505</f>
        <v>17755.295000000002</v>
      </c>
      <c r="T71" s="64">
        <f t="shared" si="41"/>
        <v>1406.3600000000001</v>
      </c>
      <c r="U71" s="64">
        <f t="shared" si="42"/>
        <v>281.27199999999999</v>
      </c>
      <c r="V71" s="97">
        <f>[1]Adjust_Truck_Freight!AB49</f>
        <v>14501.9</v>
      </c>
      <c r="W71" s="80">
        <f t="shared" si="12"/>
        <v>1609.7109</v>
      </c>
      <c r="X71" s="80">
        <f>V71*FuelConsump!$BV71</f>
        <v>12819.679599999999</v>
      </c>
      <c r="Y71" s="88">
        <f>V71*FuelConsump!$BW71</f>
        <v>72.509500000000003</v>
      </c>
      <c r="Z71" s="138">
        <f>[1]Adjust_Truck_Freight!AC49</f>
        <v>28795</v>
      </c>
      <c r="AA71" s="80">
        <f t="shared" si="13"/>
        <v>3196.2450000000013</v>
      </c>
      <c r="AB71" s="80">
        <f>Z71*FuelConsump!$BV71</f>
        <v>25454.78</v>
      </c>
      <c r="AC71" s="88">
        <f>Z71*FuelConsump!$BW71</f>
        <v>143.97499999999999</v>
      </c>
      <c r="AD71" s="107">
        <v>427.5</v>
      </c>
      <c r="AE71" s="107">
        <v>134.9</v>
      </c>
      <c r="AF71" s="107">
        <v>12.9</v>
      </c>
      <c r="AG71" s="107">
        <v>17.600000000000001</v>
      </c>
      <c r="AH71" s="107">
        <v>66.2</v>
      </c>
      <c r="AI71" s="107">
        <v>0.4</v>
      </c>
      <c r="AJ71" s="123">
        <v>6.3</v>
      </c>
      <c r="AK71" s="86">
        <v>60.3</v>
      </c>
      <c r="AL71" s="86">
        <v>5.5</v>
      </c>
      <c r="AM71" s="86">
        <v>138.5</v>
      </c>
      <c r="AN71" s="86">
        <v>0</v>
      </c>
      <c r="AO71" s="86">
        <v>5.3</v>
      </c>
      <c r="AP71" s="151">
        <v>0.3</v>
      </c>
      <c r="AQ71" s="147">
        <f>'[1]Passenger-based Activity'!$J72/'[1]Passenger-based Activity'!$J71*AQ70</f>
        <v>532.27811232038061</v>
      </c>
      <c r="AR71" s="164"/>
      <c r="AS71" s="149">
        <f>'[1]Passenger-based Activity'!$G72/'[1]Passenger-based Activity'!$G71*AS70</f>
        <v>325.77811228232144</v>
      </c>
      <c r="AT71" s="165"/>
      <c r="AU71" s="62">
        <v>2013</v>
      </c>
      <c r="AV71" s="64">
        <f t="shared" si="32"/>
        <v>39410.904761904763</v>
      </c>
      <c r="AW71" s="65">
        <f t="shared" si="32"/>
        <v>92304.642857142855</v>
      </c>
      <c r="AX71" s="62">
        <v>2013</v>
      </c>
      <c r="AY71" s="111">
        <v>10337</v>
      </c>
      <c r="AZ71" s="152">
        <v>6487.3</v>
      </c>
      <c r="BA71" s="111">
        <v>173.3</v>
      </c>
      <c r="BB71" s="152">
        <v>1353.6</v>
      </c>
      <c r="BC71" s="62">
        <v>2013</v>
      </c>
      <c r="BD71" s="93">
        <v>66.036000000000001</v>
      </c>
      <c r="BE71" s="95">
        <v>525.12699999999995</v>
      </c>
      <c r="BF71" s="76">
        <f>(FuelConsump!BD71*'[1]Fuel Heat Content'!$D$7/1000000)+(FuelConsump!BE71*'[1]Fuel Heat Content'!$C$21/1000000)</f>
        <v>10.950926524</v>
      </c>
      <c r="BG71" s="111"/>
      <c r="BH71" s="95">
        <f t="shared" si="37"/>
        <v>10.950926524</v>
      </c>
      <c r="BI71" s="143">
        <v>98.7</v>
      </c>
      <c r="BJ71" s="159">
        <v>1816</v>
      </c>
      <c r="BK71" s="154">
        <v>3856</v>
      </c>
      <c r="BL71" s="154">
        <v>882</v>
      </c>
      <c r="BM71" s="154">
        <v>3712.5819999999999</v>
      </c>
      <c r="BN71" s="74">
        <v>2013</v>
      </c>
      <c r="BO71" s="77">
        <f>'[1]MER Table 4.3_Nov2019'!I77*1000</f>
        <v>833061</v>
      </c>
      <c r="BP71" s="80">
        <f t="shared" si="15"/>
        <v>3775.4860639021072</v>
      </c>
      <c r="BQ71" s="155"/>
      <c r="BR71" s="155"/>
      <c r="BS71">
        <v>2013</v>
      </c>
      <c r="BV71" s="103">
        <v>0.88400000000000001</v>
      </c>
      <c r="BW71" s="103">
        <v>5.0000000000000001E-3</v>
      </c>
      <c r="CA71">
        <f t="shared" ref="CA71:CA75" si="49">CA70+1</f>
        <v>2013</v>
      </c>
      <c r="CB71">
        <v>14501.9</v>
      </c>
      <c r="CC71" s="161">
        <v>1574.3129999999992</v>
      </c>
      <c r="CD71" s="161">
        <v>12537.772000000001</v>
      </c>
      <c r="CE71" s="161">
        <v>70.915000000000006</v>
      </c>
      <c r="CK71" s="9"/>
      <c r="CN71" s="11"/>
      <c r="CS71" s="12"/>
      <c r="CX71" s="12"/>
      <c r="CY71">
        <v>2013</v>
      </c>
      <c r="CZ71" s="80">
        <v>1655258</v>
      </c>
      <c r="DA71" s="80">
        <v>3876795</v>
      </c>
      <c r="DB71" s="80">
        <f t="shared" si="44"/>
        <v>39410.904761904763</v>
      </c>
      <c r="DC71" s="80">
        <f t="shared" si="44"/>
        <v>92304.642857142855</v>
      </c>
      <c r="DD71" s="80">
        <f t="shared" si="46"/>
        <v>229.58428459999999</v>
      </c>
      <c r="DE71" s="80">
        <f t="shared" si="47"/>
        <v>580.35621149999997</v>
      </c>
      <c r="DF71" s="80">
        <f t="shared" si="48"/>
        <v>809.94049610000002</v>
      </c>
      <c r="DG71" s="93">
        <v>0.77500000000000002</v>
      </c>
      <c r="DH71" s="93">
        <v>9.2999999999999999E-2</v>
      </c>
      <c r="DI71" s="80">
        <f t="shared" si="29"/>
        <v>231.90094823449999</v>
      </c>
      <c r="DJ71" s="156">
        <f t="shared" si="36"/>
        <v>231.90094823449999</v>
      </c>
      <c r="DK71" s="80"/>
      <c r="DL71" s="80"/>
      <c r="DO71">
        <f t="shared" si="43"/>
        <v>0</v>
      </c>
      <c r="DP71" s="145"/>
      <c r="DQ71" s="80"/>
      <c r="DR71" s="64"/>
    </row>
    <row r="72" spans="1:122" ht="14" x14ac:dyDescent="0.3">
      <c r="A72" s="145">
        <v>2014</v>
      </c>
      <c r="B72" s="93"/>
      <c r="C72" s="162"/>
      <c r="D72" s="162"/>
      <c r="E72" s="163"/>
      <c r="F72" s="64">
        <v>89301</v>
      </c>
      <c r="G72" s="64">
        <f t="shared" si="38"/>
        <v>21878.744999999999</v>
      </c>
      <c r="H72" s="64">
        <f>F72*0.75</f>
        <v>66975.75</v>
      </c>
      <c r="I72" s="64">
        <f t="shared" si="39"/>
        <v>446.505</v>
      </c>
      <c r="J72" s="71">
        <v>458.63</v>
      </c>
      <c r="K72" s="65">
        <f t="shared" ref="K72:K76" si="50">J72</f>
        <v>458.63</v>
      </c>
      <c r="L72" s="93"/>
      <c r="M72" s="64"/>
      <c r="N72" s="64"/>
      <c r="O72" s="64"/>
      <c r="P72" s="65"/>
      <c r="Q72" s="64">
        <v>37343</v>
      </c>
      <c r="R72" s="64">
        <f t="shared" si="40"/>
        <v>9410.4360000000015</v>
      </c>
      <c r="S72" s="64">
        <f>Q72*0.7</f>
        <v>26140.1</v>
      </c>
      <c r="T72" s="64">
        <f t="shared" si="41"/>
        <v>1493.72</v>
      </c>
      <c r="U72" s="65">
        <f t="shared" si="42"/>
        <v>298.74400000000003</v>
      </c>
      <c r="V72" s="97">
        <f>[1]Adjust_Truck_Freight!AB50</f>
        <v>14893.9</v>
      </c>
      <c r="W72" s="80">
        <f t="shared" si="12"/>
        <v>1653.2229</v>
      </c>
      <c r="X72" s="80">
        <f>V72*FuelConsump!$BV72</f>
        <v>13166.2076</v>
      </c>
      <c r="Y72" s="88">
        <f>V72*FuelConsump!$BW72</f>
        <v>74.469499999999996</v>
      </c>
      <c r="Z72" s="138">
        <f>[1]Adjust_Truck_Freight!AC50</f>
        <v>29117.7</v>
      </c>
      <c r="AA72" s="80">
        <f t="shared" si="13"/>
        <v>3232.0647000000008</v>
      </c>
      <c r="AB72" s="80">
        <f>Z72*FuelConsump!$BV72</f>
        <v>25740.0468</v>
      </c>
      <c r="AC72" s="88">
        <f>Z72*FuelConsump!$BW72</f>
        <v>145.58850000000001</v>
      </c>
      <c r="AD72" s="107">
        <v>413.6</v>
      </c>
      <c r="AE72" s="107">
        <v>146</v>
      </c>
      <c r="AF72" s="107">
        <v>11.7</v>
      </c>
      <c r="AG72" s="107">
        <v>15.4</v>
      </c>
      <c r="AH72" s="107">
        <v>38.1</v>
      </c>
      <c r="AI72" s="107">
        <v>1.2</v>
      </c>
      <c r="AJ72" s="123">
        <v>6.2</v>
      </c>
      <c r="AK72" s="86">
        <v>54.4</v>
      </c>
      <c r="AL72" s="86">
        <v>8.6</v>
      </c>
      <c r="AM72" s="86">
        <v>184.9</v>
      </c>
      <c r="AN72" s="86">
        <v>0</v>
      </c>
      <c r="AO72" s="86">
        <v>5.4</v>
      </c>
      <c r="AP72" s="151">
        <v>0.4</v>
      </c>
      <c r="AQ72" s="147">
        <f>'[1]Passenger-based Activity'!$J73/'[1]Passenger-based Activity'!$J72*AQ71</f>
        <v>532.27811232038061</v>
      </c>
      <c r="AR72" s="164"/>
      <c r="AS72" s="149">
        <f>'[1]Passenger-based Activity'!$G73/'[1]Passenger-based Activity'!$G72*AS71</f>
        <v>322.73726854389236</v>
      </c>
      <c r="AT72" s="165"/>
      <c r="AU72" s="62">
        <v>2014</v>
      </c>
      <c r="AV72" s="64">
        <f t="shared" si="32"/>
        <v>38726.833333333336</v>
      </c>
      <c r="AW72" s="65">
        <f t="shared" si="32"/>
        <v>71127.690476190473</v>
      </c>
      <c r="AX72" s="62">
        <v>2014</v>
      </c>
      <c r="AY72" s="111">
        <v>10458.6</v>
      </c>
      <c r="AZ72" s="152">
        <v>6321.4</v>
      </c>
      <c r="BA72" s="111">
        <v>205.8</v>
      </c>
      <c r="BB72" s="152">
        <v>1454.1</v>
      </c>
      <c r="BC72" s="62">
        <v>2014</v>
      </c>
      <c r="BD72" s="93">
        <v>65.710999999999999</v>
      </c>
      <c r="BE72" s="95">
        <v>515.33199999999999</v>
      </c>
      <c r="BF72" s="76">
        <f>(FuelConsump!BD72*'[1]Fuel Heat Content'!$D$7/1000000)+(FuelConsump!BE72*'[1]Fuel Heat Content'!$C$21/1000000)</f>
        <v>10.872428483999999</v>
      </c>
      <c r="BG72" s="111"/>
      <c r="BH72" s="95">
        <f t="shared" si="37"/>
        <v>10.872428483999999</v>
      </c>
      <c r="BI72" s="143">
        <v>93.9</v>
      </c>
      <c r="BJ72" s="159">
        <v>1809</v>
      </c>
      <c r="BK72" s="154">
        <v>3812</v>
      </c>
      <c r="BL72" s="154">
        <v>985</v>
      </c>
      <c r="BM72" s="154">
        <v>3897.1129999999998</v>
      </c>
      <c r="BN72" s="74">
        <v>2014</v>
      </c>
      <c r="BO72" s="77">
        <f>'[1]MER Table 4.3_Nov2019'!I78*1000</f>
        <v>700150</v>
      </c>
      <c r="BP72" s="80">
        <f t="shared" si="15"/>
        <v>3173.1248583729889</v>
      </c>
      <c r="BQ72" s="155"/>
      <c r="BR72" s="155"/>
      <c r="BS72">
        <v>2014</v>
      </c>
      <c r="BV72" s="103">
        <v>0.88400000000000001</v>
      </c>
      <c r="BW72" s="103">
        <v>5.0000000000000001E-3</v>
      </c>
      <c r="CA72">
        <f t="shared" si="49"/>
        <v>2014</v>
      </c>
      <c r="CB72">
        <v>14893.9</v>
      </c>
      <c r="CC72" s="161">
        <v>1574.3129999999992</v>
      </c>
      <c r="CD72" s="161">
        <v>12537.772000000001</v>
      </c>
      <c r="CE72" s="161">
        <v>70.915000000000006</v>
      </c>
      <c r="CK72" s="9"/>
      <c r="CN72" s="11"/>
      <c r="CS72" s="12"/>
      <c r="CX72" s="12"/>
      <c r="CY72">
        <v>2014</v>
      </c>
      <c r="CZ72" s="80">
        <v>1626527</v>
      </c>
      <c r="DA72" s="80">
        <v>2987363</v>
      </c>
      <c r="DB72" s="80">
        <f t="shared" si="44"/>
        <v>38726.833333333336</v>
      </c>
      <c r="DC72" s="80">
        <f t="shared" si="44"/>
        <v>71127.690476190473</v>
      </c>
      <c r="DD72" s="80">
        <f t="shared" si="46"/>
        <v>225.59929489999996</v>
      </c>
      <c r="DE72" s="80">
        <f t="shared" si="47"/>
        <v>447.20824109999995</v>
      </c>
      <c r="DF72" s="80">
        <f t="shared" si="48"/>
        <v>672.80753599999991</v>
      </c>
      <c r="DG72" s="93">
        <v>0.77500000000000002</v>
      </c>
      <c r="DH72" s="93">
        <v>9.2999999999999999E-2</v>
      </c>
      <c r="DI72" s="80">
        <f t="shared" si="29"/>
        <v>216.42981996979995</v>
      </c>
      <c r="DJ72" s="156">
        <f t="shared" si="36"/>
        <v>216.42981996979995</v>
      </c>
      <c r="DK72" s="80"/>
      <c r="DL72" s="80"/>
      <c r="DO72">
        <f t="shared" si="43"/>
        <v>0</v>
      </c>
      <c r="DP72" s="145"/>
      <c r="DQ72" s="80"/>
      <c r="DR72" s="64"/>
    </row>
    <row r="73" spans="1:122" ht="14" x14ac:dyDescent="0.3">
      <c r="A73" s="145">
        <v>2015</v>
      </c>
      <c r="B73" s="93"/>
      <c r="C73" s="162"/>
      <c r="D73" s="162"/>
      <c r="E73" s="163"/>
      <c r="F73" s="64">
        <v>90031</v>
      </c>
      <c r="G73" s="64">
        <f t="shared" si="38"/>
        <v>13054.495000000008</v>
      </c>
      <c r="H73" s="64">
        <f>F73*0.85</f>
        <v>76526.349999999991</v>
      </c>
      <c r="I73" s="64">
        <f t="shared" si="39"/>
        <v>450.15500000000003</v>
      </c>
      <c r="J73" s="71">
        <v>447.88</v>
      </c>
      <c r="K73" s="64">
        <f t="shared" si="50"/>
        <v>447.88</v>
      </c>
      <c r="L73" s="93"/>
      <c r="M73" s="64"/>
      <c r="N73" s="64"/>
      <c r="O73" s="64"/>
      <c r="P73" s="65"/>
      <c r="Q73" s="64">
        <v>36437</v>
      </c>
      <c r="R73" s="64">
        <f t="shared" si="40"/>
        <v>5538.4239999999982</v>
      </c>
      <c r="S73" s="64">
        <f>Q73*0.8</f>
        <v>29149.600000000002</v>
      </c>
      <c r="T73" s="64">
        <f t="shared" si="41"/>
        <v>1457.48</v>
      </c>
      <c r="U73" s="65">
        <f t="shared" si="42"/>
        <v>291.49599999999998</v>
      </c>
      <c r="V73" s="97">
        <f>[1]Adjust_Truck_Freight!AB51</f>
        <v>14850.9</v>
      </c>
      <c r="W73" s="80">
        <f t="shared" si="12"/>
        <v>1648.4499000000005</v>
      </c>
      <c r="X73" s="80">
        <f>V73*FuelConsump!$BV73</f>
        <v>13128.195599999999</v>
      </c>
      <c r="Y73" s="88">
        <f>V73*FuelConsump!$BW73</f>
        <v>74.254499999999993</v>
      </c>
      <c r="Z73" s="138">
        <f>[1]Adjust_Truck_Freight!AC51</f>
        <v>28885.9</v>
      </c>
      <c r="AA73" s="80">
        <f t="shared" si="13"/>
        <v>3206.3348999999998</v>
      </c>
      <c r="AB73" s="80">
        <f>Z73*FuelConsump!$BV73</f>
        <v>25535.135600000001</v>
      </c>
      <c r="AC73" s="88">
        <f>Z73*FuelConsump!$BW73</f>
        <v>144.42950000000002</v>
      </c>
      <c r="AD73" s="107">
        <v>414.98599999999999</v>
      </c>
      <c r="AE73" s="107">
        <v>158.88800000000001</v>
      </c>
      <c r="AF73" s="107">
        <v>11.058999999999999</v>
      </c>
      <c r="AG73" s="107">
        <v>11.250999999999999</v>
      </c>
      <c r="AH73" s="107">
        <v>43.92</v>
      </c>
      <c r="AI73" s="107">
        <v>0.92800000000000005</v>
      </c>
      <c r="AJ73" s="107">
        <v>8.1549999999999994</v>
      </c>
      <c r="AK73" s="86">
        <v>44.38</v>
      </c>
      <c r="AL73" s="86">
        <v>7.7450000000000001</v>
      </c>
      <c r="AM73" s="86">
        <v>147.48400000000001</v>
      </c>
      <c r="AN73" s="86">
        <v>0.27800000000000002</v>
      </c>
      <c r="AO73" s="86">
        <v>2.3839999999999999</v>
      </c>
      <c r="AP73" s="151">
        <v>1.5129999999999999</v>
      </c>
      <c r="AQ73" s="147">
        <f>'[1]Passenger-based Activity'!$J74/'[1]Passenger-based Activity'!$J73*AQ72</f>
        <v>532.27811232038061</v>
      </c>
      <c r="AR73" s="164"/>
      <c r="AS73" s="166" t="s">
        <v>105</v>
      </c>
      <c r="AT73" s="167"/>
      <c r="AU73" s="145">
        <v>2015</v>
      </c>
      <c r="AV73" s="64">
        <f t="shared" si="32"/>
        <v>57506.023809523809</v>
      </c>
      <c r="AW73" s="64">
        <f t="shared" si="32"/>
        <v>73890.523809523816</v>
      </c>
      <c r="AX73" s="145">
        <v>2015</v>
      </c>
      <c r="AY73" s="111">
        <v>10928.6</v>
      </c>
      <c r="AZ73" s="111">
        <v>6420.6</v>
      </c>
      <c r="BA73" s="111">
        <v>183.2</v>
      </c>
      <c r="BB73" s="111">
        <v>1384.4</v>
      </c>
      <c r="BC73" s="145">
        <v>2015</v>
      </c>
      <c r="BD73" s="93">
        <v>62.468000000000004</v>
      </c>
      <c r="BE73" s="93">
        <v>504.017</v>
      </c>
      <c r="BF73" s="76">
        <f>(FuelConsump!BD73*'[1]Fuel Heat Content'!$D$7/1000000)+(FuelConsump!BE73*'[1]Fuel Heat Content'!$C$21/1000000)</f>
        <v>10.384017604</v>
      </c>
      <c r="BG73" s="111"/>
      <c r="BH73" s="95">
        <f t="shared" si="37"/>
        <v>10.384017604</v>
      </c>
      <c r="BI73" s="168">
        <v>97.41</v>
      </c>
      <c r="BJ73" s="169">
        <v>1791.924332</v>
      </c>
      <c r="BK73" s="169">
        <v>3815.615468</v>
      </c>
      <c r="BL73" s="169">
        <v>898</v>
      </c>
      <c r="BM73" s="169">
        <v>3723</v>
      </c>
      <c r="BN73" s="145">
        <v>2015</v>
      </c>
      <c r="BO73" s="77">
        <f>'[1]MER Table 4.3_Nov2019'!I79*1000</f>
        <v>678183</v>
      </c>
      <c r="BP73" s="80">
        <f t="shared" si="15"/>
        <v>3073.5690006798095</v>
      </c>
      <c r="BQ73" s="155"/>
      <c r="BR73" s="155"/>
      <c r="BS73">
        <v>2015</v>
      </c>
      <c r="BV73" s="103">
        <v>0.88400000000000001</v>
      </c>
      <c r="BW73" s="103">
        <v>5.0000000000000001E-3</v>
      </c>
      <c r="CA73">
        <f t="shared" si="49"/>
        <v>2015</v>
      </c>
      <c r="CB73">
        <v>14850.9</v>
      </c>
      <c r="CC73" s="161">
        <v>1574.3129999999992</v>
      </c>
      <c r="CD73" s="161">
        <v>12537.772000000001</v>
      </c>
      <c r="CE73" s="161">
        <v>70.915000000000006</v>
      </c>
      <c r="CK73" s="9"/>
      <c r="CN73" s="11"/>
      <c r="CS73" s="12"/>
      <c r="CX73" s="12"/>
      <c r="CY73">
        <v>2015</v>
      </c>
      <c r="CZ73" s="80">
        <v>2415253</v>
      </c>
      <c r="DA73" s="80">
        <v>3103402</v>
      </c>
      <c r="DB73" s="80">
        <f t="shared" si="44"/>
        <v>57506.023809523809</v>
      </c>
      <c r="DC73" s="80">
        <f t="shared" si="44"/>
        <v>73890.523809523816</v>
      </c>
      <c r="DD73" s="80">
        <f t="shared" si="46"/>
        <v>334.99559109999996</v>
      </c>
      <c r="DE73" s="80">
        <f t="shared" si="47"/>
        <v>464.57927939999996</v>
      </c>
      <c r="DF73" s="80">
        <f t="shared" si="48"/>
        <v>799.57487049999986</v>
      </c>
      <c r="DG73" s="93">
        <v>0.77500000000000002</v>
      </c>
      <c r="DH73" s="93">
        <v>9.2999999999999999E-2</v>
      </c>
      <c r="DI73" s="80">
        <f t="shared" si="29"/>
        <v>302.82745608669995</v>
      </c>
      <c r="DJ73" s="156">
        <f t="shared" si="36"/>
        <v>302.82745608669995</v>
      </c>
      <c r="DK73" s="80"/>
      <c r="DL73" s="80"/>
      <c r="DO73">
        <f t="shared" si="43"/>
        <v>0</v>
      </c>
      <c r="DP73" s="145"/>
      <c r="DQ73" s="80"/>
      <c r="DR73" s="64"/>
    </row>
    <row r="74" spans="1:122" ht="14" x14ac:dyDescent="0.3">
      <c r="A74" s="145">
        <v>2016</v>
      </c>
      <c r="B74" s="93"/>
      <c r="C74" s="162"/>
      <c r="D74" s="162"/>
      <c r="E74" s="163"/>
      <c r="F74" s="64">
        <v>91488</v>
      </c>
      <c r="G74" s="64">
        <f t="shared" si="38"/>
        <v>4116.9600000000091</v>
      </c>
      <c r="H74" s="64">
        <f>F74*0.95</f>
        <v>86913.599999999991</v>
      </c>
      <c r="I74" s="64">
        <f t="shared" si="39"/>
        <v>457.44</v>
      </c>
      <c r="J74" s="71">
        <v>465.8</v>
      </c>
      <c r="K74" s="64">
        <f t="shared" si="50"/>
        <v>465.8</v>
      </c>
      <c r="L74" s="93"/>
      <c r="M74" s="64"/>
      <c r="N74" s="64"/>
      <c r="O74" s="64"/>
      <c r="P74" s="65"/>
      <c r="Q74" s="64">
        <v>37819</v>
      </c>
      <c r="R74" s="64">
        <f t="shared" si="40"/>
        <v>1966.5880000000011</v>
      </c>
      <c r="S74" s="64">
        <f>Q74*0.9</f>
        <v>34037.1</v>
      </c>
      <c r="T74" s="64">
        <f t="shared" si="41"/>
        <v>1512.76</v>
      </c>
      <c r="U74" s="65">
        <f t="shared" si="42"/>
        <v>302.55200000000002</v>
      </c>
      <c r="V74" s="97">
        <f>[1]Adjust_Truck_Freight!AB52</f>
        <v>15338.5</v>
      </c>
      <c r="W74" s="80">
        <f t="shared" si="12"/>
        <v>1702.5734999999995</v>
      </c>
      <c r="X74" s="80">
        <f>V74*FuelConsump!$BV74</f>
        <v>13559.234</v>
      </c>
      <c r="Y74" s="88">
        <f>V74*FuelConsump!$BW74</f>
        <v>76.692499999999995</v>
      </c>
      <c r="Z74" s="138">
        <f>[1]Adjust_Truck_Freight!AC52</f>
        <v>29554.6</v>
      </c>
      <c r="AA74" s="80">
        <f t="shared" si="13"/>
        <v>3280.560599999998</v>
      </c>
      <c r="AB74" s="80">
        <f>Z74*FuelConsump!$BV74</f>
        <v>26126.2664</v>
      </c>
      <c r="AC74" s="88">
        <f>Z74*FuelConsump!$BW74</f>
        <v>147.773</v>
      </c>
      <c r="AD74" s="107">
        <v>428.93299999999999</v>
      </c>
      <c r="AE74" s="107">
        <v>170.26300000000001</v>
      </c>
      <c r="AF74" s="107">
        <v>11.571999999999999</v>
      </c>
      <c r="AG74" s="107">
        <v>10.667</v>
      </c>
      <c r="AH74" s="107">
        <v>43.220999999999997</v>
      </c>
      <c r="AI74" s="107">
        <v>0.71199999999999997</v>
      </c>
      <c r="AJ74" s="107">
        <v>6.915</v>
      </c>
      <c r="AK74" s="86">
        <v>34.280999999999999</v>
      </c>
      <c r="AL74" s="86">
        <v>8.1679999999999993</v>
      </c>
      <c r="AM74" s="86">
        <v>155.39699999999999</v>
      </c>
      <c r="AN74" s="86">
        <v>0.42099999999999999</v>
      </c>
      <c r="AO74" s="86">
        <v>2.347</v>
      </c>
      <c r="AP74" s="151">
        <v>0.193</v>
      </c>
      <c r="AQ74" s="147">
        <f>'[1]Passenger-based Activity'!$J75/'[1]Passenger-based Activity'!$J74*AQ73</f>
        <v>532.27811232038061</v>
      </c>
      <c r="AR74" s="164"/>
      <c r="AS74" s="166" t="s">
        <v>106</v>
      </c>
      <c r="AT74" s="167"/>
      <c r="AU74" s="145">
        <v>2016</v>
      </c>
      <c r="AV74" s="64">
        <f t="shared" ref="AV74:AW79" si="51">DB74</f>
        <v>48109.214285714283</v>
      </c>
      <c r="AW74" s="64">
        <f t="shared" si="51"/>
        <v>99826.642857142855</v>
      </c>
      <c r="AX74" s="145">
        <v>2016</v>
      </c>
      <c r="AY74" s="111">
        <v>11373.6</v>
      </c>
      <c r="AZ74" s="111">
        <v>6294.8</v>
      </c>
      <c r="BA74" s="111">
        <v>187.8</v>
      </c>
      <c r="BB74" s="111">
        <v>1445.7</v>
      </c>
      <c r="BC74" s="145">
        <v>2016</v>
      </c>
      <c r="BD74" s="93">
        <v>60.212000000000003</v>
      </c>
      <c r="BE74" s="93">
        <v>515.71100000000001</v>
      </c>
      <c r="BF74" s="76">
        <f>(FuelConsump!BD74*'[1]Fuel Heat Content'!$D$7/1000000)+(FuelConsump!BE74*'[1]Fuel Heat Content'!$C$21/1000000)</f>
        <v>10.111010331999999</v>
      </c>
      <c r="BG74" s="111"/>
      <c r="BH74" s="95">
        <f t="shared" si="37"/>
        <v>10.111010331999999</v>
      </c>
      <c r="BI74" s="168">
        <v>102.87797052453469</v>
      </c>
      <c r="BJ74" s="169">
        <v>1763.9390739999999</v>
      </c>
      <c r="BK74" s="169">
        <v>3760.3733470000002</v>
      </c>
      <c r="BL74" s="169">
        <v>907</v>
      </c>
      <c r="BM74" s="169">
        <v>3419</v>
      </c>
      <c r="BN74" s="145">
        <v>2016</v>
      </c>
      <c r="BO74" s="77">
        <f>'[1]MER Table 4.3_Nov2019'!I80*1000</f>
        <v>686732</v>
      </c>
      <c r="BP74" s="80">
        <f t="shared" si="15"/>
        <v>3112.3136188533877</v>
      </c>
      <c r="BQ74" s="155"/>
      <c r="BR74" s="155"/>
      <c r="BS74">
        <v>2016</v>
      </c>
      <c r="BV74" s="103">
        <v>0.88400000000000001</v>
      </c>
      <c r="BW74" s="103">
        <v>5.0000000000000001E-3</v>
      </c>
      <c r="CA74">
        <f t="shared" si="49"/>
        <v>2016</v>
      </c>
      <c r="CB74">
        <v>15338.5</v>
      </c>
      <c r="CC74" s="161">
        <v>1574.3129999999992</v>
      </c>
      <c r="CD74" s="161">
        <v>12537.772000000001</v>
      </c>
      <c r="CE74" s="161">
        <v>70.915000000000006</v>
      </c>
      <c r="CK74" s="9"/>
      <c r="CN74" s="11"/>
      <c r="CS74" s="12"/>
      <c r="CX74" s="12"/>
      <c r="CY74">
        <v>2016</v>
      </c>
      <c r="CZ74" s="80">
        <v>2020587</v>
      </c>
      <c r="DA74" s="80">
        <v>4192719</v>
      </c>
      <c r="DB74" s="80">
        <f t="shared" si="44"/>
        <v>48109.214285714283</v>
      </c>
      <c r="DC74" s="80">
        <f t="shared" si="44"/>
        <v>99826.642857142855</v>
      </c>
      <c r="DD74" s="80">
        <f t="shared" si="46"/>
        <v>280.25541689999994</v>
      </c>
      <c r="DE74" s="80">
        <f t="shared" si="47"/>
        <v>627.6500342999999</v>
      </c>
      <c r="DF74" s="80">
        <f t="shared" si="48"/>
        <v>907.90545119999979</v>
      </c>
      <c r="DG74" s="93">
        <v>0.77500000000000002</v>
      </c>
      <c r="DH74" s="93">
        <v>9.2999999999999999E-2</v>
      </c>
      <c r="DI74" s="80">
        <f t="shared" si="29"/>
        <v>275.56940128739996</v>
      </c>
      <c r="DJ74" s="156">
        <f t="shared" si="36"/>
        <v>275.56940128739996</v>
      </c>
      <c r="DK74" s="80"/>
      <c r="DL74" s="80"/>
      <c r="DO74">
        <f t="shared" si="43"/>
        <v>0</v>
      </c>
      <c r="DP74" s="145"/>
      <c r="DQ74" s="80"/>
      <c r="DR74" s="64"/>
    </row>
    <row r="75" spans="1:122" ht="14" x14ac:dyDescent="0.3">
      <c r="A75" s="145">
        <v>2017</v>
      </c>
      <c r="B75" s="93"/>
      <c r="C75" s="162"/>
      <c r="D75" s="162"/>
      <c r="E75" s="163"/>
      <c r="F75" s="64">
        <v>91712</v>
      </c>
      <c r="G75" s="64">
        <f t="shared" si="38"/>
        <v>4127.0400000000054</v>
      </c>
      <c r="H75" s="64">
        <f>F75*0.95</f>
        <v>87126.399999999994</v>
      </c>
      <c r="I75" s="64">
        <f t="shared" si="39"/>
        <v>458.56</v>
      </c>
      <c r="J75" s="71">
        <v>458.43</v>
      </c>
      <c r="K75" s="64">
        <f t="shared" si="50"/>
        <v>458.43</v>
      </c>
      <c r="L75" s="93"/>
      <c r="M75" s="64"/>
      <c r="N75" s="64"/>
      <c r="O75" s="64"/>
      <c r="P75" s="65"/>
      <c r="Q75" s="64">
        <v>37467</v>
      </c>
      <c r="R75" s="64">
        <f t="shared" si="40"/>
        <v>74.933999999998491</v>
      </c>
      <c r="S75" s="64">
        <f>Q75*0.95</f>
        <v>35593.65</v>
      </c>
      <c r="T75" s="64">
        <f t="shared" si="41"/>
        <v>1498.68</v>
      </c>
      <c r="U75" s="65">
        <f t="shared" si="42"/>
        <v>299.73599999999999</v>
      </c>
      <c r="V75" s="97">
        <f>[1]Adjust_Truck_Freight!AB53</f>
        <v>15599.9</v>
      </c>
      <c r="W75" s="80">
        <f t="shared" si="12"/>
        <v>1731.5889000000006</v>
      </c>
      <c r="X75" s="80">
        <f>V75*FuelConsump!$BV75</f>
        <v>13790.311599999999</v>
      </c>
      <c r="Y75" s="88">
        <f>V75*FuelConsump!$BW75</f>
        <v>77.999499999999998</v>
      </c>
      <c r="Z75" s="138">
        <f>[1]Adjust_Truck_Freight!AC53</f>
        <v>30363.599999999999</v>
      </c>
      <c r="AA75" s="80">
        <f t="shared" si="13"/>
        <v>3370.3595999999989</v>
      </c>
      <c r="AB75" s="80">
        <f>Z75*FuelConsump!$BV75</f>
        <v>26841.422399999999</v>
      </c>
      <c r="AC75" s="88">
        <f>Z75*FuelConsump!$BW75</f>
        <v>151.81799999999998</v>
      </c>
      <c r="AD75" s="107">
        <v>432.048</v>
      </c>
      <c r="AE75" s="107">
        <v>173.84299999999999</v>
      </c>
      <c r="AF75" s="107">
        <v>12.928000000000001</v>
      </c>
      <c r="AG75" s="107">
        <v>4.8659999999999997</v>
      </c>
      <c r="AH75" s="107">
        <v>37.241</v>
      </c>
      <c r="AI75" s="107">
        <v>0.63400000000000034</v>
      </c>
      <c r="AJ75" s="107">
        <v>6.7220000000000004</v>
      </c>
      <c r="AK75" s="86">
        <v>28.768000000000001</v>
      </c>
      <c r="AL75" s="86">
        <v>7.9450000000000003</v>
      </c>
      <c r="AM75" s="86">
        <v>166.172</v>
      </c>
      <c r="AN75" s="86">
        <v>0.43099999999999999</v>
      </c>
      <c r="AO75" s="86">
        <v>1.883</v>
      </c>
      <c r="AP75" s="151">
        <v>0.10000000000000003</v>
      </c>
      <c r="AQ75" s="147">
        <f>'[1]Passenger-based Activity'!$J76/'[1]Passenger-based Activity'!$J75*AQ74</f>
        <v>532.27811232038061</v>
      </c>
      <c r="AR75" s="164"/>
      <c r="AS75" s="166" t="s">
        <v>107</v>
      </c>
      <c r="AT75" s="167"/>
      <c r="AU75" s="145">
        <v>2017</v>
      </c>
      <c r="AV75" s="64">
        <f t="shared" si="51"/>
        <v>43029.285714285717</v>
      </c>
      <c r="AW75" s="64">
        <f t="shared" si="51"/>
        <v>106481.73809523809</v>
      </c>
      <c r="AX75" s="145">
        <v>2017</v>
      </c>
      <c r="AY75" s="111">
        <v>11587.6</v>
      </c>
      <c r="AZ75" s="111">
        <v>6441.3</v>
      </c>
      <c r="BA75" s="111">
        <v>192.4</v>
      </c>
      <c r="BB75" s="111">
        <v>1548.7</v>
      </c>
      <c r="BC75" s="145">
        <v>2017</v>
      </c>
      <c r="BD75" s="107">
        <v>60.076000000000001</v>
      </c>
      <c r="BE75" s="107">
        <v>489.94900000000001</v>
      </c>
      <c r="BF75" s="76">
        <f>(FuelConsump!BD75*'[1]Fuel Heat Content'!$D$7/1000000)+(FuelConsump!BE75*'[1]Fuel Heat Content'!$C$21/1000000)</f>
        <v>10.004247187999999</v>
      </c>
      <c r="BG75" s="164"/>
      <c r="BH75" s="95">
        <f t="shared" si="37"/>
        <v>10.004247187999999</v>
      </c>
      <c r="BI75" s="170">
        <v>104.245</v>
      </c>
      <c r="BJ75" s="169">
        <v>1776.36</v>
      </c>
      <c r="BK75" s="169">
        <v>3728.009</v>
      </c>
      <c r="BL75" s="169">
        <v>930</v>
      </c>
      <c r="BM75" s="169">
        <v>3537</v>
      </c>
      <c r="BN75" s="145">
        <v>2017</v>
      </c>
      <c r="BO75" s="77">
        <v>721518</v>
      </c>
      <c r="BP75" s="80">
        <f t="shared" si="15"/>
        <v>3269.9660095173349</v>
      </c>
      <c r="BQ75" s="155"/>
      <c r="BR75" s="155"/>
      <c r="BS75">
        <v>2017</v>
      </c>
      <c r="BV75" s="103">
        <v>0.88400000000000001</v>
      </c>
      <c r="BW75" s="103">
        <v>5.0000000000000001E-3</v>
      </c>
      <c r="CA75">
        <f t="shared" si="49"/>
        <v>2017</v>
      </c>
      <c r="CB75">
        <v>15599.9</v>
      </c>
      <c r="CC75" s="161">
        <v>1574.3129999999992</v>
      </c>
      <c r="CD75" s="161">
        <v>12537.772000000001</v>
      </c>
      <c r="CE75" s="161">
        <v>70.915000000000006</v>
      </c>
      <c r="CK75" s="9"/>
      <c r="CN75" s="11"/>
      <c r="CS75" s="12"/>
      <c r="CX75" s="12"/>
      <c r="CY75">
        <v>2017</v>
      </c>
      <c r="CZ75" s="80">
        <v>1807230</v>
      </c>
      <c r="DA75" s="80">
        <v>4472233</v>
      </c>
      <c r="DB75" s="80">
        <f t="shared" si="44"/>
        <v>43029.285714285717</v>
      </c>
      <c r="DC75" s="80">
        <f t="shared" si="44"/>
        <v>106481.73809523809</v>
      </c>
      <c r="DD75" s="80">
        <f t="shared" si="46"/>
        <v>250.66280099999994</v>
      </c>
      <c r="DE75" s="80">
        <f t="shared" si="47"/>
        <v>669.49328009999988</v>
      </c>
      <c r="DF75" s="80">
        <f t="shared" si="48"/>
        <v>920.15608109999982</v>
      </c>
      <c r="DG75" s="93"/>
      <c r="DH75" s="93"/>
      <c r="DI75" s="80"/>
      <c r="DJ75" s="156"/>
      <c r="DK75" s="80"/>
      <c r="DL75" s="80"/>
      <c r="DO75">
        <f t="shared" si="43"/>
        <v>0</v>
      </c>
      <c r="DP75" s="145"/>
      <c r="DQ75" s="80"/>
      <c r="DR75" s="64"/>
    </row>
    <row r="76" spans="1:122" ht="14" x14ac:dyDescent="0.3">
      <c r="B76" s="64"/>
      <c r="C76" s="64"/>
      <c r="D76" s="64"/>
      <c r="E76" s="64"/>
      <c r="G76" s="64"/>
      <c r="H76" s="64"/>
      <c r="I76" s="64"/>
      <c r="J76" s="64"/>
      <c r="K76" s="64"/>
      <c r="L76" s="64"/>
      <c r="M76" s="64"/>
      <c r="N76" s="64"/>
      <c r="O76" s="64"/>
      <c r="P76" s="64"/>
      <c r="R76" s="64"/>
      <c r="S76" s="64"/>
      <c r="T76" s="64"/>
      <c r="U76" s="64"/>
      <c r="V76" s="64"/>
      <c r="W76" s="64"/>
      <c r="X76" s="64"/>
      <c r="Y76" s="64"/>
      <c r="Z76" s="64"/>
      <c r="AA76" s="64"/>
      <c r="AB76" s="64"/>
      <c r="AC76" s="64"/>
      <c r="AD76" s="107"/>
      <c r="AE76" s="107"/>
      <c r="AF76" s="107"/>
      <c r="AG76" s="107"/>
      <c r="AH76" s="107"/>
      <c r="AI76" s="107"/>
      <c r="AJ76" s="107"/>
      <c r="AR76" s="153"/>
      <c r="AS76" s="89"/>
      <c r="AT76" s="89"/>
      <c r="AV76" s="171"/>
      <c r="AW76" s="171"/>
      <c r="AY76" s="64"/>
      <c r="AZ76" s="64"/>
      <c r="BA76" s="160"/>
      <c r="BB76" s="160"/>
      <c r="BC76" s="145">
        <v>2018</v>
      </c>
      <c r="BD76" s="93"/>
      <c r="BE76" s="93">
        <v>484.98</v>
      </c>
      <c r="BF76" s="76">
        <f>(FuelConsump!BD76*'[1]Fuel Heat Content'!$D$7/1000000)+(FuelConsump!BE76*'[1]Fuel Heat Content'!$C$21/1000000)</f>
        <v>1.6547517599999999</v>
      </c>
      <c r="BG76" s="107"/>
      <c r="BH76" s="95">
        <f t="shared" si="37"/>
        <v>1.6547517599999999</v>
      </c>
      <c r="BM76" s="172"/>
      <c r="BO76" s="77">
        <f>'[1]MER Table 4.3_Nov2019'!I82*1000</f>
        <v>862891</v>
      </c>
      <c r="BP76" s="80">
        <f t="shared" si="15"/>
        <v>3910.6775436211192</v>
      </c>
      <c r="BQ76" s="155"/>
      <c r="BR76" s="155"/>
      <c r="CK76" s="9"/>
      <c r="CN76" s="11"/>
      <c r="CS76" s="12"/>
      <c r="CX76" s="12"/>
      <c r="CZ76" s="80"/>
      <c r="DA76" s="80"/>
      <c r="DB76" s="80"/>
      <c r="DC76" s="80"/>
      <c r="DD76" s="80"/>
      <c r="DE76" s="80"/>
      <c r="DF76" s="80"/>
      <c r="DG76" s="93"/>
      <c r="DH76" s="93"/>
      <c r="DI76" s="80"/>
      <c r="DJ76" s="156"/>
      <c r="DK76" s="80"/>
      <c r="DL76" s="80"/>
      <c r="DM76" s="80"/>
    </row>
    <row r="77" spans="1:122" ht="14" x14ac:dyDescent="0.3">
      <c r="A77" s="13" t="s">
        <v>108</v>
      </c>
      <c r="B77" s="173"/>
      <c r="C77" s="173"/>
      <c r="D77" s="173"/>
      <c r="E77" s="173"/>
      <c r="F77" s="173"/>
      <c r="G77" s="173"/>
      <c r="H77" s="173"/>
      <c r="I77" s="173"/>
      <c r="J77" s="173"/>
      <c r="K77" s="173"/>
      <c r="L77" s="173"/>
      <c r="M77" s="173"/>
      <c r="N77" s="173"/>
      <c r="O77" s="173"/>
      <c r="P77" s="173"/>
      <c r="Q77" s="173"/>
      <c r="R77" s="173"/>
      <c r="S77" s="173"/>
      <c r="T77" s="173"/>
      <c r="U77" s="173"/>
      <c r="V77" s="173"/>
      <c r="W77" s="173"/>
      <c r="X77" s="173"/>
      <c r="Y77" s="173"/>
      <c r="Z77" s="173"/>
      <c r="AA77" s="173"/>
      <c r="AB77" s="171"/>
      <c r="AC77" s="171"/>
      <c r="AD77" s="147"/>
      <c r="AE77" s="155"/>
      <c r="AF77" s="155"/>
      <c r="AG77" s="155"/>
      <c r="AH77" s="155"/>
      <c r="AI77" s="155"/>
      <c r="AJ77" s="155"/>
      <c r="AK77" s="155"/>
      <c r="AL77" s="155"/>
      <c r="AM77" s="155"/>
      <c r="AN77" s="155"/>
      <c r="AO77" s="155"/>
      <c r="AP77" s="155"/>
      <c r="AQ77" s="155"/>
      <c r="AR77" s="155"/>
      <c r="AS77" s="174"/>
      <c r="AT77" s="174"/>
      <c r="AV77" s="171"/>
      <c r="AW77" s="171"/>
      <c r="AY77" s="171"/>
      <c r="AZ77" s="171"/>
      <c r="BA77" s="160"/>
      <c r="BB77" s="160"/>
      <c r="BD77" s="147"/>
      <c r="BE77" s="147"/>
      <c r="BF77" s="147"/>
      <c r="BG77" s="147"/>
      <c r="BH77" s="147"/>
      <c r="BI77" s="147"/>
      <c r="BJ77" s="155"/>
      <c r="BK77" s="155"/>
      <c r="BL77" s="155"/>
      <c r="BM77" s="155"/>
      <c r="BN77" s="155"/>
      <c r="BO77" s="155"/>
      <c r="BP77" s="155"/>
      <c r="BQ77" s="155"/>
      <c r="BR77" s="175"/>
      <c r="BV77" s="67" t="s">
        <v>109</v>
      </c>
      <c r="CC77" s="161" t="s">
        <v>110</v>
      </c>
      <c r="CK77" s="9"/>
      <c r="CN77" s="11"/>
      <c r="CS77" s="12"/>
      <c r="CX77" s="12"/>
      <c r="CZ77" s="64" t="s">
        <v>111</v>
      </c>
      <c r="DA77" s="80"/>
      <c r="DB77" s="80"/>
      <c r="DC77" s="80"/>
      <c r="DD77" s="80"/>
      <c r="DE77" s="80"/>
      <c r="DF77" s="80"/>
      <c r="DG77" s="80"/>
      <c r="DH77" s="80"/>
      <c r="DI77" s="80"/>
      <c r="DJ77" s="80"/>
      <c r="DK77" s="80"/>
      <c r="DL77" s="80"/>
      <c r="DM77" s="80"/>
    </row>
    <row r="78" spans="1:122" x14ac:dyDescent="0.25">
      <c r="AD78" s="67" t="s">
        <v>112</v>
      </c>
      <c r="AM78">
        <v>2000</v>
      </c>
      <c r="AP78" t="s">
        <v>113</v>
      </c>
      <c r="AQ78" s="86">
        <f>34.7*365*0.001</f>
        <v>12.665500000000002</v>
      </c>
      <c r="AS78" s="86">
        <f>14*365*0.001</f>
        <v>5.1100000000000003</v>
      </c>
      <c r="CK78" s="9"/>
      <c r="CN78" s="11"/>
      <c r="CS78" s="12"/>
      <c r="CX78" s="12"/>
      <c r="CZ78" s="80"/>
      <c r="DA78" s="80"/>
      <c r="DB78" s="80"/>
      <c r="DC78" s="80" t="s">
        <v>114</v>
      </c>
      <c r="DD78" t="s">
        <v>115</v>
      </c>
      <c r="DF78" s="176" t="s">
        <v>116</v>
      </c>
      <c r="DG78" s="80"/>
      <c r="DH78" s="80"/>
      <c r="DI78" s="80"/>
      <c r="DJ78" s="80"/>
      <c r="DK78" s="80"/>
      <c r="DL78" s="80"/>
      <c r="DM78" s="80"/>
    </row>
    <row r="79" spans="1:122" ht="13" x14ac:dyDescent="0.3">
      <c r="A79" s="10" t="s">
        <v>117</v>
      </c>
      <c r="AD79">
        <f>AD68</f>
        <v>435.4</v>
      </c>
      <c r="AE79" s="86">
        <f>138.7</f>
        <v>138.69999999999999</v>
      </c>
      <c r="AF79">
        <f>AD79*AE79</f>
        <v>60389.979999999989</v>
      </c>
      <c r="AH79">
        <f>'[1]Fuel Heat Content'!$D$7</f>
        <v>138700</v>
      </c>
      <c r="AM79">
        <v>300</v>
      </c>
      <c r="AP79" t="s">
        <v>118</v>
      </c>
      <c r="AR79" s="89"/>
      <c r="CK79" s="9"/>
      <c r="CN79" s="11"/>
      <c r="CS79" s="12"/>
      <c r="CX79" s="12"/>
      <c r="CZ79" s="80"/>
      <c r="DA79" s="80"/>
      <c r="DB79" s="80"/>
      <c r="DC79" s="80" t="s">
        <v>119</v>
      </c>
      <c r="DD79" s="80" t="s">
        <v>120</v>
      </c>
      <c r="DE79" s="80"/>
      <c r="DF79" s="80" t="s">
        <v>121</v>
      </c>
      <c r="DG79" s="80"/>
      <c r="DH79" s="80"/>
      <c r="DI79" s="80"/>
      <c r="DJ79" s="80"/>
      <c r="DK79" s="80"/>
      <c r="DL79" s="80"/>
      <c r="DM79" s="80"/>
    </row>
    <row r="80" spans="1:122" ht="13" x14ac:dyDescent="0.3">
      <c r="A80" s="177" t="s">
        <v>2</v>
      </c>
      <c r="AD80">
        <v>126.2</v>
      </c>
      <c r="AE80" s="86">
        <f>138.7</f>
        <v>138.69999999999999</v>
      </c>
      <c r="AF80">
        <f t="shared" ref="AF80:AF84" si="52">AD80*AE80</f>
        <v>17503.939999999999</v>
      </c>
      <c r="AH80">
        <f>'[1]Fuel Heat Content'!$D$15</f>
        <v>129400</v>
      </c>
      <c r="AM80">
        <v>175</v>
      </c>
      <c r="AR80" s="93"/>
      <c r="CK80" s="9"/>
      <c r="CN80" s="11"/>
      <c r="CS80" s="12"/>
      <c r="CX80" s="12"/>
      <c r="CZ80" s="80"/>
      <c r="DA80" s="80"/>
      <c r="DB80" s="80"/>
      <c r="DC80" s="80"/>
      <c r="DD80" s="80"/>
      <c r="DE80" s="80"/>
      <c r="DF80" s="80"/>
      <c r="DG80" s="80"/>
      <c r="DH80" s="80"/>
      <c r="DI80" s="80"/>
      <c r="DJ80" s="80"/>
      <c r="DK80" s="80"/>
      <c r="DL80" s="80"/>
      <c r="DM80" s="80"/>
    </row>
    <row r="81" spans="1:117" ht="13" x14ac:dyDescent="0.3">
      <c r="A81" s="178" t="s">
        <v>122</v>
      </c>
      <c r="AD81">
        <v>8.1</v>
      </c>
      <c r="AE81" s="86">
        <v>125</v>
      </c>
      <c r="AF81">
        <f t="shared" si="52"/>
        <v>1012.5</v>
      </c>
      <c r="AH81">
        <f>'[1]Fuel Heat Content'!$D$6</f>
        <v>125000</v>
      </c>
      <c r="AM81">
        <v>200</v>
      </c>
      <c r="AR81" s="93"/>
      <c r="BT81" t="s">
        <v>123</v>
      </c>
      <c r="CK81" s="9"/>
      <c r="CN81" s="11"/>
      <c r="CS81" s="12"/>
      <c r="CX81" s="12"/>
      <c r="CZ81" s="80"/>
      <c r="DA81" s="80"/>
      <c r="DB81" s="80"/>
      <c r="DC81" s="80"/>
      <c r="DD81" s="80"/>
      <c r="DE81" s="80"/>
      <c r="DF81" s="80"/>
      <c r="DG81" s="80"/>
      <c r="DH81" s="80"/>
      <c r="DI81" s="80"/>
      <c r="DJ81" s="80"/>
      <c r="DK81" s="80"/>
      <c r="DL81" s="80"/>
      <c r="DM81" s="80"/>
    </row>
    <row r="82" spans="1:117" ht="13" x14ac:dyDescent="0.3">
      <c r="B82" t="s">
        <v>124</v>
      </c>
      <c r="AD82">
        <v>23</v>
      </c>
      <c r="AE82" s="86">
        <v>84.8</v>
      </c>
      <c r="AF82">
        <f t="shared" si="52"/>
        <v>1950.3999999999999</v>
      </c>
      <c r="AH82">
        <f>'[1]Fuel Heat Content'!$D$16</f>
        <v>84800</v>
      </c>
      <c r="AM82">
        <v>225</v>
      </c>
      <c r="AR82" s="93"/>
      <c r="BT82" t="s">
        <v>125</v>
      </c>
      <c r="CK82" s="9"/>
      <c r="CN82" s="11"/>
      <c r="CS82" s="12"/>
      <c r="CX82" s="12"/>
      <c r="CZ82" s="80"/>
      <c r="DA82" s="80"/>
      <c r="DB82" s="80"/>
      <c r="DC82" s="80"/>
      <c r="DD82" s="80"/>
      <c r="DE82" s="80"/>
      <c r="DF82" s="80"/>
      <c r="DG82" s="80"/>
      <c r="DH82" s="80"/>
      <c r="DI82" s="80"/>
      <c r="DJ82" s="80"/>
      <c r="DK82" s="80"/>
      <c r="DL82" s="80"/>
      <c r="DM82" s="80"/>
    </row>
    <row r="83" spans="1:117" ht="13" x14ac:dyDescent="0.3">
      <c r="B83" t="s">
        <v>126</v>
      </c>
      <c r="AD83">
        <v>3.5</v>
      </c>
      <c r="AE83" s="86">
        <v>64.599999999999994</v>
      </c>
      <c r="AF83">
        <f t="shared" si="52"/>
        <v>226.09999999999997</v>
      </c>
      <c r="AH83">
        <f>'[1]Fuel Heat Content'!$D$17</f>
        <v>64600</v>
      </c>
      <c r="AM83">
        <v>17</v>
      </c>
      <c r="AR83" s="93"/>
      <c r="BT83" t="s">
        <v>127</v>
      </c>
      <c r="CK83" s="9"/>
      <c r="CN83" s="11"/>
      <c r="CS83" s="12"/>
      <c r="CX83" s="12"/>
      <c r="CZ83" s="80"/>
      <c r="DA83" s="80"/>
      <c r="DB83" s="80"/>
      <c r="DC83" s="80"/>
      <c r="DD83" s="80"/>
      <c r="DE83" s="80"/>
      <c r="DF83" s="80"/>
      <c r="DG83" s="80"/>
      <c r="DH83" s="80"/>
      <c r="DI83" s="80"/>
      <c r="DJ83" s="80"/>
      <c r="DK83" s="80"/>
      <c r="DL83" s="80"/>
      <c r="DM83" s="80"/>
    </row>
    <row r="84" spans="1:117" ht="13" x14ac:dyDescent="0.3">
      <c r="B84" t="s">
        <v>128</v>
      </c>
      <c r="AD84">
        <v>43.5</v>
      </c>
      <c r="AE84" s="86">
        <v>127.52500000000001</v>
      </c>
      <c r="AF84">
        <f t="shared" si="52"/>
        <v>5547.3375000000005</v>
      </c>
      <c r="AH84">
        <f>'[1]Fuel Heat Content'!$D$14</f>
        <v>91300</v>
      </c>
      <c r="AM84">
        <v>40</v>
      </c>
      <c r="AR84" s="93"/>
      <c r="BT84" t="s">
        <v>129</v>
      </c>
      <c r="CK84" s="9"/>
      <c r="CN84" s="11"/>
      <c r="CS84" s="12"/>
      <c r="CX84" s="12"/>
      <c r="CZ84" s="179"/>
    </row>
    <row r="85" spans="1:117" ht="13.5" thickBot="1" x14ac:dyDescent="0.35">
      <c r="B85" s="180" t="s">
        <v>130</v>
      </c>
      <c r="C85" s="181"/>
      <c r="D85" t="s">
        <v>131</v>
      </c>
      <c r="G85" s="182" t="s">
        <v>132</v>
      </c>
      <c r="AE85" s="86"/>
      <c r="AF85">
        <f>SUM(AF79:AF84)</f>
        <v>86630.257499999978</v>
      </c>
      <c r="AH85">
        <f>'[1]Fuel Heat Content'!$D$19</f>
        <v>127595.23809523811</v>
      </c>
      <c r="AM85">
        <v>100</v>
      </c>
      <c r="AR85" s="93"/>
      <c r="BT85" s="183" t="s">
        <v>133</v>
      </c>
      <c r="BU85" s="184" t="s">
        <v>134</v>
      </c>
      <c r="BV85" s="184" t="s">
        <v>135</v>
      </c>
      <c r="BW85" s="184" t="s">
        <v>136</v>
      </c>
      <c r="BX85" s="184" t="s">
        <v>137</v>
      </c>
      <c r="BY85" s="184" t="s">
        <v>138</v>
      </c>
      <c r="CK85" s="9"/>
      <c r="CN85" s="11"/>
      <c r="CS85" s="12"/>
      <c r="CX85" s="12"/>
      <c r="CZ85" s="179"/>
    </row>
    <row r="86" spans="1:117" x14ac:dyDescent="0.25">
      <c r="A86" s="67" t="s">
        <v>139</v>
      </c>
      <c r="B86" s="182"/>
      <c r="C86" s="185"/>
      <c r="AC86" t="s">
        <v>140</v>
      </c>
      <c r="AD86" s="103">
        <f>69.5*1000*10339/(1000000000)</f>
        <v>0.71856050000000005</v>
      </c>
      <c r="AR86" s="93"/>
      <c r="CK86" s="9"/>
      <c r="CN86" s="11"/>
      <c r="CS86" s="12"/>
      <c r="CX86" s="12"/>
    </row>
    <row r="87" spans="1:117" ht="13" x14ac:dyDescent="0.3">
      <c r="A87" s="186" t="s">
        <v>141</v>
      </c>
      <c r="B87" s="8"/>
      <c r="C87" s="8"/>
      <c r="D87" s="8"/>
      <c r="E87" s="8"/>
      <c r="F87" s="8"/>
      <c r="G87" s="8"/>
      <c r="H87" s="8"/>
      <c r="I87" s="8"/>
      <c r="J87" s="8"/>
      <c r="K87" s="8"/>
      <c r="L87" s="8"/>
      <c r="M87" s="8"/>
      <c r="N87" s="8"/>
      <c r="O87" s="8"/>
      <c r="P87" s="8"/>
      <c r="AM87">
        <v>100</v>
      </c>
      <c r="AR87" s="93"/>
      <c r="BT87" t="s">
        <v>127</v>
      </c>
      <c r="CK87" s="9"/>
      <c r="CN87" s="11"/>
      <c r="CS87" s="12"/>
      <c r="CX87" s="12"/>
    </row>
    <row r="88" spans="1:117" ht="13" x14ac:dyDescent="0.3">
      <c r="A88" s="178"/>
      <c r="B88" s="67" t="s">
        <v>142</v>
      </c>
      <c r="AM88">
        <v>200</v>
      </c>
      <c r="AR88" s="93"/>
      <c r="BS88">
        <v>1997</v>
      </c>
      <c r="BT88" s="63">
        <f>20301693/1000</f>
        <v>20301.692999999999</v>
      </c>
      <c r="BU88" s="64">
        <v>124584</v>
      </c>
      <c r="BV88" s="86">
        <v>6.1</v>
      </c>
      <c r="BW88" s="170">
        <f t="shared" ref="BW88:BW101" si="53">BU88/BT88</f>
        <v>6.1366310681577145</v>
      </c>
      <c r="BX88" s="86"/>
      <c r="CK88" s="9"/>
      <c r="CN88" s="11"/>
      <c r="CS88" s="12"/>
      <c r="CX88" s="12"/>
    </row>
    <row r="89" spans="1:117" ht="13" x14ac:dyDescent="0.3">
      <c r="A89" s="178"/>
      <c r="B89" s="10" t="s">
        <v>143</v>
      </c>
      <c r="W89" s="187" t="s">
        <v>144</v>
      </c>
      <c r="X89" s="187"/>
      <c r="AM89">
        <f>SUM(AM78:AM88)</f>
        <v>3357</v>
      </c>
      <c r="AR89" s="93"/>
      <c r="BS89">
        <f>BN56</f>
        <v>1998</v>
      </c>
      <c r="BT89" s="63">
        <v>25158</v>
      </c>
      <c r="BU89" s="64">
        <v>128359</v>
      </c>
      <c r="BV89" s="86">
        <v>5.0999999999999996</v>
      </c>
      <c r="BW89" s="170">
        <f t="shared" si="53"/>
        <v>5.1021146355036171</v>
      </c>
      <c r="BX89" s="188">
        <f>AVERAGE(BW88,BW90)</f>
        <v>5.7659206515081447</v>
      </c>
      <c r="BY89" s="189">
        <f>BV89/BX89*BT89</f>
        <v>22252.439420310111</v>
      </c>
      <c r="CK89" s="9"/>
      <c r="CN89" s="11"/>
      <c r="CS89" s="12"/>
      <c r="CX89" s="12"/>
    </row>
    <row r="90" spans="1:117" ht="13" x14ac:dyDescent="0.3">
      <c r="A90" s="178"/>
      <c r="B90" s="10"/>
      <c r="W90" s="187"/>
      <c r="X90" s="187"/>
      <c r="AR90" s="93"/>
      <c r="BS90">
        <f>BN57</f>
        <v>1999</v>
      </c>
      <c r="BT90" s="63">
        <f>24537320/1000</f>
        <v>24537.32</v>
      </c>
      <c r="BU90" s="64">
        <v>132384</v>
      </c>
      <c r="BV90" s="86">
        <v>5.4</v>
      </c>
      <c r="BW90" s="170">
        <f t="shared" si="53"/>
        <v>5.3952102348585749</v>
      </c>
      <c r="BX90" s="170"/>
      <c r="BY90">
        <f>BT90</f>
        <v>24537.32</v>
      </c>
      <c r="CK90" s="9"/>
      <c r="CN90" s="11"/>
      <c r="CS90" s="12"/>
      <c r="CX90" s="12"/>
    </row>
    <row r="91" spans="1:117" ht="13" x14ac:dyDescent="0.3">
      <c r="A91" s="177" t="s">
        <v>25</v>
      </c>
      <c r="W91" s="187"/>
      <c r="X91" s="187"/>
      <c r="AR91" s="93"/>
      <c r="BS91">
        <f>BN58</f>
        <v>2000</v>
      </c>
      <c r="BT91" s="64">
        <v>25666</v>
      </c>
      <c r="BU91" s="64">
        <v>135029</v>
      </c>
      <c r="BV91" s="86">
        <v>5.3</v>
      </c>
      <c r="BW91" s="170">
        <f>BU91/BT91</f>
        <v>5.2610067793968671</v>
      </c>
      <c r="BX91" s="170"/>
      <c r="BY91">
        <f>BT91</f>
        <v>25666</v>
      </c>
      <c r="CK91" s="9"/>
      <c r="CN91" s="11"/>
      <c r="CS91" s="12"/>
      <c r="CX91" s="12"/>
    </row>
    <row r="92" spans="1:117" ht="13" x14ac:dyDescent="0.3">
      <c r="A92" s="178"/>
      <c r="B92" s="67" t="s">
        <v>145</v>
      </c>
      <c r="D92" s="67" t="s">
        <v>146</v>
      </c>
      <c r="K92" s="187" t="s">
        <v>147</v>
      </c>
      <c r="X92" s="187"/>
      <c r="AR92" s="93"/>
      <c r="BS92">
        <f>BN59</f>
        <v>2001</v>
      </c>
      <c r="BT92" s="64">
        <v>25512</v>
      </c>
      <c r="BU92" s="64">
        <v>136584</v>
      </c>
      <c r="BV92" s="86">
        <v>5.4</v>
      </c>
      <c r="BW92" s="170">
        <f>BU92/BT92</f>
        <v>5.3537158984007522</v>
      </c>
      <c r="BX92" s="170"/>
      <c r="BY92">
        <f>BT92</f>
        <v>25512</v>
      </c>
      <c r="CK92" s="9"/>
      <c r="CN92" s="11"/>
      <c r="CS92" s="12"/>
      <c r="CX92" s="12"/>
    </row>
    <row r="93" spans="1:117" ht="13" x14ac:dyDescent="0.3">
      <c r="A93" s="178"/>
      <c r="AR93" s="93"/>
      <c r="BT93" s="64"/>
      <c r="BU93" s="64"/>
      <c r="BV93" s="86"/>
      <c r="BW93" s="170"/>
      <c r="BX93" s="170"/>
      <c r="CK93" s="9"/>
      <c r="CN93" s="11"/>
      <c r="CS93" s="12"/>
      <c r="CX93" s="12"/>
    </row>
    <row r="94" spans="1:117" ht="13" x14ac:dyDescent="0.3">
      <c r="A94" s="13" t="s">
        <v>26</v>
      </c>
      <c r="B94" s="10"/>
      <c r="W94" s="187"/>
      <c r="X94" s="187"/>
      <c r="AR94" s="93"/>
      <c r="BT94" s="64"/>
      <c r="BU94" s="64"/>
      <c r="BV94" s="86"/>
      <c r="BW94" s="170"/>
      <c r="BX94" s="170"/>
      <c r="CK94" s="9"/>
      <c r="CN94" s="11"/>
      <c r="CS94" s="12"/>
      <c r="CX94" s="12"/>
    </row>
    <row r="95" spans="1:117" ht="13" x14ac:dyDescent="0.3">
      <c r="A95" s="178"/>
      <c r="B95" s="67" t="s">
        <v>148</v>
      </c>
      <c r="W95" s="187"/>
      <c r="X95" s="187"/>
      <c r="AR95" s="93"/>
      <c r="BS95">
        <f>BN60</f>
        <v>2002</v>
      </c>
      <c r="BT95" s="64">
        <v>26480</v>
      </c>
      <c r="BU95" s="64">
        <v>138737</v>
      </c>
      <c r="BV95" s="86">
        <v>5.2</v>
      </c>
      <c r="BW95" s="170">
        <f t="shared" si="53"/>
        <v>5.2393126888217525</v>
      </c>
      <c r="BX95" s="170"/>
      <c r="BY95">
        <f>BT95</f>
        <v>26480</v>
      </c>
      <c r="CK95" s="9"/>
      <c r="CN95" s="11"/>
      <c r="CS95" s="12"/>
      <c r="CX95" s="12"/>
    </row>
    <row r="96" spans="1:117" ht="13" x14ac:dyDescent="0.3">
      <c r="A96" s="178"/>
      <c r="B96" s="67" t="s">
        <v>149</v>
      </c>
      <c r="C96" s="67" t="s">
        <v>150</v>
      </c>
      <c r="J96" s="67" t="s">
        <v>151</v>
      </c>
      <c r="W96" s="187"/>
      <c r="X96" s="187"/>
      <c r="AR96" s="93"/>
      <c r="BS96">
        <f>BN61</f>
        <v>2003</v>
      </c>
      <c r="BT96" s="64">
        <v>23815</v>
      </c>
      <c r="BU96" s="64">
        <f>140160</f>
        <v>140160</v>
      </c>
      <c r="BV96" s="86">
        <v>5.9</v>
      </c>
      <c r="BW96" s="170">
        <f t="shared" si="53"/>
        <v>5.885366365735881</v>
      </c>
      <c r="BX96" s="188">
        <v>5.22</v>
      </c>
      <c r="BY96" s="189">
        <f>BV96/BX96*BT96</f>
        <v>26917.337164750963</v>
      </c>
      <c r="CK96" s="9"/>
      <c r="CN96" s="11"/>
      <c r="CS96" s="12"/>
      <c r="CX96" s="12"/>
    </row>
    <row r="97" spans="1:102" ht="13" x14ac:dyDescent="0.3">
      <c r="A97" s="178"/>
      <c r="B97" s="67" t="s">
        <v>152</v>
      </c>
      <c r="W97" s="187"/>
      <c r="X97" s="187"/>
      <c r="AR97" s="93"/>
      <c r="BS97">
        <f>BN62</f>
        <v>2004</v>
      </c>
      <c r="BT97" s="64">
        <v>24191</v>
      </c>
      <c r="BU97" s="64">
        <v>142370</v>
      </c>
      <c r="BV97" s="86">
        <v>5.9</v>
      </c>
      <c r="BW97" s="170">
        <f t="shared" si="53"/>
        <v>5.8852465793063535</v>
      </c>
      <c r="BX97" s="188">
        <v>5.21</v>
      </c>
      <c r="BY97" s="189">
        <f>BV97/BX97*BT97</f>
        <v>27394.798464491367</v>
      </c>
      <c r="CK97" s="9"/>
      <c r="CN97" s="11"/>
      <c r="CS97" s="12"/>
      <c r="CX97" s="12"/>
    </row>
    <row r="98" spans="1:102" ht="13" x14ac:dyDescent="0.3">
      <c r="A98" s="178"/>
      <c r="B98" s="67"/>
      <c r="W98" s="187"/>
      <c r="X98" s="187"/>
      <c r="AR98" s="93"/>
      <c r="BS98">
        <v>2005</v>
      </c>
      <c r="BT98" s="64">
        <f>27688664*0.001</f>
        <v>27688.664000000001</v>
      </c>
      <c r="BU98" s="64">
        <v>144028</v>
      </c>
      <c r="BV98" s="86">
        <v>5.9</v>
      </c>
      <c r="BW98" s="170">
        <f t="shared" si="53"/>
        <v>5.2016955386507631</v>
      </c>
      <c r="BX98" s="170"/>
      <c r="BY98">
        <f>BT98</f>
        <v>27688.664000000001</v>
      </c>
      <c r="CK98" s="9"/>
      <c r="CN98" s="11"/>
      <c r="CS98" s="12"/>
      <c r="CX98" s="12"/>
    </row>
    <row r="99" spans="1:102" ht="13" x14ac:dyDescent="0.3">
      <c r="A99" s="177" t="s">
        <v>153</v>
      </c>
      <c r="AR99" s="93"/>
      <c r="BS99">
        <v>2006</v>
      </c>
      <c r="BT99" s="64">
        <f>28106544*0.001</f>
        <v>28106.544000000002</v>
      </c>
      <c r="BU99" s="64">
        <v>142169</v>
      </c>
      <c r="BV99" s="86">
        <v>5.9</v>
      </c>
      <c r="BW99" s="170">
        <f t="shared" si="53"/>
        <v>5.0582170472470747</v>
      </c>
      <c r="BX99" s="170"/>
      <c r="BY99">
        <f>BT99</f>
        <v>28106.544000000002</v>
      </c>
      <c r="CK99" s="9"/>
      <c r="CN99" s="11"/>
      <c r="CS99" s="12"/>
      <c r="CX99" s="12"/>
    </row>
    <row r="100" spans="1:102" ht="13" x14ac:dyDescent="0.3">
      <c r="A100" s="178" t="s">
        <v>122</v>
      </c>
      <c r="AR100" s="93"/>
      <c r="BT100" s="64"/>
      <c r="BU100" s="64"/>
      <c r="BV100" s="86"/>
      <c r="BW100" s="170"/>
      <c r="BX100" s="170"/>
      <c r="CK100" s="9"/>
      <c r="CN100" s="11"/>
      <c r="CS100" s="12"/>
      <c r="CX100" s="12"/>
    </row>
    <row r="101" spans="1:102" ht="13" x14ac:dyDescent="0.3">
      <c r="B101" t="s">
        <v>124</v>
      </c>
      <c r="AR101" s="93"/>
      <c r="BS101">
        <v>2007</v>
      </c>
      <c r="BT101" s="64">
        <f>28545442*0.001</f>
        <v>28545.441999999999</v>
      </c>
      <c r="BU101" s="64">
        <v>145046</v>
      </c>
      <c r="BV101" s="86">
        <v>5.0999999999999996</v>
      </c>
      <c r="BW101" s="170">
        <f t="shared" si="53"/>
        <v>5.0812315325157691</v>
      </c>
      <c r="BX101" s="170"/>
      <c r="BY101">
        <f>BT101</f>
        <v>28545.441999999999</v>
      </c>
      <c r="CK101" s="9"/>
      <c r="CN101" s="11"/>
      <c r="CS101" s="12"/>
      <c r="CX101" s="12"/>
    </row>
    <row r="102" spans="1:102" ht="13" x14ac:dyDescent="0.3">
      <c r="B102" t="s">
        <v>154</v>
      </c>
      <c r="AR102" s="93"/>
      <c r="BS102">
        <v>2008</v>
      </c>
      <c r="BT102" s="64">
        <f>26818441*0.001</f>
        <v>26818.440999999999</v>
      </c>
      <c r="BU102" s="64">
        <v>143507</v>
      </c>
      <c r="BV102" s="86">
        <v>5.4</v>
      </c>
      <c r="BW102" s="170">
        <f>BU102/BT102</f>
        <v>5.3510567597870438</v>
      </c>
      <c r="BX102" s="170"/>
      <c r="BY102">
        <f>BT102</f>
        <v>26818.440999999999</v>
      </c>
      <c r="CK102" s="9"/>
      <c r="CN102" s="11"/>
      <c r="CS102" s="12"/>
      <c r="CX102" s="12"/>
    </row>
    <row r="103" spans="1:102" ht="13" x14ac:dyDescent="0.3">
      <c r="B103" t="s">
        <v>128</v>
      </c>
      <c r="AR103" s="93"/>
      <c r="BT103" s="64"/>
      <c r="BU103" s="64"/>
      <c r="BV103" s="86"/>
      <c r="BW103" s="170"/>
      <c r="BX103" s="170"/>
      <c r="CK103" s="9"/>
      <c r="CN103" s="11"/>
      <c r="CS103" s="12"/>
      <c r="CX103" s="12"/>
    </row>
    <row r="104" spans="1:102" ht="13" x14ac:dyDescent="0.3">
      <c r="B104" t="s">
        <v>155</v>
      </c>
      <c r="AR104" s="93"/>
      <c r="CK104" s="9"/>
      <c r="CN104" s="11"/>
      <c r="CS104" s="12"/>
      <c r="CX104" s="12"/>
    </row>
    <row r="105" spans="1:102" ht="13" x14ac:dyDescent="0.3">
      <c r="B105" s="182" t="s">
        <v>156</v>
      </c>
      <c r="C105" s="185"/>
      <c r="D105" t="s">
        <v>131</v>
      </c>
      <c r="F105" s="67" t="s">
        <v>157</v>
      </c>
      <c r="AR105" s="93"/>
      <c r="CK105" s="9"/>
      <c r="CN105" s="11"/>
      <c r="CS105" s="12"/>
      <c r="CX105" s="12"/>
    </row>
    <row r="106" spans="1:102" x14ac:dyDescent="0.25">
      <c r="B106" s="190"/>
      <c r="F106" s="187"/>
      <c r="AR106" s="93"/>
      <c r="BS106" t="s">
        <v>158</v>
      </c>
      <c r="CK106" s="9"/>
      <c r="CN106" s="11"/>
      <c r="CS106" s="12"/>
      <c r="CX106" s="12"/>
    </row>
    <row r="107" spans="1:102" ht="13" x14ac:dyDescent="0.3">
      <c r="B107" s="182"/>
      <c r="C107" s="185"/>
      <c r="D107" s="67"/>
      <c r="L107" s="182"/>
      <c r="AR107" s="93"/>
      <c r="BS107" t="s">
        <v>159</v>
      </c>
      <c r="CK107" s="9"/>
      <c r="CN107" s="11"/>
      <c r="CS107" s="12"/>
      <c r="CX107" s="12"/>
    </row>
    <row r="108" spans="1:102" ht="13" x14ac:dyDescent="0.3">
      <c r="A108" s="178" t="s">
        <v>141</v>
      </c>
      <c r="AR108" s="93"/>
      <c r="BS108" t="s">
        <v>160</v>
      </c>
      <c r="CK108" s="9"/>
      <c r="CN108" s="11"/>
      <c r="CS108" s="12"/>
      <c r="CX108" s="12"/>
    </row>
    <row r="109" spans="1:102" ht="13" x14ac:dyDescent="0.3">
      <c r="A109" s="178"/>
      <c r="B109" s="67" t="s">
        <v>161</v>
      </c>
      <c r="AR109" s="93"/>
      <c r="BS109" t="s">
        <v>162</v>
      </c>
      <c r="CK109" s="9"/>
      <c r="CN109" s="11"/>
      <c r="CS109" s="12"/>
      <c r="CX109" s="12"/>
    </row>
    <row r="110" spans="1:102" ht="13" x14ac:dyDescent="0.3">
      <c r="A110" s="178"/>
      <c r="B110" s="10" t="s">
        <v>143</v>
      </c>
      <c r="W110" s="187" t="s">
        <v>144</v>
      </c>
      <c r="X110" s="187"/>
      <c r="AR110" s="93"/>
      <c r="CK110" s="9"/>
      <c r="CN110" s="11"/>
      <c r="CS110" s="12"/>
      <c r="CX110" s="12"/>
    </row>
    <row r="111" spans="1:102" ht="13" x14ac:dyDescent="0.3">
      <c r="A111" s="178"/>
      <c r="B111" s="10"/>
      <c r="W111" s="187"/>
      <c r="X111" s="187"/>
      <c r="AR111" s="93"/>
      <c r="CK111" s="9"/>
      <c r="CN111" s="11"/>
      <c r="CS111" s="12"/>
      <c r="CX111" s="12"/>
    </row>
    <row r="112" spans="1:102" ht="13" x14ac:dyDescent="0.3">
      <c r="A112" s="177" t="s">
        <v>28</v>
      </c>
      <c r="W112" s="187"/>
      <c r="X112" s="187"/>
      <c r="AR112" s="93"/>
      <c r="CK112" s="9"/>
      <c r="CN112" s="11"/>
      <c r="CS112" s="12"/>
      <c r="CX112" s="12"/>
    </row>
    <row r="113" spans="1:102" ht="13" x14ac:dyDescent="0.3">
      <c r="A113" s="178"/>
      <c r="B113" s="67" t="s">
        <v>145</v>
      </c>
      <c r="D113" s="67" t="s">
        <v>146</v>
      </c>
      <c r="K113" s="187" t="s">
        <v>147</v>
      </c>
      <c r="W113" s="187"/>
      <c r="X113" s="187"/>
      <c r="AR113" s="93"/>
      <c r="CK113" s="9"/>
      <c r="CN113" s="11"/>
      <c r="CS113" s="12"/>
      <c r="CX113" s="12"/>
    </row>
    <row r="114" spans="1:102" ht="13" x14ac:dyDescent="0.3">
      <c r="A114" s="178"/>
      <c r="B114" s="67"/>
      <c r="D114" s="67"/>
      <c r="K114" s="187"/>
      <c r="W114" s="187"/>
      <c r="X114" s="187"/>
      <c r="AR114" s="93"/>
      <c r="CK114" s="9"/>
      <c r="CN114" s="11"/>
      <c r="CS114" s="12"/>
      <c r="CX114" s="12"/>
    </row>
    <row r="115" spans="1:102" ht="13" x14ac:dyDescent="0.3">
      <c r="A115" s="13" t="s">
        <v>163</v>
      </c>
      <c r="AR115" s="93"/>
      <c r="CK115" s="9"/>
      <c r="CN115" s="11"/>
      <c r="CS115" s="12"/>
      <c r="CX115" s="12"/>
    </row>
    <row r="116" spans="1:102" ht="13" x14ac:dyDescent="0.3">
      <c r="A116" s="178" t="s">
        <v>164</v>
      </c>
      <c r="AR116" s="93"/>
      <c r="CK116" s="9"/>
      <c r="CN116" s="11"/>
      <c r="CS116" s="12"/>
      <c r="CX116" s="12"/>
    </row>
    <row r="117" spans="1:102" ht="13" x14ac:dyDescent="0.3">
      <c r="A117" s="178"/>
      <c r="B117" s="190" t="s">
        <v>165</v>
      </c>
      <c r="C117" s="67" t="s">
        <v>166</v>
      </c>
      <c r="AR117" s="93"/>
      <c r="CK117" s="9"/>
      <c r="CN117" s="11"/>
      <c r="CS117" s="12"/>
      <c r="CX117" s="12"/>
    </row>
    <row r="118" spans="1:102" ht="13" x14ac:dyDescent="0.3">
      <c r="A118" s="178"/>
      <c r="B118" s="182" t="s">
        <v>167</v>
      </c>
      <c r="C118" s="67" t="s">
        <v>168</v>
      </c>
      <c r="AR118" s="93"/>
      <c r="CK118" s="9"/>
      <c r="CN118" s="11"/>
      <c r="CS118" s="12"/>
      <c r="CX118" s="12"/>
    </row>
    <row r="119" spans="1:102" ht="13" x14ac:dyDescent="0.3">
      <c r="A119" s="178" t="s">
        <v>141</v>
      </c>
      <c r="AR119" s="93"/>
      <c r="CK119" s="9"/>
      <c r="CN119" s="11"/>
      <c r="CS119" s="12"/>
      <c r="CX119" s="12"/>
    </row>
    <row r="120" spans="1:102" ht="13" x14ac:dyDescent="0.3">
      <c r="B120" s="67" t="s">
        <v>169</v>
      </c>
      <c r="AR120" s="93"/>
      <c r="CK120" s="9"/>
      <c r="CN120" s="11"/>
      <c r="CS120" s="12"/>
      <c r="CX120" s="12"/>
    </row>
    <row r="121" spans="1:102" ht="13" x14ac:dyDescent="0.3">
      <c r="A121" s="178"/>
      <c r="B121" s="67" t="s">
        <v>170</v>
      </c>
      <c r="AR121" s="93"/>
      <c r="CK121" s="9"/>
      <c r="CN121" s="11"/>
      <c r="CS121" s="12"/>
      <c r="CX121" s="12"/>
    </row>
    <row r="122" spans="1:102" ht="13" x14ac:dyDescent="0.3">
      <c r="A122" s="13" t="s">
        <v>171</v>
      </c>
      <c r="C122" s="187"/>
      <c r="AR122" s="93"/>
      <c r="CK122" s="9"/>
      <c r="CN122" s="11"/>
      <c r="CS122" s="12"/>
      <c r="CX122" s="12"/>
    </row>
    <row r="123" spans="1:102" ht="13" x14ac:dyDescent="0.3">
      <c r="A123" s="178" t="s">
        <v>164</v>
      </c>
      <c r="AR123" s="93"/>
      <c r="CK123" s="9"/>
      <c r="CN123" s="11"/>
      <c r="CS123" s="12"/>
      <c r="CX123" s="12"/>
    </row>
    <row r="124" spans="1:102" ht="13" x14ac:dyDescent="0.3">
      <c r="A124" s="178"/>
      <c r="B124" s="190" t="s">
        <v>165</v>
      </c>
      <c r="C124" s="67" t="s">
        <v>166</v>
      </c>
      <c r="AR124" s="93"/>
      <c r="CK124" s="9"/>
      <c r="CN124" s="11"/>
      <c r="CS124" s="12"/>
      <c r="CX124" s="12"/>
    </row>
    <row r="125" spans="1:102" ht="13" x14ac:dyDescent="0.3">
      <c r="A125" s="178"/>
      <c r="B125" s="182" t="s">
        <v>167</v>
      </c>
      <c r="C125" s="67" t="s">
        <v>172</v>
      </c>
      <c r="AR125" s="93"/>
      <c r="CK125" s="9"/>
      <c r="CN125" s="11"/>
      <c r="CS125" s="12"/>
      <c r="CX125" s="12"/>
    </row>
    <row r="126" spans="1:102" ht="13" x14ac:dyDescent="0.3">
      <c r="A126" s="178" t="s">
        <v>141</v>
      </c>
      <c r="AR126" s="93"/>
      <c r="CK126" s="9"/>
      <c r="CN126" s="11"/>
      <c r="CS126" s="12"/>
      <c r="CX126" s="12"/>
    </row>
    <row r="127" spans="1:102" ht="13" x14ac:dyDescent="0.3">
      <c r="B127" t="s">
        <v>173</v>
      </c>
      <c r="AR127" s="93"/>
      <c r="CK127" s="9"/>
      <c r="CN127" s="11"/>
      <c r="CS127" s="12"/>
      <c r="CX127" s="12"/>
    </row>
    <row r="128" spans="1:102" ht="13" x14ac:dyDescent="0.3">
      <c r="A128" s="178"/>
      <c r="B128" s="67" t="s">
        <v>170</v>
      </c>
      <c r="AR128" s="93"/>
      <c r="CK128" s="9"/>
      <c r="CN128" s="11"/>
      <c r="CS128" s="12"/>
      <c r="CX128" s="12"/>
    </row>
    <row r="129" spans="1:102" ht="13" x14ac:dyDescent="0.3">
      <c r="A129" s="178"/>
      <c r="B129" s="67"/>
      <c r="AR129" s="93"/>
      <c r="CK129" s="9"/>
      <c r="CN129" s="11"/>
      <c r="CS129" s="12"/>
      <c r="CX129" s="12"/>
    </row>
    <row r="130" spans="1:102" ht="13" x14ac:dyDescent="0.3">
      <c r="A130" s="177" t="s">
        <v>174</v>
      </c>
      <c r="AR130" s="93"/>
      <c r="CK130" s="9"/>
      <c r="CN130" s="11"/>
      <c r="CS130" s="12"/>
      <c r="CX130" s="12"/>
    </row>
    <row r="131" spans="1:102" x14ac:dyDescent="0.25">
      <c r="B131" s="67" t="s">
        <v>175</v>
      </c>
      <c r="AR131" s="89"/>
      <c r="CK131" s="9"/>
      <c r="CN131" s="11"/>
      <c r="CS131" s="12"/>
      <c r="CX131" s="12"/>
    </row>
    <row r="132" spans="1:102" x14ac:dyDescent="0.25">
      <c r="CK132" s="9"/>
      <c r="CN132" s="11"/>
      <c r="CS132" s="12"/>
      <c r="CX132" s="12"/>
    </row>
    <row r="133" spans="1:102" ht="13" x14ac:dyDescent="0.3">
      <c r="A133" s="177" t="s">
        <v>176</v>
      </c>
      <c r="CK133" s="9"/>
      <c r="CN133" s="11"/>
      <c r="CS133" s="12"/>
      <c r="CX133" s="12"/>
    </row>
    <row r="134" spans="1:102" x14ac:dyDescent="0.25">
      <c r="B134" s="67" t="s">
        <v>177</v>
      </c>
      <c r="CK134" s="9"/>
      <c r="CN134" s="11"/>
      <c r="CS134" s="12"/>
      <c r="CX134" s="12"/>
    </row>
    <row r="135" spans="1:102" x14ac:dyDescent="0.25">
      <c r="CK135" s="9"/>
      <c r="CN135" s="11"/>
      <c r="CS135" s="12"/>
      <c r="CX135" s="12"/>
    </row>
    <row r="136" spans="1:102" ht="13" x14ac:dyDescent="0.3">
      <c r="A136" s="13" t="s">
        <v>178</v>
      </c>
      <c r="C136" t="s">
        <v>179</v>
      </c>
      <c r="CK136" s="9"/>
      <c r="CN136" s="11"/>
      <c r="CS136" s="12"/>
      <c r="CX136" s="12"/>
    </row>
    <row r="137" spans="1:102" ht="13" x14ac:dyDescent="0.3">
      <c r="A137" s="178"/>
      <c r="B137" s="10" t="s">
        <v>180</v>
      </c>
      <c r="CK137" s="9"/>
      <c r="CN137" s="11"/>
      <c r="CS137" s="12"/>
      <c r="CX137" s="12"/>
    </row>
    <row r="138" spans="1:102" ht="13" x14ac:dyDescent="0.3">
      <c r="A138" s="178"/>
      <c r="B138" t="s">
        <v>181</v>
      </c>
      <c r="CK138" s="9"/>
      <c r="CN138" s="11"/>
      <c r="CS138" s="12"/>
      <c r="CX138" s="12"/>
    </row>
    <row r="139" spans="1:102" ht="13" x14ac:dyDescent="0.3">
      <c r="A139" s="178"/>
      <c r="B139" t="s">
        <v>182</v>
      </c>
      <c r="CK139" s="9"/>
      <c r="CN139" s="11"/>
      <c r="CS139" s="12"/>
      <c r="CX139" s="12"/>
    </row>
    <row r="140" spans="1:102" ht="13" x14ac:dyDescent="0.3">
      <c r="B140" t="s">
        <v>183</v>
      </c>
      <c r="CK140" s="9"/>
      <c r="CN140" s="11"/>
      <c r="CS140" s="12"/>
      <c r="CX140" s="12"/>
    </row>
    <row r="141" spans="1:102" x14ac:dyDescent="0.25">
      <c r="B141" s="191" t="s">
        <v>184</v>
      </c>
      <c r="C141" s="67" t="s">
        <v>185</v>
      </c>
      <c r="J141" s="67" t="s">
        <v>186</v>
      </c>
      <c r="CK141" s="9"/>
      <c r="CN141" s="11"/>
      <c r="CS141" s="12"/>
      <c r="CX141" s="12"/>
    </row>
    <row r="142" spans="1:102" x14ac:dyDescent="0.25">
      <c r="B142" s="192"/>
      <c r="J142" s="67" t="s">
        <v>187</v>
      </c>
      <c r="CK142" s="9"/>
      <c r="CN142" s="11"/>
      <c r="CS142" s="12"/>
      <c r="CX142" s="12"/>
    </row>
    <row r="143" spans="1:102" ht="13" x14ac:dyDescent="0.3">
      <c r="B143" s="193" t="s">
        <v>188</v>
      </c>
      <c r="CK143" s="9"/>
      <c r="CN143" s="11"/>
      <c r="CS143" s="12"/>
      <c r="CX143" s="12"/>
    </row>
    <row r="144" spans="1:102" x14ac:dyDescent="0.25">
      <c r="B144" s="192" t="s">
        <v>189</v>
      </c>
      <c r="CK144" s="9"/>
      <c r="CN144" s="11"/>
      <c r="CS144" s="12"/>
      <c r="CX144" s="12"/>
    </row>
    <row r="145" spans="2:102" x14ac:dyDescent="0.25">
      <c r="B145" s="191" t="s">
        <v>184</v>
      </c>
      <c r="C145" t="s">
        <v>190</v>
      </c>
      <c r="D145" s="192"/>
      <c r="CK145" s="9"/>
      <c r="CN145" s="11"/>
      <c r="CS145" s="12"/>
      <c r="CX145" s="12"/>
    </row>
    <row r="146" spans="2:102" ht="13" x14ac:dyDescent="0.3">
      <c r="B146" s="193" t="s">
        <v>191</v>
      </c>
      <c r="CK146" s="9"/>
      <c r="CN146" s="11"/>
      <c r="CS146" s="12"/>
      <c r="CX146" s="12"/>
    </row>
    <row r="147" spans="2:102" x14ac:dyDescent="0.25">
      <c r="B147" s="192" t="s">
        <v>192</v>
      </c>
      <c r="CK147" s="9"/>
      <c r="CN147" s="11"/>
      <c r="CS147" s="12"/>
      <c r="CX147" s="12"/>
    </row>
    <row r="148" spans="2:102" x14ac:dyDescent="0.25">
      <c r="B148" s="191" t="s">
        <v>184</v>
      </c>
      <c r="C148" t="s">
        <v>190</v>
      </c>
      <c r="D148" s="192"/>
      <c r="CK148" s="9"/>
      <c r="CN148" s="11"/>
      <c r="CS148" s="12"/>
      <c r="CX148" s="12"/>
    </row>
    <row r="149" spans="2:102" ht="13" x14ac:dyDescent="0.3">
      <c r="B149" s="193" t="s">
        <v>193</v>
      </c>
      <c r="CK149" s="9"/>
      <c r="CN149" s="11"/>
      <c r="CS149" s="12"/>
      <c r="CX149" s="12"/>
    </row>
    <row r="150" spans="2:102" x14ac:dyDescent="0.25">
      <c r="B150" s="192" t="s">
        <v>194</v>
      </c>
      <c r="C150" t="s">
        <v>195</v>
      </c>
      <c r="CK150" s="9"/>
      <c r="CN150" s="11"/>
      <c r="CS150" s="12"/>
      <c r="CX150" s="12"/>
    </row>
    <row r="151" spans="2:102" x14ac:dyDescent="0.25">
      <c r="B151" s="191" t="s">
        <v>184</v>
      </c>
      <c r="C151" t="s">
        <v>190</v>
      </c>
      <c r="D151" s="192"/>
      <c r="CK151" s="9"/>
      <c r="CN151" s="11"/>
      <c r="CS151" s="12"/>
      <c r="CX151" s="12"/>
    </row>
    <row r="152" spans="2:102" ht="13" x14ac:dyDescent="0.3">
      <c r="B152" s="193" t="s">
        <v>196</v>
      </c>
      <c r="D152" s="192"/>
      <c r="CK152" s="9"/>
      <c r="CN152" s="11"/>
      <c r="CS152" s="12"/>
      <c r="CX152" s="12"/>
    </row>
    <row r="153" spans="2:102" x14ac:dyDescent="0.25">
      <c r="B153" s="192" t="s">
        <v>197</v>
      </c>
      <c r="D153" s="192"/>
      <c r="CK153" s="9"/>
      <c r="CN153" s="11"/>
      <c r="CS153" s="12"/>
      <c r="CX153" s="12"/>
    </row>
    <row r="154" spans="2:102" x14ac:dyDescent="0.25">
      <c r="B154" s="192" t="s">
        <v>198</v>
      </c>
      <c r="C154" s="192" t="s">
        <v>199</v>
      </c>
      <c r="CK154" s="9"/>
      <c r="CN154" s="11"/>
      <c r="CS154" s="12"/>
      <c r="CX154" s="12"/>
    </row>
    <row r="155" spans="2:102" x14ac:dyDescent="0.25">
      <c r="B155" s="191" t="s">
        <v>184</v>
      </c>
      <c r="C155" t="s">
        <v>190</v>
      </c>
      <c r="D155" s="192"/>
      <c r="CK155" s="9"/>
      <c r="CN155" s="11"/>
      <c r="CS155" s="12"/>
      <c r="CX155" s="12"/>
    </row>
    <row r="156" spans="2:102" ht="13" x14ac:dyDescent="0.3">
      <c r="B156" s="67" t="s">
        <v>200</v>
      </c>
      <c r="C156" s="10"/>
      <c r="D156" s="10"/>
      <c r="E156" s="10"/>
      <c r="F156" s="10"/>
      <c r="G156" s="10"/>
      <c r="H156" s="10"/>
      <c r="I156" s="10"/>
      <c r="J156" s="10"/>
      <c r="K156" s="10"/>
      <c r="L156" s="10"/>
      <c r="M156" s="10"/>
      <c r="N156" s="10"/>
      <c r="CK156" s="9"/>
      <c r="CN156" s="11"/>
      <c r="CS156" s="12"/>
      <c r="CX156" s="12"/>
    </row>
    <row r="157" spans="2:102" ht="13" x14ac:dyDescent="0.3">
      <c r="B157" s="67" t="s">
        <v>201</v>
      </c>
      <c r="C157" s="10"/>
      <c r="D157" s="10"/>
      <c r="E157" s="10"/>
      <c r="F157" s="10"/>
      <c r="G157" s="10"/>
      <c r="H157" s="10"/>
      <c r="I157" s="10"/>
      <c r="J157" s="10"/>
      <c r="K157" s="10"/>
      <c r="L157" s="10"/>
      <c r="M157" s="10"/>
      <c r="N157" s="10"/>
      <c r="CK157" s="9"/>
      <c r="CN157" s="11"/>
      <c r="CS157" s="12"/>
      <c r="CX157" s="12"/>
    </row>
    <row r="158" spans="2:102" ht="13" x14ac:dyDescent="0.3">
      <c r="B158" s="193" t="s">
        <v>202</v>
      </c>
      <c r="D158" s="192"/>
      <c r="CK158" s="9"/>
      <c r="CN158" s="11"/>
      <c r="CS158" s="12"/>
      <c r="CX158" s="12"/>
    </row>
    <row r="159" spans="2:102" x14ac:dyDescent="0.25">
      <c r="B159" s="192" t="s">
        <v>203</v>
      </c>
      <c r="D159" s="192"/>
      <c r="CK159" s="9"/>
      <c r="CN159" s="11"/>
      <c r="CS159" s="12"/>
      <c r="CX159" s="12"/>
    </row>
    <row r="160" spans="2:102" x14ac:dyDescent="0.25">
      <c r="B160" s="192" t="s">
        <v>204</v>
      </c>
      <c r="CK160" s="9"/>
      <c r="CN160" s="11"/>
      <c r="CS160" s="12"/>
      <c r="CX160" s="12"/>
    </row>
    <row r="161" spans="1:102" x14ac:dyDescent="0.25">
      <c r="B161" s="192" t="s">
        <v>205</v>
      </c>
      <c r="CK161" s="9"/>
      <c r="CN161" s="11"/>
      <c r="CS161" s="12"/>
      <c r="CX161" s="12"/>
    </row>
    <row r="162" spans="1:102" x14ac:dyDescent="0.25">
      <c r="B162" t="s">
        <v>206</v>
      </c>
      <c r="CK162" s="9"/>
      <c r="CN162" s="11"/>
      <c r="CS162" s="12"/>
      <c r="CX162" s="12"/>
    </row>
    <row r="163" spans="1:102" ht="13" x14ac:dyDescent="0.3">
      <c r="B163" s="191" t="s">
        <v>184</v>
      </c>
      <c r="C163" t="s">
        <v>190</v>
      </c>
      <c r="D163" s="10"/>
      <c r="E163" s="10"/>
      <c r="F163" s="10"/>
      <c r="G163" s="10"/>
      <c r="H163" s="10"/>
      <c r="I163" s="10"/>
      <c r="J163" s="10"/>
      <c r="K163" s="10"/>
      <c r="L163" s="10"/>
      <c r="M163" s="10"/>
      <c r="N163" s="10"/>
      <c r="V163" s="194"/>
      <c r="CK163" s="9"/>
      <c r="CN163" s="11"/>
      <c r="CS163" s="12"/>
      <c r="CX163" s="12"/>
    </row>
    <row r="164" spans="1:102" ht="13" x14ac:dyDescent="0.3">
      <c r="B164" s="195"/>
      <c r="C164" s="67"/>
      <c r="D164" s="10"/>
      <c r="E164" s="10"/>
      <c r="F164" s="10"/>
      <c r="G164" s="10"/>
      <c r="H164" s="10"/>
      <c r="I164" s="10"/>
      <c r="J164" s="10"/>
      <c r="K164" s="10"/>
      <c r="L164" s="10"/>
      <c r="M164" s="10"/>
      <c r="N164" s="10"/>
      <c r="V164" s="194"/>
      <c r="CK164" s="9"/>
      <c r="CN164" s="11"/>
      <c r="CS164" s="12"/>
      <c r="CX164" s="12"/>
    </row>
    <row r="165" spans="1:102" ht="13" x14ac:dyDescent="0.3">
      <c r="A165" s="10" t="s">
        <v>11</v>
      </c>
      <c r="B165" s="10"/>
      <c r="D165" s="10"/>
      <c r="E165" s="10"/>
      <c r="F165" s="10"/>
      <c r="G165" s="10"/>
      <c r="H165" s="10"/>
      <c r="I165" s="10"/>
      <c r="J165" s="10"/>
      <c r="K165" s="10"/>
      <c r="L165" s="10"/>
      <c r="M165" s="10"/>
      <c r="N165" s="10"/>
      <c r="V165" s="187"/>
      <c r="CK165" s="9"/>
      <c r="CN165" s="11"/>
      <c r="CS165" s="12"/>
      <c r="CX165" s="12"/>
    </row>
    <row r="166" spans="1:102" ht="13" x14ac:dyDescent="0.3">
      <c r="A166" s="10"/>
      <c r="B166" s="10" t="s">
        <v>207</v>
      </c>
      <c r="D166" s="10"/>
      <c r="E166" s="10"/>
      <c r="F166" s="10"/>
      <c r="G166" s="10"/>
      <c r="H166" s="10"/>
      <c r="I166" s="10"/>
      <c r="J166" s="10"/>
      <c r="K166" s="10"/>
      <c r="L166" s="10"/>
      <c r="M166" s="10"/>
      <c r="N166" s="10"/>
      <c r="V166" s="187"/>
      <c r="CK166" s="9"/>
      <c r="CN166" s="11"/>
      <c r="CS166" s="12"/>
      <c r="CX166" s="12"/>
    </row>
    <row r="167" spans="1:102" x14ac:dyDescent="0.25">
      <c r="B167" s="191" t="s">
        <v>208</v>
      </c>
      <c r="J167" s="187" t="s">
        <v>209</v>
      </c>
      <c r="CK167" s="9"/>
      <c r="CN167" s="11"/>
      <c r="CS167" s="12"/>
      <c r="CX167" s="12"/>
    </row>
    <row r="168" spans="1:102" x14ac:dyDescent="0.25">
      <c r="B168" s="192"/>
      <c r="C168" s="187" t="s">
        <v>210</v>
      </c>
      <c r="M168" s="67" t="s">
        <v>211</v>
      </c>
      <c r="CK168" s="9"/>
      <c r="CN168" s="11"/>
      <c r="CS168" s="12"/>
      <c r="CX168" s="12"/>
    </row>
    <row r="169" spans="1:102" ht="13" x14ac:dyDescent="0.3">
      <c r="B169" s="193" t="s">
        <v>212</v>
      </c>
      <c r="CK169" s="9"/>
      <c r="CN169" s="11"/>
      <c r="CS169" s="12"/>
      <c r="CX169" s="12"/>
    </row>
    <row r="170" spans="1:102" x14ac:dyDescent="0.25">
      <c r="B170" s="67" t="s">
        <v>213</v>
      </c>
      <c r="C170" s="67" t="s">
        <v>214</v>
      </c>
      <c r="CK170" s="9"/>
      <c r="CN170" s="11"/>
      <c r="CS170" s="12"/>
      <c r="CX170" s="12"/>
    </row>
    <row r="171" spans="1:102" x14ac:dyDescent="0.25">
      <c r="C171" t="s">
        <v>215</v>
      </c>
      <c r="CK171" s="9"/>
      <c r="CN171" s="11"/>
      <c r="CS171" s="12"/>
      <c r="CX171" s="12"/>
    </row>
    <row r="172" spans="1:102" x14ac:dyDescent="0.25">
      <c r="C172" t="s">
        <v>216</v>
      </c>
      <c r="CK172" s="9"/>
      <c r="CN172" s="11"/>
      <c r="CS172" s="12"/>
      <c r="CX172" s="12"/>
    </row>
    <row r="173" spans="1:102" x14ac:dyDescent="0.25">
      <c r="C173" t="s">
        <v>217</v>
      </c>
      <c r="M173" s="67" t="s">
        <v>218</v>
      </c>
      <c r="CK173" s="9"/>
      <c r="CN173" s="11"/>
      <c r="CS173" s="12"/>
      <c r="CX173" s="12"/>
    </row>
    <row r="174" spans="1:102" ht="13" x14ac:dyDescent="0.3">
      <c r="B174" s="10" t="s">
        <v>219</v>
      </c>
      <c r="CK174" s="9"/>
      <c r="CN174" s="11"/>
      <c r="CS174" s="12"/>
      <c r="CX174" s="12"/>
    </row>
    <row r="175" spans="1:102" x14ac:dyDescent="0.25">
      <c r="B175" s="67" t="s">
        <v>213</v>
      </c>
      <c r="C175" s="67" t="s">
        <v>214</v>
      </c>
      <c r="M175" t="s">
        <v>220</v>
      </c>
      <c r="CK175" s="9"/>
      <c r="CN175" s="11"/>
      <c r="CS175" s="12"/>
      <c r="CX175" s="12"/>
    </row>
    <row r="176" spans="1:102" ht="13" x14ac:dyDescent="0.3">
      <c r="B176" s="10"/>
      <c r="C176" t="s">
        <v>221</v>
      </c>
      <c r="CK176" s="9"/>
      <c r="CN176" s="11"/>
      <c r="CS176" s="12"/>
      <c r="CX176" s="12"/>
    </row>
    <row r="177" spans="1:102" ht="13" x14ac:dyDescent="0.3">
      <c r="A177" s="13" t="s">
        <v>222</v>
      </c>
      <c r="CK177" s="9"/>
      <c r="CN177" s="11"/>
      <c r="CS177" s="12"/>
      <c r="CX177" s="12"/>
    </row>
    <row r="178" spans="1:102" ht="13" x14ac:dyDescent="0.3">
      <c r="A178" s="178"/>
      <c r="B178" s="196" t="s">
        <v>223</v>
      </c>
      <c r="C178" s="197"/>
      <c r="D178" s="197"/>
      <c r="E178" s="197"/>
      <c r="F178" s="197"/>
      <c r="G178" s="197"/>
      <c r="H178" s="197"/>
      <c r="I178" s="197"/>
      <c r="J178" s="197"/>
      <c r="K178" s="197"/>
      <c r="L178" s="197"/>
      <c r="M178" s="197"/>
      <c r="N178" s="197"/>
      <c r="O178" s="197"/>
      <c r="P178" s="197"/>
      <c r="Q178" s="197"/>
      <c r="R178" s="197"/>
      <c r="S178" s="197"/>
      <c r="T178" s="197"/>
      <c r="U178" s="197"/>
      <c r="V178" s="197"/>
      <c r="CK178" s="9"/>
      <c r="CN178" s="11"/>
      <c r="CS178" s="12"/>
      <c r="CX178" s="12"/>
    </row>
    <row r="179" spans="1:102" ht="13" x14ac:dyDescent="0.3">
      <c r="B179" s="197" t="s">
        <v>224</v>
      </c>
      <c r="C179" s="197"/>
      <c r="D179" s="197"/>
      <c r="E179" s="197"/>
      <c r="F179" s="197"/>
      <c r="G179" s="197"/>
      <c r="H179" s="197"/>
      <c r="I179" s="197"/>
      <c r="J179" s="197"/>
      <c r="K179" s="197"/>
      <c r="L179" s="197"/>
      <c r="M179" s="197"/>
      <c r="N179" s="197"/>
      <c r="O179" s="197"/>
      <c r="P179" s="197"/>
      <c r="Q179" s="197"/>
      <c r="R179" s="197"/>
      <c r="S179" s="197"/>
      <c r="T179" s="197"/>
      <c r="U179" s="197"/>
      <c r="V179" s="197"/>
      <c r="CK179" s="9"/>
      <c r="CN179" s="11"/>
      <c r="CS179" s="12"/>
      <c r="CX179" s="12"/>
    </row>
    <row r="180" spans="1:102" ht="13" x14ac:dyDescent="0.3">
      <c r="B180" s="197" t="s">
        <v>225</v>
      </c>
      <c r="C180" s="197"/>
      <c r="D180" s="197"/>
      <c r="E180" s="197"/>
      <c r="F180" s="197"/>
      <c r="G180" s="197"/>
      <c r="H180" s="197"/>
      <c r="I180" s="197"/>
      <c r="J180" s="197"/>
      <c r="K180" s="197"/>
      <c r="L180" s="197"/>
      <c r="M180" s="197"/>
      <c r="N180" s="197"/>
      <c r="O180" s="197"/>
      <c r="P180" s="197"/>
      <c r="Q180" s="197"/>
      <c r="R180" s="197"/>
      <c r="S180" s="197"/>
      <c r="T180" s="197"/>
      <c r="U180" s="197"/>
      <c r="V180" s="197"/>
      <c r="CK180" s="9"/>
      <c r="CN180" s="11"/>
      <c r="CS180" s="12"/>
      <c r="CX180" s="12"/>
    </row>
    <row r="181" spans="1:102" ht="13" x14ac:dyDescent="0.3">
      <c r="B181" s="197" t="s">
        <v>226</v>
      </c>
      <c r="C181" s="197" t="s">
        <v>227</v>
      </c>
      <c r="D181" s="197"/>
      <c r="E181" s="197"/>
      <c r="F181" s="197"/>
      <c r="G181" s="197"/>
      <c r="H181" s="197"/>
      <c r="I181" s="197"/>
      <c r="J181" s="197"/>
      <c r="K181" s="197"/>
      <c r="L181" s="197"/>
      <c r="M181" s="197"/>
      <c r="N181" s="197"/>
      <c r="O181" s="197"/>
      <c r="P181" s="197"/>
      <c r="Q181" s="197"/>
      <c r="R181" s="197"/>
      <c r="S181" s="197"/>
      <c r="T181" s="197"/>
      <c r="U181" s="197"/>
      <c r="V181" s="197"/>
      <c r="CK181" s="9"/>
      <c r="CN181" s="11"/>
      <c r="CS181" s="12"/>
      <c r="CX181" s="12"/>
    </row>
    <row r="182" spans="1:102" x14ac:dyDescent="0.25">
      <c r="B182" s="198" t="s">
        <v>228</v>
      </c>
      <c r="C182" s="198"/>
      <c r="D182" s="198"/>
      <c r="E182" s="198"/>
      <c r="F182" s="198"/>
      <c r="G182" s="198"/>
      <c r="H182" s="198"/>
      <c r="I182" s="198"/>
      <c r="J182" s="198"/>
      <c r="K182" s="198"/>
      <c r="L182" s="199"/>
      <c r="M182" s="198"/>
      <c r="N182" s="198"/>
      <c r="O182" s="198"/>
      <c r="P182" s="198"/>
      <c r="Q182" s="198"/>
      <c r="R182" s="198"/>
      <c r="S182" s="198"/>
      <c r="T182" s="198"/>
      <c r="U182" s="198"/>
      <c r="V182" s="198"/>
      <c r="W182" s="200"/>
      <c r="X182" s="200"/>
      <c r="CK182" s="9"/>
      <c r="CN182" s="11"/>
      <c r="CS182" s="12"/>
      <c r="CX182" s="12"/>
    </row>
    <row r="183" spans="1:102" x14ac:dyDescent="0.25">
      <c r="B183" s="201" t="s">
        <v>229</v>
      </c>
      <c r="C183" s="198"/>
      <c r="D183" s="198"/>
      <c r="E183" s="198"/>
      <c r="F183" s="198"/>
      <c r="G183" s="198"/>
      <c r="H183" s="198"/>
      <c r="I183" s="198"/>
      <c r="J183" s="198"/>
      <c r="K183" s="198"/>
      <c r="L183" s="199"/>
      <c r="M183" s="198"/>
      <c r="N183" s="198"/>
      <c r="O183" s="198"/>
      <c r="P183" s="198"/>
      <c r="Q183" s="198"/>
      <c r="R183" s="198"/>
      <c r="S183" s="198"/>
      <c r="T183" s="198"/>
      <c r="U183" s="198"/>
      <c r="V183" s="198"/>
      <c r="W183" s="200"/>
      <c r="X183" s="200"/>
      <c r="CK183" s="9"/>
      <c r="CN183" s="11"/>
      <c r="CS183" s="12"/>
      <c r="CX183" s="12"/>
    </row>
    <row r="184" spans="1:102" x14ac:dyDescent="0.25">
      <c r="B184" s="198" t="s">
        <v>230</v>
      </c>
      <c r="C184" s="198"/>
      <c r="D184" s="198"/>
      <c r="E184" s="198"/>
      <c r="F184" s="198"/>
      <c r="G184" s="198"/>
      <c r="H184" s="198"/>
      <c r="I184" s="198"/>
      <c r="J184" s="198"/>
      <c r="K184" s="198"/>
      <c r="L184" s="199"/>
      <c r="M184" s="198"/>
      <c r="N184" s="198"/>
      <c r="O184" s="198"/>
      <c r="P184" s="198"/>
      <c r="Q184" s="198"/>
      <c r="R184" s="198"/>
      <c r="S184" s="198"/>
      <c r="T184" s="198"/>
      <c r="U184" s="198"/>
      <c r="V184" s="198"/>
      <c r="W184" s="200"/>
      <c r="X184" s="200"/>
      <c r="CK184" s="9"/>
      <c r="CN184" s="11"/>
      <c r="CS184" s="12"/>
      <c r="CX184" s="12"/>
    </row>
    <row r="185" spans="1:102" x14ac:dyDescent="0.25">
      <c r="B185" s="198" t="s">
        <v>231</v>
      </c>
      <c r="C185" s="198"/>
      <c r="D185" s="198"/>
      <c r="E185" s="198"/>
      <c r="F185" s="198"/>
      <c r="G185" s="198"/>
      <c r="H185" s="198"/>
      <c r="I185" s="198"/>
      <c r="J185" s="198"/>
      <c r="K185" s="198"/>
      <c r="L185" s="199"/>
      <c r="M185" s="198"/>
      <c r="N185" s="198"/>
      <c r="O185" s="198"/>
      <c r="P185" s="198"/>
      <c r="Q185" s="198"/>
      <c r="R185" s="198"/>
      <c r="S185" s="198"/>
      <c r="T185" s="198"/>
      <c r="U185" s="198"/>
      <c r="V185" s="198"/>
      <c r="W185" s="200"/>
      <c r="X185" s="200"/>
      <c r="CK185" s="9"/>
      <c r="CN185" s="11"/>
      <c r="CS185" s="12"/>
      <c r="CX185" s="12"/>
    </row>
    <row r="186" spans="1:102" x14ac:dyDescent="0.25">
      <c r="B186" s="200" t="s">
        <v>232</v>
      </c>
      <c r="C186" s="200"/>
      <c r="D186" s="200"/>
      <c r="E186" s="200"/>
      <c r="F186" s="200"/>
      <c r="G186" s="200"/>
      <c r="H186" s="200"/>
      <c r="I186" s="200"/>
      <c r="J186" s="200"/>
      <c r="K186" s="200"/>
      <c r="L186" s="202"/>
      <c r="M186" s="200"/>
      <c r="N186" s="200"/>
      <c r="O186" s="200"/>
      <c r="P186" s="200"/>
      <c r="Q186" s="200"/>
      <c r="R186" s="200"/>
      <c r="S186" s="200"/>
      <c r="T186" s="200"/>
      <c r="U186" s="200"/>
      <c r="V186" s="200"/>
      <c r="W186" s="200"/>
      <c r="X186" s="200"/>
      <c r="CK186" s="9"/>
      <c r="CN186" s="11"/>
      <c r="CS186" s="12"/>
      <c r="CX186" s="12"/>
    </row>
    <row r="187" spans="1:102" x14ac:dyDescent="0.25">
      <c r="B187" s="203" t="s">
        <v>233</v>
      </c>
      <c r="C187" s="200"/>
      <c r="D187" s="200"/>
      <c r="E187" s="200"/>
      <c r="F187" s="200"/>
      <c r="G187" s="200"/>
      <c r="H187" s="200"/>
      <c r="I187" s="200"/>
      <c r="J187" s="200"/>
      <c r="K187" s="200"/>
      <c r="L187" s="202"/>
      <c r="M187" s="200"/>
      <c r="N187" s="200"/>
      <c r="O187" s="200"/>
      <c r="P187" s="200"/>
      <c r="Q187" s="200"/>
      <c r="R187" s="200"/>
      <c r="S187" s="200"/>
      <c r="T187" s="200"/>
      <c r="U187" s="200"/>
      <c r="V187" s="200"/>
      <c r="W187" s="200"/>
      <c r="X187" s="200"/>
      <c r="CK187" s="9"/>
      <c r="CN187" s="11"/>
      <c r="CS187" s="12"/>
      <c r="CX187" s="12"/>
    </row>
    <row r="188" spans="1:102" x14ac:dyDescent="0.25">
      <c r="B188" s="203"/>
      <c r="C188" s="200"/>
      <c r="D188" s="200"/>
      <c r="E188" s="200"/>
      <c r="F188" s="200"/>
      <c r="G188" s="200"/>
      <c r="H188" s="200"/>
      <c r="I188" s="200"/>
      <c r="J188" s="200"/>
      <c r="K188" s="200"/>
      <c r="L188" s="202"/>
      <c r="M188" s="200"/>
      <c r="N188" s="200"/>
      <c r="O188" s="200"/>
      <c r="P188" s="200"/>
      <c r="Q188" s="200"/>
      <c r="R188" s="200"/>
      <c r="S188" s="200"/>
      <c r="T188" s="200"/>
      <c r="U188" s="200"/>
      <c r="V188" s="200"/>
      <c r="W188" s="200"/>
      <c r="X188" s="200"/>
      <c r="CK188" s="9"/>
      <c r="CN188" s="11"/>
      <c r="CS188" s="12"/>
      <c r="CX188" s="12"/>
    </row>
    <row r="189" spans="1:102" ht="13" x14ac:dyDescent="0.3">
      <c r="A189" s="13" t="s">
        <v>38</v>
      </c>
      <c r="CK189" s="9"/>
      <c r="CN189" s="11"/>
      <c r="CS189" s="12"/>
      <c r="CX189" s="12"/>
    </row>
    <row r="190" spans="1:102" ht="13" x14ac:dyDescent="0.3">
      <c r="A190" s="178"/>
      <c r="B190" t="s">
        <v>234</v>
      </c>
      <c r="CK190" s="9"/>
      <c r="CN190" s="11"/>
      <c r="CS190" s="12"/>
      <c r="CX190" s="12"/>
    </row>
    <row r="191" spans="1:102" ht="13" x14ac:dyDescent="0.3">
      <c r="B191" t="s">
        <v>235</v>
      </c>
      <c r="CK191" s="9"/>
      <c r="CN191" s="11"/>
      <c r="CS191" s="12"/>
      <c r="CX191" s="12"/>
    </row>
    <row r="192" spans="1:102" ht="13" x14ac:dyDescent="0.3">
      <c r="B192" t="s">
        <v>236</v>
      </c>
      <c r="CK192" s="9"/>
      <c r="CN192" s="11"/>
      <c r="CS192" s="12"/>
      <c r="CX192" s="12"/>
    </row>
    <row r="193" spans="1:102" x14ac:dyDescent="0.25">
      <c r="B193" s="67" t="s">
        <v>237</v>
      </c>
      <c r="C193" t="s">
        <v>238</v>
      </c>
      <c r="CK193" s="9"/>
      <c r="CN193" s="11"/>
      <c r="CS193" s="12"/>
      <c r="CX193" s="12"/>
    </row>
    <row r="194" spans="1:102" x14ac:dyDescent="0.25">
      <c r="C194" s="187" t="s">
        <v>239</v>
      </c>
      <c r="CK194" s="9"/>
      <c r="CN194" s="11"/>
      <c r="CS194" s="12"/>
      <c r="CX194" s="12"/>
    </row>
    <row r="195" spans="1:102" ht="13" x14ac:dyDescent="0.3">
      <c r="B195" s="67" t="s">
        <v>240</v>
      </c>
      <c r="C195" s="67" t="s">
        <v>241</v>
      </c>
      <c r="CK195" s="9"/>
      <c r="CN195" s="11"/>
      <c r="CS195" s="12"/>
      <c r="CX195" s="12"/>
    </row>
    <row r="196" spans="1:102" x14ac:dyDescent="0.25">
      <c r="B196" s="67" t="s">
        <v>242</v>
      </c>
      <c r="C196" s="67" t="s">
        <v>243</v>
      </c>
      <c r="H196" s="187" t="s">
        <v>244</v>
      </c>
      <c r="CK196" s="9"/>
      <c r="CN196" s="11"/>
      <c r="CS196" s="12"/>
      <c r="CX196" s="12"/>
    </row>
    <row r="197" spans="1:102" x14ac:dyDescent="0.25">
      <c r="C197" s="67"/>
      <c r="CK197" s="9"/>
      <c r="CN197" s="11"/>
      <c r="CS197" s="12"/>
      <c r="CX197" s="12"/>
    </row>
    <row r="198" spans="1:102" ht="13" x14ac:dyDescent="0.3">
      <c r="A198" s="13" t="s">
        <v>245</v>
      </c>
      <c r="CK198" s="9"/>
      <c r="CN198" s="11"/>
      <c r="CS198" s="12"/>
      <c r="CX198" s="12"/>
    </row>
    <row r="199" spans="1:102" ht="13" x14ac:dyDescent="0.3">
      <c r="A199" s="178"/>
      <c r="B199" t="s">
        <v>246</v>
      </c>
      <c r="CK199" s="9"/>
      <c r="CN199" s="11"/>
      <c r="CS199" s="12"/>
      <c r="CX199" s="12"/>
    </row>
    <row r="200" spans="1:102" ht="13" x14ac:dyDescent="0.3">
      <c r="A200" s="178"/>
      <c r="C200" t="s">
        <v>247</v>
      </c>
      <c r="CK200" s="9"/>
      <c r="CN200" s="11"/>
      <c r="CS200" s="12"/>
      <c r="CX200" s="12"/>
    </row>
    <row r="201" spans="1:102" ht="13" x14ac:dyDescent="0.3">
      <c r="A201" s="178"/>
      <c r="B201" t="s">
        <v>248</v>
      </c>
      <c r="C201" t="s">
        <v>249</v>
      </c>
      <c r="CK201" s="9"/>
      <c r="CN201" s="11"/>
      <c r="CS201" s="12"/>
      <c r="CX201" s="12"/>
    </row>
    <row r="202" spans="1:102" ht="13" x14ac:dyDescent="0.3">
      <c r="A202" s="178"/>
      <c r="C202" t="s">
        <v>250</v>
      </c>
      <c r="CK202" s="9"/>
      <c r="CN202" s="11"/>
      <c r="CS202" s="12"/>
      <c r="CX202" s="12"/>
    </row>
    <row r="203" spans="1:102" ht="13" x14ac:dyDescent="0.3">
      <c r="A203" s="178"/>
      <c r="B203" t="s">
        <v>251</v>
      </c>
      <c r="CK203" s="9"/>
      <c r="CN203" s="11"/>
      <c r="CS203" s="12"/>
      <c r="CX203" s="12"/>
    </row>
    <row r="204" spans="1:102" ht="13" x14ac:dyDescent="0.3">
      <c r="A204" s="178"/>
      <c r="B204" s="67" t="s">
        <v>252</v>
      </c>
      <c r="CK204" s="9"/>
      <c r="CN204" s="11"/>
      <c r="CS204" s="12"/>
      <c r="CX204" s="12"/>
    </row>
    <row r="205" spans="1:102" ht="13" x14ac:dyDescent="0.3">
      <c r="A205" s="178"/>
      <c r="C205" s="187" t="s">
        <v>253</v>
      </c>
      <c r="CK205" s="9"/>
      <c r="CN205" s="11"/>
      <c r="CS205" s="12"/>
      <c r="CX205" s="12"/>
    </row>
    <row r="206" spans="1:102" ht="13" x14ac:dyDescent="0.3">
      <c r="A206" s="178"/>
      <c r="B206" s="67" t="s">
        <v>254</v>
      </c>
      <c r="C206" s="67" t="s">
        <v>255</v>
      </c>
      <c r="CK206" s="9"/>
      <c r="CN206" s="11"/>
      <c r="CS206" s="12"/>
      <c r="CX206" s="12"/>
    </row>
    <row r="207" spans="1:102" ht="13" x14ac:dyDescent="0.3">
      <c r="A207" s="178"/>
      <c r="B207" s="204"/>
      <c r="C207" s="67"/>
      <c r="D207" s="67"/>
      <c r="CK207" s="9"/>
      <c r="CN207" s="11"/>
      <c r="CS207" s="12"/>
      <c r="CX207" s="12"/>
    </row>
    <row r="208" spans="1:102" ht="13" x14ac:dyDescent="0.3">
      <c r="A208" s="178"/>
      <c r="B208" s="67"/>
      <c r="CK208" s="9"/>
      <c r="CN208" s="11"/>
      <c r="CS208" s="12"/>
      <c r="CX208" s="12"/>
    </row>
    <row r="209" spans="1:102" ht="13" x14ac:dyDescent="0.3">
      <c r="A209" s="13" t="s">
        <v>256</v>
      </c>
      <c r="B209" s="10"/>
      <c r="C209" s="10"/>
      <c r="CK209" s="9"/>
      <c r="CN209" s="11"/>
      <c r="CS209" s="12"/>
      <c r="CX209" s="12"/>
    </row>
    <row r="210" spans="1:102" ht="13" x14ac:dyDescent="0.3">
      <c r="A210" s="13"/>
      <c r="B210" s="204"/>
      <c r="C210" s="10"/>
      <c r="D210" s="67"/>
      <c r="AB210" s="67" t="s">
        <v>257</v>
      </c>
      <c r="CK210" s="9"/>
      <c r="CN210" s="11"/>
      <c r="CS210" s="12"/>
      <c r="CX210" s="12"/>
    </row>
    <row r="211" spans="1:102" ht="13" x14ac:dyDescent="0.3">
      <c r="A211" s="178"/>
      <c r="B211" s="67" t="s">
        <v>213</v>
      </c>
      <c r="C211" s="10"/>
      <c r="D211" s="67" t="s">
        <v>258</v>
      </c>
      <c r="CK211" s="9"/>
      <c r="CN211" s="11"/>
      <c r="CS211" s="12"/>
      <c r="CX211" s="12"/>
    </row>
    <row r="212" spans="1:102" ht="13" x14ac:dyDescent="0.3">
      <c r="A212" s="178"/>
      <c r="D212" s="67"/>
      <c r="CK212" s="9"/>
      <c r="CN212" s="11"/>
      <c r="CS212" s="12"/>
      <c r="CX212" s="12"/>
    </row>
    <row r="213" spans="1:102" ht="13" x14ac:dyDescent="0.3">
      <c r="A213" s="178"/>
      <c r="B213" t="s">
        <v>259</v>
      </c>
      <c r="D213" s="67" t="s">
        <v>260</v>
      </c>
      <c r="CK213" s="9"/>
      <c r="CN213" s="11"/>
      <c r="CS213" s="12"/>
      <c r="CX213" s="12"/>
    </row>
    <row r="214" spans="1:102" ht="13" x14ac:dyDescent="0.3">
      <c r="A214" s="178"/>
      <c r="D214" t="s">
        <v>261</v>
      </c>
      <c r="CK214" s="9"/>
      <c r="CN214" s="11"/>
      <c r="CS214" s="12"/>
      <c r="CX214" s="12"/>
    </row>
    <row r="215" spans="1:102" ht="13" x14ac:dyDescent="0.3">
      <c r="A215" s="178"/>
      <c r="D215" t="s">
        <v>262</v>
      </c>
      <c r="CK215" s="9"/>
      <c r="CN215" s="11"/>
      <c r="CS215" s="12"/>
      <c r="CX215" s="12"/>
    </row>
    <row r="216" spans="1:102" ht="13" x14ac:dyDescent="0.3">
      <c r="A216" s="178"/>
      <c r="B216" t="s">
        <v>263</v>
      </c>
      <c r="D216" t="s">
        <v>264</v>
      </c>
      <c r="CK216" s="9"/>
      <c r="CN216" s="11"/>
      <c r="CS216" s="12"/>
      <c r="CX216" s="12"/>
    </row>
    <row r="217" spans="1:102" ht="13" x14ac:dyDescent="0.3">
      <c r="A217" s="178"/>
      <c r="D217" t="s">
        <v>265</v>
      </c>
      <c r="CK217" s="9"/>
      <c r="CN217" s="11"/>
      <c r="CS217" s="12"/>
      <c r="CX217" s="12"/>
    </row>
    <row r="218" spans="1:102" ht="13" x14ac:dyDescent="0.3">
      <c r="A218" s="178"/>
      <c r="B218" s="205">
        <v>1970</v>
      </c>
      <c r="D218" t="s">
        <v>266</v>
      </c>
      <c r="CK218" s="9"/>
      <c r="CN218" s="11"/>
      <c r="CS218" s="12"/>
      <c r="CX218" s="12"/>
    </row>
    <row r="219" spans="1:102" ht="13" x14ac:dyDescent="0.3">
      <c r="A219" s="178"/>
      <c r="D219" t="s">
        <v>267</v>
      </c>
      <c r="CK219" s="9"/>
      <c r="CN219" s="11"/>
      <c r="CS219" s="12"/>
      <c r="CX219" s="12"/>
    </row>
    <row r="220" spans="1:102" ht="13" x14ac:dyDescent="0.3">
      <c r="A220" s="178"/>
      <c r="B220" s="10" t="s">
        <v>268</v>
      </c>
      <c r="CK220" s="9"/>
      <c r="CN220" s="11"/>
      <c r="CS220" s="12"/>
      <c r="CX220" s="12"/>
    </row>
    <row r="221" spans="1:102" ht="13" x14ac:dyDescent="0.3">
      <c r="A221" s="178"/>
      <c r="B221" s="206" t="s">
        <v>269</v>
      </c>
      <c r="D221" s="206"/>
      <c r="E221" s="206"/>
      <c r="F221" s="206"/>
      <c r="G221" s="206"/>
      <c r="H221" s="206"/>
      <c r="I221" s="206"/>
      <c r="J221" s="206"/>
      <c r="K221" s="206"/>
      <c r="L221" s="206"/>
      <c r="M221" s="206"/>
      <c r="N221" s="206"/>
      <c r="O221" s="206"/>
      <c r="P221" s="206"/>
      <c r="Q221" s="206"/>
      <c r="R221" s="206"/>
      <c r="S221" s="206"/>
      <c r="T221" s="206"/>
      <c r="U221" s="206"/>
      <c r="V221" s="206"/>
      <c r="W221" s="206"/>
      <c r="X221" s="206"/>
      <c r="CK221" s="9"/>
      <c r="CN221" s="11"/>
      <c r="CS221" s="12"/>
      <c r="CX221" s="12"/>
    </row>
    <row r="222" spans="1:102" ht="13" x14ac:dyDescent="0.3">
      <c r="A222" s="178"/>
      <c r="B222" s="206" t="s">
        <v>270</v>
      </c>
      <c r="C222" s="206"/>
      <c r="D222" s="206"/>
      <c r="E222" s="206"/>
      <c r="F222" s="206"/>
      <c r="G222" s="206"/>
      <c r="H222" s="206"/>
      <c r="I222" s="206"/>
      <c r="J222" s="206"/>
      <c r="K222" s="206"/>
      <c r="L222" s="206"/>
      <c r="M222" s="206"/>
      <c r="N222" s="206"/>
      <c r="O222" s="206"/>
      <c r="P222" s="206"/>
      <c r="Q222" s="206"/>
      <c r="R222" s="206"/>
      <c r="S222" s="206"/>
      <c r="T222" s="206"/>
      <c r="U222" s="206"/>
      <c r="V222" s="206"/>
      <c r="W222" s="206"/>
      <c r="X222" s="206"/>
      <c r="CK222" s="9"/>
      <c r="CN222" s="11"/>
      <c r="CS222" s="12"/>
      <c r="CX222" s="12"/>
    </row>
    <row r="223" spans="1:102" ht="13" x14ac:dyDescent="0.3">
      <c r="A223" s="178"/>
      <c r="B223" s="206" t="s">
        <v>271</v>
      </c>
      <c r="C223" s="206"/>
      <c r="D223" s="206"/>
      <c r="E223" s="206"/>
      <c r="F223" s="206"/>
      <c r="G223" s="206"/>
      <c r="H223" s="206"/>
      <c r="I223" s="206"/>
      <c r="J223" s="206"/>
      <c r="K223" s="206"/>
      <c r="L223" s="206"/>
      <c r="M223" s="206"/>
      <c r="N223" s="206"/>
      <c r="O223" s="206"/>
      <c r="P223" s="206"/>
      <c r="Q223" s="206"/>
      <c r="R223" s="206"/>
      <c r="S223" s="206"/>
      <c r="T223" s="206"/>
      <c r="U223" s="206"/>
      <c r="V223" s="206"/>
      <c r="W223" s="206"/>
      <c r="X223" s="206"/>
      <c r="CK223" s="9"/>
      <c r="CN223" s="11"/>
      <c r="CS223" s="12"/>
      <c r="CX223" s="12"/>
    </row>
    <row r="224" spans="1:102" ht="13" x14ac:dyDescent="0.3">
      <c r="A224" s="178"/>
      <c r="B224" s="207" t="s">
        <v>272</v>
      </c>
      <c r="C224" s="206"/>
      <c r="D224" s="207"/>
      <c r="E224" s="207"/>
      <c r="F224" s="187" t="s">
        <v>273</v>
      </c>
      <c r="G224" s="178"/>
      <c r="H224" s="178"/>
      <c r="I224" s="178"/>
      <c r="J224" s="178"/>
      <c r="K224" s="178"/>
      <c r="L224" s="178"/>
      <c r="M224" s="178"/>
      <c r="N224" s="178"/>
      <c r="O224" s="178"/>
      <c r="W224" s="178"/>
      <c r="X224" s="178"/>
      <c r="Y224" s="178"/>
      <c r="Z224" s="178"/>
      <c r="CK224" s="9"/>
      <c r="CN224" s="11"/>
      <c r="CS224" s="12"/>
      <c r="CX224" s="12"/>
    </row>
    <row r="225" spans="1:102" ht="13" x14ac:dyDescent="0.3">
      <c r="A225" s="178"/>
      <c r="B225" s="207" t="s">
        <v>274</v>
      </c>
      <c r="C225" s="207"/>
      <c r="D225" s="207"/>
      <c r="E225" s="207"/>
      <c r="F225" s="207"/>
      <c r="G225" s="207"/>
      <c r="H225" s="207"/>
      <c r="I225" s="207"/>
      <c r="J225" s="207"/>
      <c r="K225" s="207"/>
      <c r="L225" s="208"/>
      <c r="M225" s="207"/>
      <c r="N225" s="207"/>
      <c r="O225" s="207"/>
      <c r="P225" s="207"/>
      <c r="Q225" s="207"/>
      <c r="R225" s="207"/>
      <c r="S225" s="207"/>
      <c r="T225" s="207"/>
      <c r="U225" s="207"/>
      <c r="V225" s="178"/>
      <c r="W225" s="178"/>
      <c r="X225" s="178"/>
      <c r="Y225" s="178"/>
      <c r="Z225" s="178"/>
      <c r="CK225" s="9"/>
      <c r="CN225" s="11"/>
      <c r="CS225" s="12"/>
      <c r="CX225" s="12"/>
    </row>
    <row r="226" spans="1:102" ht="13" x14ac:dyDescent="0.3">
      <c r="A226" s="178"/>
      <c r="B226" s="178"/>
      <c r="C226" s="207"/>
      <c r="D226" s="207"/>
      <c r="E226" s="207"/>
      <c r="F226" s="207"/>
      <c r="G226" s="207"/>
      <c r="H226" s="207"/>
      <c r="I226" s="207"/>
      <c r="J226" s="207"/>
      <c r="K226" s="207"/>
      <c r="L226" s="208"/>
      <c r="M226" s="207"/>
      <c r="N226" s="207"/>
      <c r="O226" s="207"/>
      <c r="P226" s="207"/>
      <c r="Q226" s="207"/>
      <c r="R226" s="207"/>
      <c r="S226" s="207"/>
      <c r="T226" s="207"/>
      <c r="U226" s="207"/>
      <c r="V226" s="178"/>
      <c r="W226" s="178"/>
      <c r="X226" s="178"/>
      <c r="Y226" s="178"/>
      <c r="Z226" s="178"/>
      <c r="CK226" s="9"/>
      <c r="CN226" s="11"/>
      <c r="CS226" s="12"/>
      <c r="CX226" s="12"/>
    </row>
    <row r="227" spans="1:102" ht="13" x14ac:dyDescent="0.3">
      <c r="A227" s="178"/>
      <c r="B227" s="207"/>
      <c r="C227" s="207"/>
      <c r="D227" s="207"/>
      <c r="E227" s="207"/>
      <c r="F227" s="207"/>
      <c r="G227" s="207"/>
      <c r="H227" s="207"/>
      <c r="I227" s="207"/>
      <c r="J227" s="207"/>
      <c r="K227" s="207"/>
      <c r="L227" s="208"/>
      <c r="M227" s="207"/>
      <c r="N227" s="207"/>
      <c r="O227" s="207"/>
      <c r="P227" s="207"/>
      <c r="Q227" s="207"/>
      <c r="R227" s="207"/>
      <c r="S227" s="207"/>
      <c r="T227" s="207"/>
      <c r="U227" s="207"/>
      <c r="V227" s="178"/>
      <c r="W227" s="178"/>
      <c r="X227" s="178"/>
      <c r="Y227" s="178"/>
      <c r="Z227" s="178"/>
      <c r="CK227" s="9"/>
      <c r="CN227" s="11"/>
      <c r="CS227" s="12"/>
      <c r="CX227" s="12"/>
    </row>
    <row r="228" spans="1:102" ht="13" x14ac:dyDescent="0.3">
      <c r="A228" s="13" t="s">
        <v>275</v>
      </c>
      <c r="B228" s="10"/>
      <c r="C228" s="207"/>
      <c r="CK228" s="9"/>
      <c r="CN228" s="11"/>
      <c r="CS228" s="12"/>
      <c r="CX228" s="12"/>
    </row>
    <row r="229" spans="1:102" ht="13" x14ac:dyDescent="0.3">
      <c r="B229" t="s">
        <v>276</v>
      </c>
      <c r="CK229" s="9"/>
      <c r="CN229" s="11"/>
      <c r="CS229" s="12"/>
      <c r="CX229" s="12"/>
    </row>
    <row r="230" spans="1:102" ht="13" x14ac:dyDescent="0.3">
      <c r="B230" t="s">
        <v>277</v>
      </c>
      <c r="CK230" s="9"/>
      <c r="CN230" s="11"/>
      <c r="CS230" s="12"/>
      <c r="CX230" s="12"/>
    </row>
    <row r="231" spans="1:102" ht="13" x14ac:dyDescent="0.3">
      <c r="B231" t="s">
        <v>278</v>
      </c>
      <c r="CK231" s="9"/>
      <c r="CN231" s="11"/>
      <c r="CS231" s="12"/>
      <c r="CX231" s="12"/>
    </row>
    <row r="232" spans="1:102" ht="13" x14ac:dyDescent="0.3">
      <c r="B232" s="67" t="s">
        <v>279</v>
      </c>
      <c r="C232" s="67" t="s">
        <v>280</v>
      </c>
      <c r="L232" s="187"/>
      <c r="M232" s="187"/>
      <c r="CK232" s="9"/>
      <c r="CN232" s="11"/>
      <c r="CS232" s="12"/>
      <c r="CX232" s="12"/>
    </row>
    <row r="233" spans="1:102" x14ac:dyDescent="0.25">
      <c r="B233" s="204"/>
      <c r="C233" s="67"/>
      <c r="N233" s="187"/>
      <c r="CK233" s="9"/>
      <c r="CN233" s="11"/>
      <c r="CS233" s="12"/>
      <c r="CX233" s="12"/>
    </row>
    <row r="234" spans="1:102" x14ac:dyDescent="0.25">
      <c r="B234" s="67"/>
      <c r="C234" s="67"/>
      <c r="D234" s="67"/>
      <c r="M234" s="187"/>
      <c r="N234" s="187"/>
      <c r="CK234" s="9"/>
      <c r="CN234" s="11"/>
      <c r="CS234" s="12"/>
      <c r="CX234" s="12"/>
    </row>
    <row r="235" spans="1:102" ht="13" x14ac:dyDescent="0.3">
      <c r="A235" s="13" t="s">
        <v>281</v>
      </c>
      <c r="B235" s="10"/>
      <c r="CK235" s="9"/>
      <c r="CN235" s="11"/>
      <c r="CS235" s="12"/>
      <c r="CX235" s="12"/>
    </row>
    <row r="236" spans="1:102" ht="13" x14ac:dyDescent="0.3">
      <c r="A236" s="178"/>
      <c r="B236" t="s">
        <v>282</v>
      </c>
      <c r="C236" s="10"/>
      <c r="CK236" s="9"/>
      <c r="CN236" s="11"/>
      <c r="CS236" s="12"/>
      <c r="CX236" s="12"/>
    </row>
    <row r="237" spans="1:102" ht="13" x14ac:dyDescent="0.3">
      <c r="A237" s="178"/>
      <c r="B237" t="s">
        <v>283</v>
      </c>
      <c r="CK237" s="9"/>
      <c r="CN237" s="11"/>
      <c r="CS237" s="12"/>
      <c r="CX237" s="12"/>
    </row>
    <row r="238" spans="1:102" ht="13" x14ac:dyDescent="0.3">
      <c r="A238" s="178"/>
      <c r="B238" t="s">
        <v>284</v>
      </c>
      <c r="CK238" s="9"/>
      <c r="CN238" s="11"/>
      <c r="CS238" s="12"/>
      <c r="CX238" s="12"/>
    </row>
    <row r="239" spans="1:102" ht="13" x14ac:dyDescent="0.3">
      <c r="B239" t="s">
        <v>285</v>
      </c>
      <c r="CK239" s="9"/>
      <c r="CN239" s="11"/>
      <c r="CS239" s="12"/>
      <c r="CX239" s="12"/>
    </row>
    <row r="240" spans="1:102" ht="13" x14ac:dyDescent="0.3">
      <c r="B240" t="s">
        <v>286</v>
      </c>
      <c r="X240" s="187" t="s">
        <v>287</v>
      </c>
      <c r="CK240" s="9"/>
      <c r="CN240" s="11"/>
      <c r="CS240" s="12"/>
      <c r="CX240" s="12"/>
    </row>
    <row r="241" spans="1:102" ht="13" x14ac:dyDescent="0.3">
      <c r="B241" s="67" t="s">
        <v>288</v>
      </c>
      <c r="D241" s="10"/>
      <c r="E241" s="10"/>
      <c r="F241" s="10"/>
      <c r="G241" s="10"/>
      <c r="H241" s="10"/>
      <c r="I241" s="10"/>
      <c r="J241" s="10"/>
      <c r="K241" s="10"/>
      <c r="L241" s="10"/>
      <c r="M241" s="10"/>
      <c r="N241" s="10"/>
      <c r="V241" s="13"/>
      <c r="X241" s="187" t="s">
        <v>289</v>
      </c>
      <c r="CK241" s="9"/>
      <c r="CN241" s="11"/>
      <c r="CS241" s="12"/>
      <c r="CX241" s="12"/>
    </row>
    <row r="242" spans="1:102" ht="13" x14ac:dyDescent="0.3">
      <c r="B242" s="67" t="s">
        <v>290</v>
      </c>
      <c r="N242" s="10"/>
      <c r="V242" s="13"/>
      <c r="X242" s="187"/>
      <c r="CK242" s="9"/>
      <c r="CN242" s="11"/>
      <c r="CS242" s="12"/>
      <c r="CX242" s="12"/>
    </row>
    <row r="243" spans="1:102" ht="13" x14ac:dyDescent="0.3">
      <c r="B243" s="67" t="s">
        <v>291</v>
      </c>
      <c r="C243" s="67" t="s">
        <v>292</v>
      </c>
      <c r="D243" s="10"/>
      <c r="E243" s="10"/>
      <c r="F243" s="10"/>
      <c r="G243" s="10"/>
      <c r="H243" s="10"/>
      <c r="I243" s="10"/>
      <c r="J243" s="10"/>
      <c r="K243" s="187" t="s">
        <v>210</v>
      </c>
      <c r="Z243" s="67" t="s">
        <v>293</v>
      </c>
      <c r="CK243" s="9"/>
      <c r="CN243" s="11"/>
      <c r="CS243" s="12"/>
      <c r="CX243" s="12"/>
    </row>
    <row r="244" spans="1:102" ht="13" x14ac:dyDescent="0.3">
      <c r="A244" s="13" t="s">
        <v>294</v>
      </c>
      <c r="B244" s="10"/>
      <c r="C244" s="67" t="s">
        <v>295</v>
      </c>
      <c r="D244" s="10"/>
      <c r="E244" s="10"/>
      <c r="F244" s="10"/>
      <c r="G244" s="10"/>
      <c r="H244" s="10"/>
      <c r="I244" s="10"/>
      <c r="J244" s="10"/>
      <c r="K244" s="10"/>
      <c r="L244" s="10"/>
      <c r="M244" s="10"/>
      <c r="N244" s="10"/>
      <c r="V244" s="13"/>
      <c r="X244" s="187"/>
      <c r="CK244" s="9"/>
      <c r="CN244" s="11"/>
      <c r="CS244" s="12"/>
      <c r="CX244" s="12"/>
    </row>
    <row r="245" spans="1:102" ht="13" x14ac:dyDescent="0.3">
      <c r="B245" s="67" t="s">
        <v>296</v>
      </c>
      <c r="C245" s="10"/>
      <c r="E245" s="10"/>
      <c r="F245" s="10"/>
      <c r="G245" s="10"/>
      <c r="H245" s="10"/>
      <c r="I245" s="10"/>
      <c r="J245" s="10"/>
      <c r="K245" s="10"/>
      <c r="L245" s="10"/>
      <c r="M245" s="10"/>
      <c r="N245" s="10"/>
      <c r="O245" s="10"/>
      <c r="V245" s="13"/>
      <c r="X245" s="187"/>
      <c r="CK245" s="9"/>
      <c r="CN245" s="11"/>
      <c r="CS245" s="12"/>
      <c r="CX245" s="12"/>
    </row>
    <row r="246" spans="1:102" ht="13" x14ac:dyDescent="0.3">
      <c r="B246" s="67"/>
      <c r="C246" s="67" t="s">
        <v>297</v>
      </c>
      <c r="D246" s="10"/>
      <c r="E246" s="10"/>
      <c r="F246" s="10"/>
      <c r="G246" s="10"/>
      <c r="H246" s="10"/>
      <c r="I246" s="10"/>
      <c r="J246" s="10"/>
      <c r="K246" s="10"/>
      <c r="L246" s="10"/>
      <c r="M246" s="10"/>
      <c r="N246" s="10"/>
      <c r="V246" s="13"/>
      <c r="X246" s="187"/>
      <c r="CK246" s="9"/>
      <c r="CN246" s="11"/>
      <c r="CS246" s="12"/>
      <c r="CX246" s="12"/>
    </row>
    <row r="247" spans="1:102" ht="13" x14ac:dyDescent="0.3">
      <c r="B247" s="67" t="s">
        <v>290</v>
      </c>
      <c r="C247" t="s">
        <v>298</v>
      </c>
      <c r="N247" s="10"/>
      <c r="V247" s="13"/>
      <c r="X247" s="187"/>
      <c r="CK247" s="9"/>
      <c r="CN247" s="11"/>
      <c r="CS247" s="12"/>
      <c r="CX247" s="12"/>
    </row>
    <row r="248" spans="1:102" ht="13" x14ac:dyDescent="0.3">
      <c r="B248" s="67" t="s">
        <v>291</v>
      </c>
      <c r="C248" s="67" t="s">
        <v>299</v>
      </c>
      <c r="E248" s="10"/>
      <c r="F248" s="10"/>
      <c r="G248" s="10"/>
      <c r="H248" s="10"/>
      <c r="I248" s="10"/>
      <c r="J248" s="10"/>
      <c r="K248" s="10"/>
      <c r="L248" s="10"/>
      <c r="M248" s="10"/>
      <c r="N248" s="10"/>
      <c r="O248" s="10"/>
      <c r="V248" s="13"/>
      <c r="X248" s="187"/>
      <c r="CK248" s="9"/>
      <c r="CN248" s="11"/>
      <c r="CS248" s="12"/>
      <c r="CX248" s="12"/>
    </row>
    <row r="249" spans="1:102" ht="13" x14ac:dyDescent="0.3">
      <c r="A249" s="13" t="s">
        <v>44</v>
      </c>
      <c r="B249" s="192"/>
      <c r="C249" s="67" t="s">
        <v>300</v>
      </c>
      <c r="CK249" s="9"/>
      <c r="CN249" s="11"/>
      <c r="CS249" s="12"/>
      <c r="CX249" s="12"/>
    </row>
    <row r="250" spans="1:102" ht="13" x14ac:dyDescent="0.3">
      <c r="B250" s="191" t="s">
        <v>301</v>
      </c>
      <c r="CK250" s="9"/>
      <c r="CN250" s="11"/>
      <c r="CS250" s="12"/>
      <c r="CX250" s="12"/>
    </row>
    <row r="251" spans="1:102" x14ac:dyDescent="0.25">
      <c r="B251" s="192"/>
      <c r="C251" s="187"/>
      <c r="CK251" s="9"/>
      <c r="CN251" s="11"/>
      <c r="CS251" s="12"/>
      <c r="CX251" s="12"/>
    </row>
    <row r="252" spans="1:102" x14ac:dyDescent="0.25">
      <c r="B252" s="191" t="s">
        <v>302</v>
      </c>
      <c r="C252" s="187" t="s">
        <v>303</v>
      </c>
      <c r="CK252" s="9"/>
      <c r="CN252" s="11"/>
      <c r="CS252" s="12"/>
      <c r="CX252" s="12"/>
    </row>
    <row r="253" spans="1:102" ht="13" x14ac:dyDescent="0.3">
      <c r="B253" s="191" t="s">
        <v>304</v>
      </c>
      <c r="C253" s="67" t="s">
        <v>305</v>
      </c>
      <c r="CK253" s="9"/>
      <c r="CN253" s="11"/>
      <c r="CS253" s="12"/>
      <c r="CX253" s="12"/>
    </row>
    <row r="254" spans="1:102" x14ac:dyDescent="0.25">
      <c r="B254" s="191">
        <v>2018</v>
      </c>
      <c r="C254" s="67" t="s">
        <v>306</v>
      </c>
      <c r="CK254" s="9"/>
      <c r="CN254" s="11"/>
      <c r="CS254" s="12"/>
      <c r="CX254" s="12"/>
    </row>
    <row r="255" spans="1:102" x14ac:dyDescent="0.25">
      <c r="B255" s="192"/>
      <c r="C255" s="67"/>
      <c r="CK255" s="9"/>
      <c r="CN255" s="11"/>
      <c r="CS255" s="12"/>
      <c r="CX255" s="12"/>
    </row>
    <row r="256" spans="1:102" ht="13" x14ac:dyDescent="0.3">
      <c r="A256" s="10" t="s">
        <v>307</v>
      </c>
      <c r="C256" s="67"/>
      <c r="W256" s="67" t="s">
        <v>308</v>
      </c>
      <c r="CK256" s="9"/>
      <c r="CN256" s="11"/>
      <c r="CS256" s="12"/>
      <c r="CX256" s="12"/>
    </row>
    <row r="257" spans="1:102" ht="13" x14ac:dyDescent="0.3">
      <c r="A257" s="178" t="s">
        <v>2</v>
      </c>
      <c r="CK257" s="9"/>
      <c r="CN257" s="11"/>
      <c r="CS257" s="12"/>
      <c r="CX257" s="12"/>
    </row>
    <row r="258" spans="1:102" ht="13" x14ac:dyDescent="0.3">
      <c r="B258" s="67" t="s">
        <v>309</v>
      </c>
      <c r="CK258" s="9"/>
      <c r="CN258" s="11"/>
      <c r="CS258" s="12"/>
      <c r="CX258" s="12"/>
    </row>
    <row r="259" spans="1:102" ht="13" x14ac:dyDescent="0.3">
      <c r="B259" s="67" t="s">
        <v>310</v>
      </c>
      <c r="CK259" s="9"/>
      <c r="CN259" s="11"/>
      <c r="CS259" s="12"/>
      <c r="CX259" s="12"/>
    </row>
    <row r="260" spans="1:102" ht="13" x14ac:dyDescent="0.3">
      <c r="B260" s="67" t="s">
        <v>311</v>
      </c>
      <c r="CK260" s="9"/>
      <c r="CN260" s="11"/>
      <c r="CS260" s="12"/>
      <c r="CX260" s="12"/>
    </row>
    <row r="261" spans="1:102" ht="13" x14ac:dyDescent="0.3">
      <c r="B261" s="67" t="s">
        <v>312</v>
      </c>
      <c r="CK261" s="9"/>
      <c r="CN261" s="11"/>
      <c r="CS261" s="12"/>
      <c r="CX261" s="12"/>
    </row>
    <row r="262" spans="1:102" ht="13" x14ac:dyDescent="0.3">
      <c r="B262" s="67" t="s">
        <v>313</v>
      </c>
      <c r="CK262" s="9"/>
      <c r="CN262" s="11"/>
      <c r="CS262" s="12"/>
      <c r="CX262" s="12"/>
    </row>
    <row r="263" spans="1:102" ht="13" x14ac:dyDescent="0.3">
      <c r="B263" s="67" t="s">
        <v>314</v>
      </c>
      <c r="CK263" s="9"/>
      <c r="CN263" s="11"/>
      <c r="CS263" s="12"/>
      <c r="CX263" s="12"/>
    </row>
    <row r="264" spans="1:102" x14ac:dyDescent="0.25">
      <c r="B264" s="67" t="s">
        <v>213</v>
      </c>
      <c r="C264" s="67" t="s">
        <v>315</v>
      </c>
      <c r="CK264" s="9"/>
      <c r="CN264" s="11"/>
      <c r="CS264" s="12"/>
      <c r="CX264" s="12"/>
    </row>
    <row r="265" spans="1:102" x14ac:dyDescent="0.25">
      <c r="B265" s="67"/>
      <c r="CK265" s="9"/>
      <c r="CN265" s="11"/>
      <c r="CS265" s="12"/>
      <c r="CX265" s="12"/>
    </row>
    <row r="266" spans="1:102" ht="13" x14ac:dyDescent="0.3">
      <c r="A266" s="178" t="s">
        <v>316</v>
      </c>
      <c r="CK266" s="9"/>
      <c r="CN266" s="11"/>
      <c r="CS266" s="12"/>
      <c r="CX266" s="12"/>
    </row>
    <row r="267" spans="1:102" x14ac:dyDescent="0.25">
      <c r="B267" s="67" t="s">
        <v>317</v>
      </c>
    </row>
    <row r="268" spans="1:102" x14ac:dyDescent="0.25">
      <c r="B268" s="67" t="s">
        <v>318</v>
      </c>
    </row>
    <row r="269" spans="1:102" x14ac:dyDescent="0.25">
      <c r="B269" s="67" t="s">
        <v>319</v>
      </c>
    </row>
    <row r="270" spans="1:102" x14ac:dyDescent="0.25">
      <c r="B270" s="67" t="s">
        <v>320</v>
      </c>
    </row>
    <row r="271" spans="1:102" x14ac:dyDescent="0.25">
      <c r="B271" s="67" t="s">
        <v>321</v>
      </c>
      <c r="C271" s="67" t="s">
        <v>322</v>
      </c>
    </row>
    <row r="272" spans="1:102" x14ac:dyDescent="0.25">
      <c r="C272" s="67"/>
    </row>
    <row r="273" spans="1:1" ht="13" x14ac:dyDescent="0.3">
      <c r="A273" s="10"/>
    </row>
  </sheetData>
  <mergeCells count="20">
    <mergeCell ref="CB5:CE5"/>
    <mergeCell ref="CF5:CI5"/>
    <mergeCell ref="B85:C85"/>
    <mergeCell ref="A87:P87"/>
    <mergeCell ref="AD5:AJ5"/>
    <mergeCell ref="AK5:AP5"/>
    <mergeCell ref="AV5:AW5"/>
    <mergeCell ref="AY5:AZ5"/>
    <mergeCell ref="BA5:BB5"/>
    <mergeCell ref="BD5:BH5"/>
    <mergeCell ref="BT1:CJ1"/>
    <mergeCell ref="CO1:CR1"/>
    <mergeCell ref="CT1:CW1"/>
    <mergeCell ref="B5:E5"/>
    <mergeCell ref="F5:I5"/>
    <mergeCell ref="J5:K5"/>
    <mergeCell ref="L5:P5"/>
    <mergeCell ref="Q5:U5"/>
    <mergeCell ref="V5:Y5"/>
    <mergeCell ref="Z5:AC5"/>
  </mergeCells>
  <hyperlinks>
    <hyperlink ref="F224" r:id="rId1" xr:uid="{3916685B-C529-42E2-9648-C67C7AEE5462}"/>
    <hyperlink ref="C252" r:id="rId2" xr:uid="{CA7B1B32-DD0F-41A0-AD49-0D144E3E67D8}"/>
    <hyperlink ref="X240" r:id="rId3" xr:uid="{DB3289A5-FE9D-4217-832B-353032641BAC}"/>
    <hyperlink ref="W89" r:id="rId4" xr:uid="{B0E6EFB8-A478-49DD-9FA5-2F72063E9082}"/>
    <hyperlink ref="X241" r:id="rId5" xr:uid="{F0F415A6-2303-4CA9-BF9F-302CF03320D7}"/>
    <hyperlink ref="J167" r:id="rId6" xr:uid="{460D1E4B-E95F-48BE-B004-F20EF457046C}"/>
    <hyperlink ref="W110" r:id="rId7" xr:uid="{61E15413-64BC-4B0C-89F6-CA47FAB28425}"/>
    <hyperlink ref="DF78" r:id="rId8" xr:uid="{BC5C50BD-8FBC-4AA1-BB3F-E39F93908921}"/>
    <hyperlink ref="C205" r:id="rId9" xr:uid="{528DB0AA-5D0D-490D-AE38-82004CE0F0C6}"/>
    <hyperlink ref="C168" r:id="rId10" xr:uid="{515344F5-67D9-4079-919A-D98A467B6BDF}"/>
    <hyperlink ref="K243" r:id="rId11" xr:uid="{773FB845-7629-4592-AD3A-67E54E5A8E57}"/>
    <hyperlink ref="H196" r:id="rId12" xr:uid="{841A00FF-99A3-45F6-B586-4F3372678362}"/>
    <hyperlink ref="K92" r:id="rId13" xr:uid="{15FF94FE-EB46-4AEF-B8E1-34D1A9840DF5}"/>
    <hyperlink ref="K113" r:id="rId14" xr:uid="{FE61E55A-8B57-4522-8194-251EC2B76ED2}"/>
  </hyperlinks>
  <pageMargins left="0.75" right="0.75" top="1" bottom="1" header="0.5" footer="0.5"/>
  <pageSetup orientation="portrait" horizontalDpi="4294967293" r:id="rId15"/>
  <headerFooter alignWithMargins="0"/>
  <legacyDrawing r:id="rId1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FuelConsump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Rabideau, Isabelle</dc:creator>
  <cp:lastModifiedBy>Rabideau, Isabelle</cp:lastModifiedBy>
  <dcterms:created xsi:type="dcterms:W3CDTF">2021-03-12T15:58:10Z</dcterms:created>
  <dcterms:modified xsi:type="dcterms:W3CDTF">2021-03-12T15:59:43Z</dcterms:modified>
</cp:coreProperties>
</file>